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T:\Property Tax Assessments\County Property Tax Assessment Info 2007-2015\"/>
    </mc:Choice>
  </mc:AlternateContent>
  <xr:revisionPtr revIDLastSave="0" documentId="13_ncr:1_{A80BCA6E-BF7D-40CE-9D2E-FB5B0B804DFF}" xr6:coauthVersionLast="47" xr6:coauthVersionMax="47" xr10:uidLastSave="{00000000-0000-0000-0000-000000000000}"/>
  <bookViews>
    <workbookView xWindow="-120" yWindow="-120" windowWidth="24240" windowHeight="13140" firstSheet="2" activeTab="16" xr2:uid="{00000000-000D-0000-FFFF-FFFF00000000}"/>
  </bookViews>
  <sheets>
    <sheet name="2007" sheetId="1" r:id="rId1"/>
    <sheet name="2008" sheetId="4" r:id="rId2"/>
    <sheet name="2009" sheetId="5" r:id="rId3"/>
    <sheet name="2010" sheetId="6" r:id="rId4"/>
    <sheet name="2011" sheetId="7" r:id="rId5"/>
    <sheet name="2012" sheetId="8" r:id="rId6"/>
    <sheet name="2013" sheetId="9" r:id="rId7"/>
    <sheet name="2014" sheetId="10" r:id="rId8"/>
    <sheet name="2015" sheetId="11" r:id="rId9"/>
    <sheet name="2016" sheetId="13" r:id="rId10"/>
    <sheet name="2017" sheetId="15" r:id="rId11"/>
    <sheet name="2018" sheetId="16" r:id="rId12"/>
    <sheet name="2019" sheetId="18" r:id="rId13"/>
    <sheet name="2020" sheetId="20" r:id="rId14"/>
    <sheet name="2021" sheetId="21" r:id="rId15"/>
    <sheet name="2022" sheetId="24" r:id="rId16"/>
    <sheet name="2023" sheetId="25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N123" i="25" l="1"/>
  <c r="BK123" i="25"/>
  <c r="BJ123" i="25"/>
  <c r="BH123" i="25"/>
  <c r="BG123" i="25"/>
  <c r="BF123" i="25"/>
  <c r="BE123" i="25"/>
  <c r="BD123" i="25"/>
  <c r="BC123" i="25"/>
  <c r="BB123" i="25"/>
  <c r="BA123" i="25"/>
  <c r="AZ123" i="25"/>
  <c r="AY123" i="25"/>
  <c r="AX123" i="25"/>
  <c r="AW123" i="25"/>
  <c r="AV123" i="25"/>
  <c r="AU123" i="25"/>
  <c r="AS123" i="25"/>
  <c r="AR123" i="25"/>
  <c r="AQ123" i="25"/>
  <c r="AP123" i="25"/>
  <c r="AO123" i="25"/>
  <c r="AN123" i="25"/>
  <c r="AM123" i="25"/>
  <c r="AL123" i="25"/>
  <c r="AK123" i="25"/>
  <c r="AJ123" i="25"/>
  <c r="AI123" i="25"/>
  <c r="AH123" i="25"/>
  <c r="AI129" i="25" s="1"/>
  <c r="AG123" i="25"/>
  <c r="AF123" i="25"/>
  <c r="AE123" i="25"/>
  <c r="AD123" i="25"/>
  <c r="AB123" i="25"/>
  <c r="AA123" i="25"/>
  <c r="Z123" i="25"/>
  <c r="Y123" i="25"/>
  <c r="X123" i="25"/>
  <c r="W123" i="25"/>
  <c r="V123" i="25"/>
  <c r="U123" i="25"/>
  <c r="T123" i="25"/>
  <c r="S123" i="25"/>
  <c r="R123" i="25"/>
  <c r="Q123" i="25"/>
  <c r="P123" i="25"/>
  <c r="P129" i="25" s="1"/>
  <c r="O123" i="25"/>
  <c r="N123" i="25"/>
  <c r="M123" i="25"/>
  <c r="L123" i="25"/>
  <c r="K123" i="25"/>
  <c r="J123" i="25"/>
  <c r="I123" i="25"/>
  <c r="H123" i="25"/>
  <c r="G123" i="25"/>
  <c r="F123" i="25"/>
  <c r="BT121" i="25"/>
  <c r="BS121" i="25"/>
  <c r="BR121" i="25"/>
  <c r="BQ121" i="25"/>
  <c r="BP121" i="25"/>
  <c r="BS120" i="25"/>
  <c r="BR120" i="25"/>
  <c r="BQ120" i="25"/>
  <c r="BP120" i="25"/>
  <c r="BT120" i="25" s="1"/>
  <c r="BS119" i="25"/>
  <c r="BR119" i="25"/>
  <c r="BT119" i="25" s="1"/>
  <c r="BQ119" i="25"/>
  <c r="BP119" i="25"/>
  <c r="BS118" i="25"/>
  <c r="BR118" i="25"/>
  <c r="BQ118" i="25"/>
  <c r="BT118" i="25" s="1"/>
  <c r="BP118" i="25"/>
  <c r="BS117" i="25"/>
  <c r="BR117" i="25"/>
  <c r="BQ117" i="25"/>
  <c r="BP117" i="25"/>
  <c r="BT117" i="25" s="1"/>
  <c r="BT116" i="25"/>
  <c r="BS116" i="25"/>
  <c r="BR116" i="25"/>
  <c r="BQ116" i="25"/>
  <c r="BP116" i="25"/>
  <c r="BS115" i="25"/>
  <c r="BR115" i="25"/>
  <c r="BQ115" i="25"/>
  <c r="BP115" i="25"/>
  <c r="BT115" i="25" s="1"/>
  <c r="BS114" i="25"/>
  <c r="BR114" i="25"/>
  <c r="BQ114" i="25"/>
  <c r="BP114" i="25"/>
  <c r="BT114" i="25" s="1"/>
  <c r="BS113" i="25"/>
  <c r="BT113" i="25" s="1"/>
  <c r="BR113" i="25"/>
  <c r="BQ113" i="25"/>
  <c r="BP113" i="25"/>
  <c r="BS112" i="25"/>
  <c r="BR112" i="25"/>
  <c r="BQ112" i="25"/>
  <c r="BP112" i="25"/>
  <c r="BT112" i="25" s="1"/>
  <c r="BS111" i="25"/>
  <c r="BR111" i="25"/>
  <c r="BQ111" i="25"/>
  <c r="BP111" i="25"/>
  <c r="BT111" i="25" s="1"/>
  <c r="BS110" i="25"/>
  <c r="BR110" i="25"/>
  <c r="BT110" i="25" s="1"/>
  <c r="BQ110" i="25"/>
  <c r="BP110" i="25"/>
  <c r="BS109" i="25"/>
  <c r="BR109" i="25"/>
  <c r="BQ109" i="25"/>
  <c r="BP109" i="25"/>
  <c r="BT109" i="25" s="1"/>
  <c r="BS108" i="25"/>
  <c r="BR108" i="25"/>
  <c r="BQ108" i="25"/>
  <c r="BP108" i="25"/>
  <c r="BT108" i="25" s="1"/>
  <c r="BS107" i="25"/>
  <c r="BR107" i="25"/>
  <c r="BQ107" i="25"/>
  <c r="BT107" i="25" s="1"/>
  <c r="BP107" i="25"/>
  <c r="BS106" i="25"/>
  <c r="BR106" i="25"/>
  <c r="BQ106" i="25"/>
  <c r="BP106" i="25"/>
  <c r="BT106" i="25" s="1"/>
  <c r="AT106" i="25"/>
  <c r="BS105" i="25"/>
  <c r="BR105" i="25"/>
  <c r="BQ105" i="25"/>
  <c r="BP105" i="25"/>
  <c r="BT105" i="25" s="1"/>
  <c r="BS104" i="25"/>
  <c r="BR104" i="25"/>
  <c r="BQ104" i="25"/>
  <c r="BT104" i="25" s="1"/>
  <c r="BP104" i="25"/>
  <c r="BS103" i="25"/>
  <c r="BR103" i="25"/>
  <c r="BQ103" i="25"/>
  <c r="BP103" i="25"/>
  <c r="BT103" i="25" s="1"/>
  <c r="BT102" i="25"/>
  <c r="BS102" i="25"/>
  <c r="BR102" i="25"/>
  <c r="BQ102" i="25"/>
  <c r="BP102" i="25"/>
  <c r="BS101" i="25"/>
  <c r="BR101" i="25"/>
  <c r="BQ101" i="25"/>
  <c r="BP101" i="25"/>
  <c r="BT101" i="25" s="1"/>
  <c r="BS100" i="25"/>
  <c r="BR100" i="25"/>
  <c r="BT100" i="25" s="1"/>
  <c r="BQ100" i="25"/>
  <c r="BP100" i="25"/>
  <c r="BS99" i="25"/>
  <c r="BR99" i="25"/>
  <c r="BQ99" i="25"/>
  <c r="BT99" i="25" s="1"/>
  <c r="BP99" i="25"/>
  <c r="BS98" i="25"/>
  <c r="BR98" i="25"/>
  <c r="BQ98" i="25"/>
  <c r="BP98" i="25"/>
  <c r="BT98" i="25" s="1"/>
  <c r="BT97" i="25"/>
  <c r="BS97" i="25"/>
  <c r="BR97" i="25"/>
  <c r="BQ97" i="25"/>
  <c r="BP97" i="25"/>
  <c r="BS96" i="25"/>
  <c r="BR96" i="25"/>
  <c r="BQ96" i="25"/>
  <c r="BP96" i="25"/>
  <c r="BT96" i="25" s="1"/>
  <c r="BS95" i="25"/>
  <c r="BR95" i="25"/>
  <c r="BQ95" i="25"/>
  <c r="BP95" i="25"/>
  <c r="BT95" i="25" s="1"/>
  <c r="BS94" i="25"/>
  <c r="BT94" i="25" s="1"/>
  <c r="BR94" i="25"/>
  <c r="BQ94" i="25"/>
  <c r="BP94" i="25"/>
  <c r="BS93" i="25"/>
  <c r="BR93" i="25"/>
  <c r="BQ93" i="25"/>
  <c r="BT93" i="25" s="1"/>
  <c r="BP93" i="25"/>
  <c r="BS92" i="25"/>
  <c r="BR92" i="25"/>
  <c r="BQ92" i="25"/>
  <c r="BP92" i="25"/>
  <c r="BT92" i="25" s="1"/>
  <c r="BS91" i="25"/>
  <c r="BR91" i="25"/>
  <c r="BT91" i="25" s="1"/>
  <c r="BQ91" i="25"/>
  <c r="BP91" i="25"/>
  <c r="BS90" i="25"/>
  <c r="BR90" i="25"/>
  <c r="BQ90" i="25"/>
  <c r="BP90" i="25"/>
  <c r="BT90" i="25" s="1"/>
  <c r="BS89" i="25"/>
  <c r="BR89" i="25"/>
  <c r="BQ89" i="25"/>
  <c r="BP89" i="25"/>
  <c r="BT89" i="25" s="1"/>
  <c r="BS88" i="25"/>
  <c r="BR88" i="25"/>
  <c r="BQ88" i="25"/>
  <c r="BT88" i="25" s="1"/>
  <c r="BP88" i="25"/>
  <c r="BS87" i="25"/>
  <c r="BR87" i="25"/>
  <c r="BQ87" i="25"/>
  <c r="BP87" i="25"/>
  <c r="BT87" i="25" s="1"/>
  <c r="BT86" i="25"/>
  <c r="BS86" i="25"/>
  <c r="BR86" i="25"/>
  <c r="BQ86" i="25"/>
  <c r="BP86" i="25"/>
  <c r="BS85" i="25"/>
  <c r="BR85" i="25"/>
  <c r="BQ85" i="25"/>
  <c r="BP85" i="25"/>
  <c r="BT85" i="25" s="1"/>
  <c r="AT85" i="25"/>
  <c r="BS84" i="25"/>
  <c r="BR84" i="25"/>
  <c r="BQ84" i="25"/>
  <c r="BP84" i="25"/>
  <c r="BT84" i="25" s="1"/>
  <c r="BT83" i="25"/>
  <c r="BS83" i="25"/>
  <c r="BR83" i="25"/>
  <c r="BQ83" i="25"/>
  <c r="BP83" i="25"/>
  <c r="BS82" i="25"/>
  <c r="BR82" i="25"/>
  <c r="BQ82" i="25"/>
  <c r="BP82" i="25"/>
  <c r="BT82" i="25" s="1"/>
  <c r="BS81" i="25"/>
  <c r="BR81" i="25"/>
  <c r="BT81" i="25" s="1"/>
  <c r="BQ81" i="25"/>
  <c r="BP81" i="25"/>
  <c r="BS80" i="25"/>
  <c r="BR80" i="25"/>
  <c r="BQ80" i="25"/>
  <c r="BT80" i="25" s="1"/>
  <c r="BP80" i="25"/>
  <c r="BS79" i="25"/>
  <c r="BR79" i="25"/>
  <c r="BQ79" i="25"/>
  <c r="BP79" i="25"/>
  <c r="BT79" i="25" s="1"/>
  <c r="BT78" i="25"/>
  <c r="BS78" i="25"/>
  <c r="BR78" i="25"/>
  <c r="BQ78" i="25"/>
  <c r="BP78" i="25"/>
  <c r="BS77" i="25"/>
  <c r="BR77" i="25"/>
  <c r="BQ77" i="25"/>
  <c r="BP77" i="25"/>
  <c r="BT77" i="25" s="1"/>
  <c r="AT77" i="25"/>
  <c r="BS76" i="25"/>
  <c r="BR76" i="25"/>
  <c r="BQ76" i="25"/>
  <c r="BP76" i="25"/>
  <c r="BT76" i="25" s="1"/>
  <c r="BT75" i="25"/>
  <c r="BS75" i="25"/>
  <c r="BR75" i="25"/>
  <c r="BQ75" i="25"/>
  <c r="BP75" i="25"/>
  <c r="BS74" i="25"/>
  <c r="BR74" i="25"/>
  <c r="BQ74" i="25"/>
  <c r="BP74" i="25"/>
  <c r="BT74" i="25" s="1"/>
  <c r="BS73" i="25"/>
  <c r="BR73" i="25"/>
  <c r="BQ73" i="25"/>
  <c r="BP73" i="25"/>
  <c r="BT73" i="25" s="1"/>
  <c r="BS72" i="25"/>
  <c r="BT72" i="25" s="1"/>
  <c r="BR72" i="25"/>
  <c r="BQ72" i="25"/>
  <c r="BP72" i="25"/>
  <c r="BS71" i="25"/>
  <c r="BR71" i="25"/>
  <c r="BQ71" i="25"/>
  <c r="BP71" i="25"/>
  <c r="BT71" i="25" s="1"/>
  <c r="BS70" i="25"/>
  <c r="BR70" i="25"/>
  <c r="BQ70" i="25"/>
  <c r="BP70" i="25"/>
  <c r="BT70" i="25" s="1"/>
  <c r="BS69" i="25"/>
  <c r="BR69" i="25"/>
  <c r="BT69" i="25" s="1"/>
  <c r="BQ69" i="25"/>
  <c r="BP69" i="25"/>
  <c r="BS68" i="25"/>
  <c r="BR68" i="25"/>
  <c r="BQ68" i="25"/>
  <c r="BP68" i="25"/>
  <c r="BT68" i="25" s="1"/>
  <c r="BS67" i="25"/>
  <c r="BR67" i="25"/>
  <c r="BQ67" i="25"/>
  <c r="BP67" i="25"/>
  <c r="BT67" i="25" s="1"/>
  <c r="BS66" i="25"/>
  <c r="BR66" i="25"/>
  <c r="BQ66" i="25"/>
  <c r="BT66" i="25" s="1"/>
  <c r="BP66" i="25"/>
  <c r="BS65" i="25"/>
  <c r="BR65" i="25"/>
  <c r="BQ65" i="25"/>
  <c r="BP65" i="25"/>
  <c r="BT65" i="25" s="1"/>
  <c r="BT64" i="25"/>
  <c r="BS64" i="25"/>
  <c r="BR64" i="25"/>
  <c r="BQ64" i="25"/>
  <c r="BP64" i="25"/>
  <c r="BS63" i="25"/>
  <c r="BR63" i="25"/>
  <c r="BQ63" i="25"/>
  <c r="BP63" i="25"/>
  <c r="BT63" i="25" s="1"/>
  <c r="BS62" i="25"/>
  <c r="BR62" i="25"/>
  <c r="BT62" i="25" s="1"/>
  <c r="BQ62" i="25"/>
  <c r="BP62" i="25"/>
  <c r="AC62" i="25"/>
  <c r="AC123" i="25" s="1"/>
  <c r="AB62" i="25"/>
  <c r="BS61" i="25"/>
  <c r="BR61" i="25"/>
  <c r="BQ61" i="25"/>
  <c r="BP61" i="25"/>
  <c r="BT61" i="25" s="1"/>
  <c r="BS60" i="25"/>
  <c r="BR60" i="25"/>
  <c r="BQ60" i="25"/>
  <c r="BT60" i="25" s="1"/>
  <c r="BP60" i="25"/>
  <c r="BS59" i="25"/>
  <c r="BR59" i="25"/>
  <c r="BQ59" i="25"/>
  <c r="BP59" i="25"/>
  <c r="BT59" i="25" s="1"/>
  <c r="BT58" i="25"/>
  <c r="BS58" i="25"/>
  <c r="BR58" i="25"/>
  <c r="BQ58" i="25"/>
  <c r="BP58" i="25"/>
  <c r="BS57" i="25"/>
  <c r="BR57" i="25"/>
  <c r="BQ57" i="25"/>
  <c r="BP57" i="25"/>
  <c r="BT57" i="25" s="1"/>
  <c r="AT57" i="25"/>
  <c r="BS56" i="25"/>
  <c r="BR56" i="25"/>
  <c r="BQ56" i="25"/>
  <c r="BP56" i="25"/>
  <c r="BT56" i="25" s="1"/>
  <c r="BT55" i="25"/>
  <c r="BS55" i="25"/>
  <c r="BR55" i="25"/>
  <c r="BQ55" i="25"/>
  <c r="BP55" i="25"/>
  <c r="BS54" i="25"/>
  <c r="BR54" i="25"/>
  <c r="BQ54" i="25"/>
  <c r="BP54" i="25"/>
  <c r="BT54" i="25" s="1"/>
  <c r="BS53" i="25"/>
  <c r="BR53" i="25"/>
  <c r="BT53" i="25" s="1"/>
  <c r="BQ53" i="25"/>
  <c r="BP53" i="25"/>
  <c r="BS52" i="25"/>
  <c r="BR52" i="25"/>
  <c r="BQ52" i="25"/>
  <c r="BT52" i="25" s="1"/>
  <c r="BP52" i="25"/>
  <c r="BS51" i="25"/>
  <c r="BR51" i="25"/>
  <c r="BQ51" i="25"/>
  <c r="BP51" i="25"/>
  <c r="BT51" i="25" s="1"/>
  <c r="BT50" i="25"/>
  <c r="BS50" i="25"/>
  <c r="BR50" i="25"/>
  <c r="BQ50" i="25"/>
  <c r="BP50" i="25"/>
  <c r="BS49" i="25"/>
  <c r="BR49" i="25"/>
  <c r="BQ49" i="25"/>
  <c r="BP49" i="25"/>
  <c r="BT49" i="25" s="1"/>
  <c r="BS48" i="25"/>
  <c r="BR48" i="25"/>
  <c r="BQ48" i="25"/>
  <c r="BP48" i="25"/>
  <c r="BT48" i="25" s="1"/>
  <c r="BS47" i="25"/>
  <c r="BT47" i="25" s="1"/>
  <c r="BR47" i="25"/>
  <c r="BQ47" i="25"/>
  <c r="BP47" i="25"/>
  <c r="AT47" i="25"/>
  <c r="BS46" i="25"/>
  <c r="BR46" i="25"/>
  <c r="BQ46" i="25"/>
  <c r="BP46" i="25"/>
  <c r="BT46" i="25" s="1"/>
  <c r="BS45" i="25"/>
  <c r="BR45" i="25"/>
  <c r="BQ45" i="25"/>
  <c r="BP45" i="25"/>
  <c r="BT45" i="25" s="1"/>
  <c r="BS44" i="25"/>
  <c r="BT44" i="25" s="1"/>
  <c r="BR44" i="25"/>
  <c r="BQ44" i="25"/>
  <c r="BP44" i="25"/>
  <c r="BS43" i="25"/>
  <c r="BR43" i="25"/>
  <c r="BQ43" i="25"/>
  <c r="BP43" i="25"/>
  <c r="BT43" i="25" s="1"/>
  <c r="BS42" i="25"/>
  <c r="BR42" i="25"/>
  <c r="BQ42" i="25"/>
  <c r="BP42" i="25"/>
  <c r="BT42" i="25" s="1"/>
  <c r="BI42" i="25"/>
  <c r="BI123" i="25" s="1"/>
  <c r="BS41" i="25"/>
  <c r="BT41" i="25" s="1"/>
  <c r="BR41" i="25"/>
  <c r="BQ41" i="25"/>
  <c r="BP41" i="25"/>
  <c r="BS40" i="25"/>
  <c r="BR40" i="25"/>
  <c r="BQ40" i="25"/>
  <c r="BP40" i="25"/>
  <c r="BT40" i="25" s="1"/>
  <c r="BS39" i="25"/>
  <c r="BR39" i="25"/>
  <c r="BQ39" i="25"/>
  <c r="BP39" i="25"/>
  <c r="BT39" i="25" s="1"/>
  <c r="BS38" i="25"/>
  <c r="BR38" i="25"/>
  <c r="BT38" i="25" s="1"/>
  <c r="BQ38" i="25"/>
  <c r="BP38" i="25"/>
  <c r="BS37" i="25"/>
  <c r="BR37" i="25"/>
  <c r="BQ37" i="25"/>
  <c r="BP37" i="25"/>
  <c r="BT37" i="25" s="1"/>
  <c r="BS36" i="25"/>
  <c r="BR36" i="25"/>
  <c r="BQ36" i="25"/>
  <c r="BP36" i="25"/>
  <c r="BT36" i="25" s="1"/>
  <c r="BS35" i="25"/>
  <c r="BR35" i="25"/>
  <c r="BQ35" i="25"/>
  <c r="BT35" i="25" s="1"/>
  <c r="BP35" i="25"/>
  <c r="AT35" i="25"/>
  <c r="BS34" i="25"/>
  <c r="BR34" i="25"/>
  <c r="BQ34" i="25"/>
  <c r="BP34" i="25"/>
  <c r="BT34" i="25" s="1"/>
  <c r="BS33" i="25"/>
  <c r="BR33" i="25"/>
  <c r="BQ33" i="25"/>
  <c r="BP33" i="25"/>
  <c r="BT33" i="25" s="1"/>
  <c r="BS32" i="25"/>
  <c r="BR32" i="25"/>
  <c r="BQ32" i="25"/>
  <c r="BT32" i="25" s="1"/>
  <c r="BP32" i="25"/>
  <c r="BS31" i="25"/>
  <c r="BR31" i="25"/>
  <c r="BQ31" i="25"/>
  <c r="BP31" i="25"/>
  <c r="BT31" i="25" s="1"/>
  <c r="AT31" i="25"/>
  <c r="AC31" i="25"/>
  <c r="BS30" i="25"/>
  <c r="BR30" i="25"/>
  <c r="BQ30" i="25"/>
  <c r="BP30" i="25"/>
  <c r="BT30" i="25" s="1"/>
  <c r="BS29" i="25"/>
  <c r="BR29" i="25"/>
  <c r="BT29" i="25" s="1"/>
  <c r="BQ29" i="25"/>
  <c r="BP29" i="25"/>
  <c r="BS28" i="25"/>
  <c r="BR28" i="25"/>
  <c r="BQ28" i="25"/>
  <c r="BP28" i="25"/>
  <c r="BT28" i="25" s="1"/>
  <c r="BS27" i="25"/>
  <c r="BR27" i="25"/>
  <c r="BQ27" i="25"/>
  <c r="BP27" i="25"/>
  <c r="BT27" i="25" s="1"/>
  <c r="BS26" i="25"/>
  <c r="BR26" i="25"/>
  <c r="BQ26" i="25"/>
  <c r="BT26" i="25" s="1"/>
  <c r="BP26" i="25"/>
  <c r="AC26" i="25"/>
  <c r="BS25" i="25"/>
  <c r="BR25" i="25"/>
  <c r="BQ25" i="25"/>
  <c r="BP25" i="25"/>
  <c r="BT25" i="25" s="1"/>
  <c r="BS24" i="25"/>
  <c r="BR24" i="25"/>
  <c r="BQ24" i="25"/>
  <c r="BP24" i="25"/>
  <c r="BT24" i="25" s="1"/>
  <c r="BS23" i="25"/>
  <c r="BR23" i="25"/>
  <c r="BQ23" i="25"/>
  <c r="BT23" i="25" s="1"/>
  <c r="BP23" i="25"/>
  <c r="BS22" i="25"/>
  <c r="BR22" i="25"/>
  <c r="BQ22" i="25"/>
  <c r="BP22" i="25"/>
  <c r="BT22" i="25" s="1"/>
  <c r="BT21" i="25"/>
  <c r="BS21" i="25"/>
  <c r="BR21" i="25"/>
  <c r="BQ21" i="25"/>
  <c r="BP21" i="25"/>
  <c r="BS20" i="25"/>
  <c r="BR20" i="25"/>
  <c r="BQ20" i="25"/>
  <c r="BP20" i="25"/>
  <c r="BT20" i="25" s="1"/>
  <c r="AT20" i="25"/>
  <c r="BS19" i="25"/>
  <c r="BR19" i="25"/>
  <c r="BQ19" i="25"/>
  <c r="BP19" i="25"/>
  <c r="BT19" i="25" s="1"/>
  <c r="BT18" i="25"/>
  <c r="BS18" i="25"/>
  <c r="BR18" i="25"/>
  <c r="BQ18" i="25"/>
  <c r="BP18" i="25"/>
  <c r="BS17" i="25"/>
  <c r="BR17" i="25"/>
  <c r="BQ17" i="25"/>
  <c r="BP17" i="25"/>
  <c r="BT17" i="25" s="1"/>
  <c r="BS16" i="25"/>
  <c r="BR16" i="25"/>
  <c r="BT16" i="25" s="1"/>
  <c r="BQ16" i="25"/>
  <c r="BP16" i="25"/>
  <c r="AT16" i="25"/>
  <c r="BT15" i="25"/>
  <c r="BS15" i="25"/>
  <c r="BR15" i="25"/>
  <c r="BQ15" i="25"/>
  <c r="BP15" i="25"/>
  <c r="BS14" i="25"/>
  <c r="BR14" i="25"/>
  <c r="BQ14" i="25"/>
  <c r="BP14" i="25"/>
  <c r="BT14" i="25" s="1"/>
  <c r="BS13" i="25"/>
  <c r="BR13" i="25"/>
  <c r="BT13" i="25" s="1"/>
  <c r="BQ13" i="25"/>
  <c r="BP13" i="25"/>
  <c r="BS12" i="25"/>
  <c r="BR12" i="25"/>
  <c r="BQ12" i="25"/>
  <c r="BT12" i="25" s="1"/>
  <c r="BP12" i="25"/>
  <c r="BS11" i="25"/>
  <c r="BR11" i="25"/>
  <c r="BQ11" i="25"/>
  <c r="BP11" i="25"/>
  <c r="BT11" i="25" s="1"/>
  <c r="AT11" i="25"/>
  <c r="AT123" i="25" s="1"/>
  <c r="BS10" i="25"/>
  <c r="BR10" i="25"/>
  <c r="BT10" i="25" s="1"/>
  <c r="BQ10" i="25"/>
  <c r="BP10" i="25"/>
  <c r="BS9" i="25"/>
  <c r="BR9" i="25"/>
  <c r="BQ9" i="25"/>
  <c r="BT9" i="25" s="1"/>
  <c r="BP9" i="25"/>
  <c r="AT9" i="25"/>
  <c r="BS8" i="25"/>
  <c r="BR8" i="25"/>
  <c r="BQ8" i="25"/>
  <c r="BP8" i="25"/>
  <c r="BT8" i="25" s="1"/>
  <c r="BS7" i="25"/>
  <c r="BR7" i="25"/>
  <c r="BT7" i="25" s="1"/>
  <c r="BQ7" i="25"/>
  <c r="BP7" i="25"/>
  <c r="BS6" i="25"/>
  <c r="BR6" i="25"/>
  <c r="BQ6" i="25"/>
  <c r="BT6" i="25" s="1"/>
  <c r="BP6" i="25"/>
  <c r="BS5" i="25"/>
  <c r="BR5" i="25"/>
  <c r="BQ5" i="25"/>
  <c r="BP5" i="25"/>
  <c r="BT5" i="25" s="1"/>
  <c r="BT4" i="25"/>
  <c r="BS4" i="25"/>
  <c r="BR4" i="25"/>
  <c r="BQ4" i="25"/>
  <c r="BP4" i="25"/>
  <c r="BS3" i="25"/>
  <c r="BR3" i="25"/>
  <c r="BQ3" i="25"/>
  <c r="BP3" i="25"/>
  <c r="BT3" i="25" s="1"/>
  <c r="BS2" i="25"/>
  <c r="BR2" i="25"/>
  <c r="BQ2" i="25"/>
  <c r="BP2" i="25"/>
  <c r="BT2" i="25" s="1"/>
  <c r="AJ1" i="25"/>
  <c r="AC1" i="25"/>
  <c r="AB1" i="25"/>
  <c r="AA1" i="25"/>
  <c r="Z1" i="25"/>
  <c r="Y1" i="25"/>
  <c r="X1" i="25"/>
  <c r="W1" i="25"/>
  <c r="V1" i="25"/>
  <c r="U1" i="25"/>
  <c r="T1" i="25"/>
  <c r="S1" i="25"/>
  <c r="R1" i="25"/>
  <c r="Q1" i="25"/>
  <c r="P1" i="25"/>
  <c r="A1" i="25"/>
  <c r="BM123" i="9" l="1"/>
  <c r="BL123" i="9"/>
  <c r="BX7" i="13" l="1"/>
  <c r="BT7" i="15"/>
  <c r="BP3" i="15"/>
  <c r="BP4" i="15"/>
  <c r="BP5" i="15"/>
  <c r="BP6" i="15"/>
  <c r="BP7" i="15"/>
  <c r="BP8" i="15"/>
  <c r="BP9" i="15"/>
  <c r="BP10" i="15"/>
  <c r="BP11" i="15"/>
  <c r="BP12" i="15"/>
  <c r="BP13" i="15"/>
  <c r="BP14" i="15"/>
  <c r="BP15" i="15"/>
  <c r="BP16" i="15"/>
  <c r="BP17" i="15"/>
  <c r="BP18" i="15"/>
  <c r="BP19" i="15"/>
  <c r="BP20" i="15"/>
  <c r="BP21" i="15"/>
  <c r="BP22" i="15"/>
  <c r="BP23" i="15"/>
  <c r="BP24" i="15"/>
  <c r="BP25" i="15"/>
  <c r="BP26" i="15"/>
  <c r="BP27" i="15"/>
  <c r="BP28" i="15"/>
  <c r="BP29" i="15"/>
  <c r="BP30" i="15"/>
  <c r="BP31" i="15"/>
  <c r="BP32" i="15"/>
  <c r="BP33" i="15"/>
  <c r="BP34" i="15"/>
  <c r="BP35" i="15"/>
  <c r="BP36" i="15"/>
  <c r="BP37" i="15"/>
  <c r="BP38" i="15"/>
  <c r="BP39" i="15"/>
  <c r="BP40" i="15"/>
  <c r="BP41" i="15"/>
  <c r="BP42" i="15"/>
  <c r="BP43" i="15"/>
  <c r="BP44" i="15"/>
  <c r="BP45" i="15"/>
  <c r="BP46" i="15"/>
  <c r="BP47" i="15"/>
  <c r="BP48" i="15"/>
  <c r="BP49" i="15"/>
  <c r="BP51" i="15"/>
  <c r="BP52" i="15"/>
  <c r="BP53" i="15"/>
  <c r="BP54" i="15"/>
  <c r="BP55" i="15"/>
  <c r="BP56" i="15"/>
  <c r="BP57" i="15"/>
  <c r="BP58" i="15"/>
  <c r="BP59" i="15"/>
  <c r="BP60" i="15"/>
  <c r="BP61" i="15"/>
  <c r="BP62" i="15"/>
  <c r="BP63" i="15"/>
  <c r="BP64" i="15"/>
  <c r="BP65" i="15"/>
  <c r="BP66" i="15"/>
  <c r="BP67" i="15"/>
  <c r="BP68" i="15"/>
  <c r="BP69" i="15"/>
  <c r="BP70" i="15"/>
  <c r="BP71" i="15"/>
  <c r="BP72" i="15"/>
  <c r="BP73" i="15"/>
  <c r="BP74" i="15"/>
  <c r="BP75" i="15"/>
  <c r="BP76" i="15"/>
  <c r="BP77" i="15"/>
  <c r="BP78" i="15"/>
  <c r="BP79" i="15"/>
  <c r="BP80" i="15"/>
  <c r="BP81" i="15"/>
  <c r="BP82" i="15"/>
  <c r="BP83" i="15"/>
  <c r="BP84" i="15"/>
  <c r="BP85" i="15"/>
  <c r="BP86" i="15"/>
  <c r="BP87" i="15"/>
  <c r="BP88" i="15"/>
  <c r="BP89" i="15"/>
  <c r="BP90" i="15"/>
  <c r="BP91" i="15"/>
  <c r="BP92" i="15"/>
  <c r="BP93" i="15"/>
  <c r="BP94" i="15"/>
  <c r="BP95" i="15"/>
  <c r="BP96" i="15"/>
  <c r="BP97" i="15"/>
  <c r="BP98" i="15"/>
  <c r="BP99" i="15"/>
  <c r="BP100" i="15"/>
  <c r="BP101" i="15"/>
  <c r="BP102" i="15"/>
  <c r="BP103" i="15"/>
  <c r="BP104" i="15"/>
  <c r="BP105" i="15"/>
  <c r="BP106" i="15"/>
  <c r="BP107" i="15"/>
  <c r="BP108" i="15"/>
  <c r="BP109" i="15"/>
  <c r="BP110" i="15"/>
  <c r="BP111" i="15"/>
  <c r="BP112" i="15"/>
  <c r="BP113" i="15"/>
  <c r="BP114" i="15"/>
  <c r="BP115" i="15"/>
  <c r="BP116" i="15"/>
  <c r="BP117" i="15"/>
  <c r="BP118" i="15"/>
  <c r="BP119" i="15"/>
  <c r="BP120" i="15"/>
  <c r="BP121" i="15"/>
  <c r="BP2" i="15"/>
  <c r="BQ121" i="15"/>
  <c r="BQ3" i="15"/>
  <c r="BQ4" i="15"/>
  <c r="BQ5" i="15"/>
  <c r="BQ6" i="15"/>
  <c r="BQ7" i="15"/>
  <c r="BQ8" i="15"/>
  <c r="BQ9" i="15"/>
  <c r="BQ10" i="15"/>
  <c r="BQ11" i="15"/>
  <c r="BQ12" i="15"/>
  <c r="BQ13" i="15"/>
  <c r="BQ14" i="15"/>
  <c r="BQ15" i="15"/>
  <c r="BQ16" i="15"/>
  <c r="BQ17" i="15"/>
  <c r="BQ18" i="15"/>
  <c r="BQ19" i="15"/>
  <c r="BQ20" i="15"/>
  <c r="BQ21" i="15"/>
  <c r="BQ22" i="15"/>
  <c r="BQ23" i="15"/>
  <c r="BQ24" i="15"/>
  <c r="BQ25" i="15"/>
  <c r="BQ26" i="15"/>
  <c r="BQ27" i="15"/>
  <c r="BQ28" i="15"/>
  <c r="BQ29" i="15"/>
  <c r="BQ30" i="15"/>
  <c r="BQ31" i="15"/>
  <c r="BQ32" i="15"/>
  <c r="BQ33" i="15"/>
  <c r="BQ34" i="15"/>
  <c r="BQ35" i="15"/>
  <c r="BQ36" i="15"/>
  <c r="BQ37" i="15"/>
  <c r="BQ38" i="15"/>
  <c r="BQ39" i="15"/>
  <c r="BQ40" i="15"/>
  <c r="BQ41" i="15"/>
  <c r="BQ42" i="15"/>
  <c r="BQ43" i="15"/>
  <c r="BQ44" i="15"/>
  <c r="BQ45" i="15"/>
  <c r="BQ46" i="15"/>
  <c r="BQ47" i="15"/>
  <c r="BQ48" i="15"/>
  <c r="BQ49" i="15"/>
  <c r="BQ51" i="15"/>
  <c r="BQ52" i="15"/>
  <c r="BQ53" i="15"/>
  <c r="BQ54" i="15"/>
  <c r="BQ55" i="15"/>
  <c r="BQ56" i="15"/>
  <c r="BQ57" i="15"/>
  <c r="BQ58" i="15"/>
  <c r="BQ59" i="15"/>
  <c r="BQ60" i="15"/>
  <c r="BQ61" i="15"/>
  <c r="BQ62" i="15"/>
  <c r="BQ63" i="15"/>
  <c r="BQ64" i="15"/>
  <c r="BQ65" i="15"/>
  <c r="BQ66" i="15"/>
  <c r="BQ67" i="15"/>
  <c r="BQ68" i="15"/>
  <c r="BQ69" i="15"/>
  <c r="BQ70" i="15"/>
  <c r="BQ71" i="15"/>
  <c r="BQ72" i="15"/>
  <c r="BQ73" i="15"/>
  <c r="BQ74" i="15"/>
  <c r="BQ75" i="15"/>
  <c r="BQ76" i="15"/>
  <c r="BQ77" i="15"/>
  <c r="BQ78" i="15"/>
  <c r="BQ79" i="15"/>
  <c r="BQ80" i="15"/>
  <c r="BQ81" i="15"/>
  <c r="BQ82" i="15"/>
  <c r="BQ83" i="15"/>
  <c r="BQ84" i="15"/>
  <c r="BQ85" i="15"/>
  <c r="BQ86" i="15"/>
  <c r="BQ87" i="15"/>
  <c r="BQ88" i="15"/>
  <c r="BQ89" i="15"/>
  <c r="BQ90" i="15"/>
  <c r="BQ91" i="15"/>
  <c r="BQ92" i="15"/>
  <c r="BQ93" i="15"/>
  <c r="BQ94" i="15"/>
  <c r="BQ95" i="15"/>
  <c r="BQ96" i="15"/>
  <c r="BQ97" i="15"/>
  <c r="BQ98" i="15"/>
  <c r="BQ99" i="15"/>
  <c r="BQ100" i="15"/>
  <c r="BQ101" i="15"/>
  <c r="BQ102" i="15"/>
  <c r="BQ103" i="15"/>
  <c r="BQ104" i="15"/>
  <c r="BQ105" i="15"/>
  <c r="BQ106" i="15"/>
  <c r="BQ107" i="15"/>
  <c r="BQ108" i="15"/>
  <c r="BQ109" i="15"/>
  <c r="BQ110" i="15"/>
  <c r="BQ111" i="15"/>
  <c r="BQ112" i="15"/>
  <c r="BQ113" i="15"/>
  <c r="BQ114" i="15"/>
  <c r="BQ115" i="15"/>
  <c r="BQ116" i="15"/>
  <c r="BQ117" i="15"/>
  <c r="BQ118" i="15"/>
  <c r="BQ119" i="15"/>
  <c r="BQ120" i="15"/>
  <c r="BQ2" i="15"/>
  <c r="B123" i="24" l="1"/>
  <c r="BN123" i="21" l="1"/>
  <c r="BK123" i="21"/>
  <c r="BJ123" i="21"/>
  <c r="BI123" i="21"/>
  <c r="BH123" i="21"/>
  <c r="BG123" i="21"/>
  <c r="BF123" i="21"/>
  <c r="BE123" i="21"/>
  <c r="BD123" i="21"/>
  <c r="BC123" i="21"/>
  <c r="BB123" i="21"/>
  <c r="BA123" i="21"/>
  <c r="AZ123" i="21"/>
  <c r="AY123" i="21"/>
  <c r="AX123" i="21"/>
  <c r="AW123" i="21"/>
  <c r="AV123" i="21"/>
  <c r="AU123" i="21"/>
  <c r="AS123" i="21"/>
  <c r="AR123" i="21"/>
  <c r="AQ123" i="21"/>
  <c r="AP123" i="21"/>
  <c r="AO123" i="21"/>
  <c r="AM123" i="21"/>
  <c r="AL123" i="21"/>
  <c r="AK123" i="21"/>
  <c r="AJ123" i="21"/>
  <c r="AI123" i="21"/>
  <c r="AH123" i="21"/>
  <c r="AG123" i="21"/>
  <c r="AF123" i="21"/>
  <c r="AE123" i="21"/>
  <c r="AD123" i="21"/>
  <c r="AC123" i="21"/>
  <c r="AB123" i="21"/>
  <c r="AA123" i="21"/>
  <c r="Z123" i="21"/>
  <c r="Y123" i="21"/>
  <c r="X123" i="21"/>
  <c r="W123" i="21"/>
  <c r="V123" i="21"/>
  <c r="U123" i="21"/>
  <c r="T123" i="21"/>
  <c r="S123" i="2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F123" i="21"/>
  <c r="AT112" i="21"/>
  <c r="AT109" i="21"/>
  <c r="AT106" i="21"/>
  <c r="AT104" i="21"/>
  <c r="AT100" i="21"/>
  <c r="AT85" i="21"/>
  <c r="AT77" i="21"/>
  <c r="AT74" i="21"/>
  <c r="AN74" i="21"/>
  <c r="AN123" i="21" s="1"/>
  <c r="AT70" i="21"/>
  <c r="AT57" i="21"/>
  <c r="AT47" i="21"/>
  <c r="AT45" i="21"/>
  <c r="AT41" i="21"/>
  <c r="AT38" i="21"/>
  <c r="AT35" i="21"/>
  <c r="AT31" i="21"/>
  <c r="AT27" i="21"/>
  <c r="AT26" i="21"/>
  <c r="AT20" i="21"/>
  <c r="AT19" i="21"/>
  <c r="AT16" i="21"/>
  <c r="AT13" i="21"/>
  <c r="AT11" i="21"/>
  <c r="AT9" i="21"/>
  <c r="AT7" i="21"/>
  <c r="AT4" i="21"/>
  <c r="AJ1" i="21"/>
  <c r="AC1" i="21"/>
  <c r="AB1" i="21"/>
  <c r="AA1" i="21"/>
  <c r="Z1" i="21"/>
  <c r="Y1" i="21"/>
  <c r="X1" i="21"/>
  <c r="W1" i="21"/>
  <c r="V1" i="21"/>
  <c r="U1" i="21"/>
  <c r="T1" i="21"/>
  <c r="S1" i="21"/>
  <c r="R1" i="21"/>
  <c r="Q1" i="21"/>
  <c r="P1" i="21"/>
  <c r="A1" i="21"/>
  <c r="BZ123" i="20"/>
  <c r="BY123" i="20"/>
  <c r="BV123" i="20"/>
  <c r="BS123" i="20"/>
  <c r="BR123" i="20"/>
  <c r="BQ123" i="20"/>
  <c r="BP123" i="20"/>
  <c r="BO123" i="20"/>
  <c r="BN123" i="20"/>
  <c r="BM123" i="20"/>
  <c r="BL123" i="20"/>
  <c r="BK123" i="20"/>
  <c r="BJ123" i="20"/>
  <c r="BI123" i="20"/>
  <c r="BH123" i="20"/>
  <c r="BG123" i="20"/>
  <c r="BF123" i="20"/>
  <c r="BE123" i="20"/>
  <c r="BD123" i="20"/>
  <c r="BC123" i="20"/>
  <c r="BB123" i="20"/>
  <c r="BA123" i="20"/>
  <c r="AZ123" i="20"/>
  <c r="AY123" i="20"/>
  <c r="AW123" i="20"/>
  <c r="AV123" i="20"/>
  <c r="AU123" i="20"/>
  <c r="AT123" i="20"/>
  <c r="AS123" i="20"/>
  <c r="AR123" i="20"/>
  <c r="AQ123" i="20"/>
  <c r="AP123" i="20"/>
  <c r="AO123" i="20"/>
  <c r="AN123" i="20"/>
  <c r="AM123" i="20"/>
  <c r="AL123" i="20"/>
  <c r="AK123" i="20"/>
  <c r="AJ123" i="20"/>
  <c r="AI123" i="20"/>
  <c r="AH123" i="20"/>
  <c r="AG123" i="20"/>
  <c r="AD123" i="20"/>
  <c r="AC123" i="20"/>
  <c r="AB123" i="20"/>
  <c r="AA123" i="20"/>
  <c r="Z123" i="20"/>
  <c r="Y123" i="20"/>
  <c r="X123" i="20"/>
  <c r="W123" i="20"/>
  <c r="V123" i="20"/>
  <c r="U123" i="20"/>
  <c r="T123" i="20"/>
  <c r="S123" i="20"/>
  <c r="R123" i="20"/>
  <c r="Q123" i="20"/>
  <c r="P123" i="20"/>
  <c r="P129" i="20" s="1"/>
  <c r="O123" i="20"/>
  <c r="N123" i="20"/>
  <c r="M123" i="20"/>
  <c r="L123" i="20"/>
  <c r="K123" i="20"/>
  <c r="J123" i="20"/>
  <c r="I123" i="20"/>
  <c r="H123" i="20"/>
  <c r="G123" i="20"/>
  <c r="F123" i="20"/>
  <c r="CE121" i="20"/>
  <c r="CD121" i="20"/>
  <c r="CC121" i="20"/>
  <c r="CF121" i="20" s="1"/>
  <c r="CA121" i="20"/>
  <c r="AX121" i="20"/>
  <c r="CF120" i="20"/>
  <c r="CE120" i="20"/>
  <c r="CD120" i="20"/>
  <c r="CC120" i="20"/>
  <c r="CA120" i="20"/>
  <c r="CE119" i="20"/>
  <c r="CD119" i="20"/>
  <c r="CC119" i="20"/>
  <c r="CF119" i="20" s="1"/>
  <c r="CA119" i="20"/>
  <c r="CE118" i="20"/>
  <c r="CD118" i="20"/>
  <c r="CC118" i="20"/>
  <c r="CA118" i="20"/>
  <c r="CE117" i="20"/>
  <c r="CD117" i="20"/>
  <c r="CC117" i="20"/>
  <c r="CF117" i="20" s="1"/>
  <c r="CA117" i="20"/>
  <c r="CE116" i="20"/>
  <c r="CD116" i="20"/>
  <c r="CF116" i="20" s="1"/>
  <c r="CC116" i="20"/>
  <c r="CA116" i="20"/>
  <c r="CE115" i="20"/>
  <c r="CD115" i="20"/>
  <c r="CC115" i="20"/>
  <c r="CF115" i="20" s="1"/>
  <c r="CA115" i="20"/>
  <c r="CE114" i="20"/>
  <c r="CD114" i="20"/>
  <c r="CC114" i="20"/>
  <c r="CA114" i="20"/>
  <c r="CE113" i="20"/>
  <c r="CD113" i="20"/>
  <c r="CC113" i="20"/>
  <c r="CA113" i="20"/>
  <c r="CE112" i="20"/>
  <c r="CD112" i="20"/>
  <c r="CC112" i="20"/>
  <c r="CF112" i="20" s="1"/>
  <c r="CA112" i="20"/>
  <c r="CE111" i="20"/>
  <c r="CD111" i="20"/>
  <c r="CC111" i="20"/>
  <c r="CF111" i="20" s="1"/>
  <c r="CA111" i="20"/>
  <c r="CE110" i="20"/>
  <c r="CD110" i="20"/>
  <c r="CC110" i="20"/>
  <c r="CA110" i="20"/>
  <c r="CE109" i="20"/>
  <c r="CD109" i="20"/>
  <c r="CC109" i="20"/>
  <c r="CA109" i="20"/>
  <c r="CE108" i="20"/>
  <c r="CD108" i="20"/>
  <c r="CC108" i="20"/>
  <c r="CF108" i="20" s="1"/>
  <c r="CA108" i="20"/>
  <c r="CE107" i="20"/>
  <c r="CD107" i="20"/>
  <c r="CF107" i="20" s="1"/>
  <c r="CC107" i="20"/>
  <c r="CA107" i="20"/>
  <c r="CE106" i="20"/>
  <c r="CD106" i="20"/>
  <c r="CC106" i="20"/>
  <c r="CA106" i="20"/>
  <c r="AX106" i="20"/>
  <c r="CE105" i="20"/>
  <c r="CD105" i="20"/>
  <c r="CC105" i="20"/>
  <c r="CA105" i="20"/>
  <c r="AX105" i="20"/>
  <c r="CE104" i="20"/>
  <c r="CD104" i="20"/>
  <c r="CC104" i="20"/>
  <c r="CF104" i="20" s="1"/>
  <c r="CA104" i="20"/>
  <c r="AX104" i="20"/>
  <c r="CF103" i="20"/>
  <c r="CE103" i="20"/>
  <c r="CD103" i="20"/>
  <c r="CC103" i="20"/>
  <c r="CA103" i="20"/>
  <c r="CE102" i="20"/>
  <c r="CD102" i="20"/>
  <c r="CC102" i="20"/>
  <c r="CA102" i="20"/>
  <c r="CE101" i="20"/>
  <c r="CD101" i="20"/>
  <c r="CC101" i="20"/>
  <c r="CA101" i="20"/>
  <c r="CE100" i="20"/>
  <c r="CD100" i="20"/>
  <c r="CC100" i="20"/>
  <c r="CA100" i="20"/>
  <c r="CE99" i="20"/>
  <c r="CD99" i="20"/>
  <c r="CC99" i="20"/>
  <c r="CA99" i="20"/>
  <c r="AX99" i="20"/>
  <c r="CE98" i="20"/>
  <c r="CD98" i="20"/>
  <c r="CC98" i="20"/>
  <c r="CA98" i="20"/>
  <c r="CE97" i="20"/>
  <c r="CD97" i="20"/>
  <c r="CC97" i="20"/>
  <c r="CA97" i="20"/>
  <c r="CE96" i="20"/>
  <c r="CD96" i="20"/>
  <c r="CC96" i="20"/>
  <c r="CA96" i="20"/>
  <c r="CE95" i="20"/>
  <c r="CD95" i="20"/>
  <c r="CC95" i="20"/>
  <c r="CF95" i="20" s="1"/>
  <c r="CA95" i="20"/>
  <c r="CE94" i="20"/>
  <c r="CD94" i="20"/>
  <c r="CC94" i="20"/>
  <c r="CA94" i="20"/>
  <c r="CE93" i="20"/>
  <c r="CD93" i="20"/>
  <c r="CC93" i="20"/>
  <c r="CA93" i="20"/>
  <c r="AX93" i="20"/>
  <c r="CF92" i="20"/>
  <c r="CE92" i="20"/>
  <c r="CD92" i="20"/>
  <c r="CC92" i="20"/>
  <c r="CA92" i="20"/>
  <c r="CE91" i="20"/>
  <c r="CD91" i="20"/>
  <c r="CC91" i="20"/>
  <c r="CA91" i="20"/>
  <c r="CE90" i="20"/>
  <c r="CD90" i="20"/>
  <c r="CF90" i="20" s="1"/>
  <c r="CC90" i="20"/>
  <c r="CA90" i="20"/>
  <c r="CE89" i="20"/>
  <c r="CF89" i="20" s="1"/>
  <c r="CD89" i="20"/>
  <c r="CC89" i="20"/>
  <c r="CA89" i="20"/>
  <c r="CE88" i="20"/>
  <c r="CD88" i="20"/>
  <c r="CC88" i="20"/>
  <c r="CF88" i="20" s="1"/>
  <c r="CA88" i="20"/>
  <c r="AX88" i="20"/>
  <c r="CE87" i="20"/>
  <c r="CD87" i="20"/>
  <c r="CC87" i="20"/>
  <c r="CA87" i="20"/>
  <c r="CE86" i="20"/>
  <c r="CD86" i="20"/>
  <c r="CC86" i="20"/>
  <c r="CF86" i="20" s="1"/>
  <c r="CA86" i="20"/>
  <c r="CE85" i="20"/>
  <c r="CD85" i="20"/>
  <c r="CC85" i="20"/>
  <c r="CA85" i="20"/>
  <c r="AX85" i="20"/>
  <c r="CE84" i="20"/>
  <c r="CD84" i="20"/>
  <c r="CC84" i="20"/>
  <c r="CA84" i="20"/>
  <c r="AX84" i="20"/>
  <c r="CE83" i="20"/>
  <c r="CD83" i="20"/>
  <c r="CC83" i="20"/>
  <c r="CF83" i="20" s="1"/>
  <c r="CA83" i="20"/>
  <c r="CE82" i="20"/>
  <c r="CD82" i="20"/>
  <c r="CC82" i="20"/>
  <c r="CA82" i="20"/>
  <c r="CE81" i="20"/>
  <c r="CD81" i="20"/>
  <c r="CF81" i="20" s="1"/>
  <c r="CC81" i="20"/>
  <c r="CA81" i="20"/>
  <c r="CE80" i="20"/>
  <c r="CD80" i="20"/>
  <c r="CC80" i="20"/>
  <c r="CF80" i="20" s="1"/>
  <c r="BX80" i="20"/>
  <c r="CA80" i="20" s="1"/>
  <c r="CE79" i="20"/>
  <c r="CD79" i="20"/>
  <c r="CC79" i="20"/>
  <c r="CF79" i="20" s="1"/>
  <c r="CA79" i="20"/>
  <c r="CE78" i="20"/>
  <c r="CD78" i="20"/>
  <c r="CF78" i="20" s="1"/>
  <c r="CC78" i="20"/>
  <c r="CA78" i="20"/>
  <c r="CF77" i="20"/>
  <c r="CE77" i="20"/>
  <c r="CD77" i="20"/>
  <c r="CC77" i="20"/>
  <c r="CA77" i="20"/>
  <c r="AX77" i="20"/>
  <c r="CE76" i="20"/>
  <c r="CD76" i="20"/>
  <c r="CC76" i="20"/>
  <c r="CA76" i="20"/>
  <c r="CE75" i="20"/>
  <c r="CD75" i="20"/>
  <c r="CC75" i="20"/>
  <c r="CA75" i="20"/>
  <c r="CE74" i="20"/>
  <c r="CD74" i="20"/>
  <c r="CF74" i="20" s="1"/>
  <c r="CC74" i="20"/>
  <c r="CA74" i="20"/>
  <c r="AX74" i="20"/>
  <c r="CE73" i="20"/>
  <c r="CD73" i="20"/>
  <c r="CC73" i="20"/>
  <c r="CF73" i="20" s="1"/>
  <c r="CA73" i="20"/>
  <c r="CE72" i="20"/>
  <c r="CD72" i="20"/>
  <c r="CC72" i="20"/>
  <c r="CA72" i="20"/>
  <c r="CE71" i="20"/>
  <c r="CF71" i="20" s="1"/>
  <c r="CD71" i="20"/>
  <c r="CC71" i="20"/>
  <c r="CA71" i="20"/>
  <c r="CE70" i="20"/>
  <c r="CD70" i="20"/>
  <c r="CC70" i="20"/>
  <c r="CA70" i="20"/>
  <c r="AX70" i="20"/>
  <c r="CE69" i="20"/>
  <c r="CD69" i="20"/>
  <c r="CC69" i="20"/>
  <c r="CA69" i="20"/>
  <c r="CF68" i="20"/>
  <c r="CE68" i="20"/>
  <c r="CD68" i="20"/>
  <c r="CC68" i="20"/>
  <c r="CA68" i="20"/>
  <c r="CE67" i="20"/>
  <c r="CD67" i="20"/>
  <c r="CC67" i="20"/>
  <c r="CA67" i="20"/>
  <c r="CE66" i="20"/>
  <c r="CD66" i="20"/>
  <c r="CC66" i="20"/>
  <c r="CA66" i="20"/>
  <c r="CE65" i="20"/>
  <c r="CD65" i="20"/>
  <c r="CC65" i="20"/>
  <c r="CF65" i="20" s="1"/>
  <c r="CA65" i="20"/>
  <c r="CE64" i="20"/>
  <c r="CD64" i="20"/>
  <c r="CC64" i="20"/>
  <c r="CF64" i="20" s="1"/>
  <c r="CA64" i="20"/>
  <c r="CE63" i="20"/>
  <c r="CD63" i="20"/>
  <c r="CF63" i="20" s="1"/>
  <c r="CC63" i="20"/>
  <c r="CA63" i="20"/>
  <c r="CE62" i="20"/>
  <c r="CD62" i="20"/>
  <c r="CC62" i="20"/>
  <c r="CF62" i="20" s="1"/>
  <c r="CA62" i="20"/>
  <c r="CE61" i="20"/>
  <c r="CD61" i="20"/>
  <c r="CC61" i="20"/>
  <c r="CF61" i="20" s="1"/>
  <c r="CA61" i="20"/>
  <c r="CE60" i="20"/>
  <c r="CD60" i="20"/>
  <c r="CC60" i="20"/>
  <c r="CF60" i="20" s="1"/>
  <c r="CA60" i="20"/>
  <c r="AX60" i="20"/>
  <c r="CE59" i="20"/>
  <c r="CD59" i="20"/>
  <c r="CC59" i="20"/>
  <c r="CA59" i="20"/>
  <c r="CE58" i="20"/>
  <c r="CD58" i="20"/>
  <c r="CC58" i="20"/>
  <c r="CA58" i="20"/>
  <c r="AX58" i="20"/>
  <c r="CE57" i="20"/>
  <c r="CD57" i="20"/>
  <c r="CC57" i="20"/>
  <c r="CF57" i="20" s="1"/>
  <c r="CA57" i="20"/>
  <c r="AX57" i="20"/>
  <c r="CE56" i="20"/>
  <c r="CD56" i="20"/>
  <c r="CC56" i="20"/>
  <c r="CA56" i="20"/>
  <c r="CE55" i="20"/>
  <c r="CD55" i="20"/>
  <c r="CC55" i="20"/>
  <c r="CA55" i="20"/>
  <c r="CE54" i="20"/>
  <c r="CF54" i="20" s="1"/>
  <c r="CD54" i="20"/>
  <c r="CC54" i="20"/>
  <c r="CA54" i="20"/>
  <c r="CE53" i="20"/>
  <c r="CD53" i="20"/>
  <c r="CC53" i="20"/>
  <c r="CA53" i="20"/>
  <c r="CE52" i="20"/>
  <c r="CD52" i="20"/>
  <c r="CF52" i="20" s="1"/>
  <c r="CC52" i="20"/>
  <c r="CA52" i="20"/>
  <c r="AX52" i="20"/>
  <c r="CE51" i="20"/>
  <c r="CD51" i="20"/>
  <c r="CC51" i="20"/>
  <c r="CF51" i="20" s="1"/>
  <c r="CA51" i="20"/>
  <c r="AX51" i="20"/>
  <c r="CE50" i="20"/>
  <c r="CD50" i="20"/>
  <c r="CC50" i="20"/>
  <c r="CF50" i="20" s="1"/>
  <c r="CA50" i="20"/>
  <c r="CE49" i="20"/>
  <c r="CD49" i="20"/>
  <c r="CC49" i="20"/>
  <c r="CA49" i="20"/>
  <c r="CE48" i="20"/>
  <c r="CD48" i="20"/>
  <c r="CC48" i="20"/>
  <c r="CF48" i="20" s="1"/>
  <c r="CA48" i="20"/>
  <c r="CE47" i="20"/>
  <c r="CD47" i="20"/>
  <c r="CC47" i="20"/>
  <c r="CA47" i="20"/>
  <c r="AX47" i="20"/>
  <c r="CE46" i="20"/>
  <c r="CD46" i="20"/>
  <c r="CC46" i="20"/>
  <c r="CA46" i="20"/>
  <c r="CE45" i="20"/>
  <c r="CD45" i="20"/>
  <c r="CC45" i="20"/>
  <c r="CF45" i="20" s="1"/>
  <c r="CA45" i="20"/>
  <c r="AX45" i="20"/>
  <c r="CE44" i="20"/>
  <c r="CD44" i="20"/>
  <c r="CC44" i="20"/>
  <c r="CA44" i="20"/>
  <c r="CE43" i="20"/>
  <c r="CD43" i="20"/>
  <c r="CC43" i="20"/>
  <c r="CF43" i="20" s="1"/>
  <c r="CA43" i="20"/>
  <c r="CF42" i="20"/>
  <c r="CE42" i="20"/>
  <c r="CD42" i="20"/>
  <c r="CC42" i="20"/>
  <c r="CA42" i="20"/>
  <c r="AX42" i="20"/>
  <c r="CE41" i="20"/>
  <c r="CD41" i="20"/>
  <c r="CC41" i="20"/>
  <c r="CF41" i="20" s="1"/>
  <c r="CA41" i="20"/>
  <c r="AX41" i="20"/>
  <c r="CE40" i="20"/>
  <c r="CD40" i="20"/>
  <c r="CC40" i="20"/>
  <c r="CA40" i="20"/>
  <c r="CE39" i="20"/>
  <c r="CD39" i="20"/>
  <c r="CC39" i="20"/>
  <c r="CA39" i="20"/>
  <c r="AF39" i="20"/>
  <c r="AF123" i="20" s="1"/>
  <c r="AE39" i="20"/>
  <c r="AE123" i="20" s="1"/>
  <c r="CE38" i="20"/>
  <c r="CD38" i="20"/>
  <c r="CC38" i="20"/>
  <c r="CF38" i="20" s="1"/>
  <c r="CA38" i="20"/>
  <c r="AX38" i="20"/>
  <c r="CE37" i="20"/>
  <c r="CD37" i="20"/>
  <c r="CC37" i="20"/>
  <c r="CA37" i="20"/>
  <c r="CE36" i="20"/>
  <c r="CD36" i="20"/>
  <c r="CC36" i="20"/>
  <c r="CA36" i="20"/>
  <c r="CE35" i="20"/>
  <c r="CD35" i="20"/>
  <c r="CF35" i="20" s="1"/>
  <c r="CC35" i="20"/>
  <c r="CA35" i="20"/>
  <c r="AX35" i="20"/>
  <c r="CE34" i="20"/>
  <c r="CD34" i="20"/>
  <c r="CC34" i="20"/>
  <c r="CA34" i="20"/>
  <c r="CE33" i="20"/>
  <c r="CD33" i="20"/>
  <c r="CC33" i="20"/>
  <c r="CF33" i="20" s="1"/>
  <c r="CA33" i="20"/>
  <c r="AX33" i="20"/>
  <c r="CE32" i="20"/>
  <c r="CD32" i="20"/>
  <c r="CC32" i="20"/>
  <c r="CA32" i="20"/>
  <c r="CE31" i="20"/>
  <c r="CD31" i="20"/>
  <c r="CC31" i="20"/>
  <c r="CF31" i="20" s="1"/>
  <c r="CA31" i="20"/>
  <c r="AX31" i="20"/>
  <c r="CE30" i="20"/>
  <c r="CD30" i="20"/>
  <c r="CC30" i="20"/>
  <c r="CA30" i="20"/>
  <c r="CE29" i="20"/>
  <c r="CD29" i="20"/>
  <c r="CC29" i="20"/>
  <c r="CA29" i="20"/>
  <c r="CE28" i="20"/>
  <c r="CD28" i="20"/>
  <c r="CC28" i="20"/>
  <c r="CF28" i="20" s="1"/>
  <c r="CA28" i="20"/>
  <c r="CE27" i="20"/>
  <c r="CD27" i="20"/>
  <c r="CC27" i="20"/>
  <c r="CF27" i="20" s="1"/>
  <c r="CA27" i="20"/>
  <c r="CF26" i="20"/>
  <c r="CE26" i="20"/>
  <c r="CD26" i="20"/>
  <c r="CC26" i="20"/>
  <c r="CA26" i="20"/>
  <c r="AX26" i="20"/>
  <c r="CE25" i="20"/>
  <c r="CD25" i="20"/>
  <c r="CC25" i="20"/>
  <c r="BX25" i="20"/>
  <c r="BX123" i="20" s="1"/>
  <c r="CE24" i="20"/>
  <c r="CD24" i="20"/>
  <c r="CC24" i="20"/>
  <c r="CF24" i="20" s="1"/>
  <c r="CA24" i="20"/>
  <c r="CE23" i="20"/>
  <c r="CD23" i="20"/>
  <c r="CC23" i="20"/>
  <c r="CA23" i="20"/>
  <c r="CE22" i="20"/>
  <c r="CD22" i="20"/>
  <c r="CC22" i="20"/>
  <c r="CA22" i="20"/>
  <c r="CE21" i="20"/>
  <c r="CD21" i="20"/>
  <c r="CC21" i="20"/>
  <c r="CA21" i="20"/>
  <c r="CE20" i="20"/>
  <c r="CD20" i="20"/>
  <c r="CC20" i="20"/>
  <c r="CF20" i="20" s="1"/>
  <c r="CA20" i="20"/>
  <c r="CE19" i="20"/>
  <c r="CD19" i="20"/>
  <c r="CC19" i="20"/>
  <c r="CA19" i="20"/>
  <c r="AX19" i="20"/>
  <c r="CE18" i="20"/>
  <c r="CD18" i="20"/>
  <c r="CC18" i="20"/>
  <c r="CA18" i="20"/>
  <c r="CE17" i="20"/>
  <c r="CD17" i="20"/>
  <c r="CC17" i="20"/>
  <c r="CF17" i="20" s="1"/>
  <c r="CA17" i="20"/>
  <c r="AX17" i="20"/>
  <c r="CE16" i="20"/>
  <c r="CD16" i="20"/>
  <c r="CC16" i="20"/>
  <c r="CA16" i="20"/>
  <c r="AX16" i="20"/>
  <c r="CE15" i="20"/>
  <c r="CD15" i="20"/>
  <c r="CC15" i="20"/>
  <c r="CA15" i="20"/>
  <c r="CE14" i="20"/>
  <c r="CD14" i="20"/>
  <c r="CC14" i="20"/>
  <c r="CF14" i="20" s="1"/>
  <c r="CA14" i="20"/>
  <c r="CE13" i="20"/>
  <c r="CD13" i="20"/>
  <c r="CC13" i="20"/>
  <c r="CF13" i="20" s="1"/>
  <c r="CA13" i="20"/>
  <c r="CE12" i="20"/>
  <c r="CD12" i="20"/>
  <c r="CC12" i="20"/>
  <c r="CA12" i="20"/>
  <c r="CF11" i="20"/>
  <c r="CE11" i="20"/>
  <c r="CD11" i="20"/>
  <c r="CC11" i="20"/>
  <c r="CA11" i="20"/>
  <c r="AX11" i="20"/>
  <c r="CE10" i="20"/>
  <c r="CD10" i="20"/>
  <c r="CC10" i="20"/>
  <c r="CA10" i="20"/>
  <c r="AX10" i="20"/>
  <c r="CE9" i="20"/>
  <c r="CD9" i="20"/>
  <c r="CC9" i="20"/>
  <c r="CA9" i="20"/>
  <c r="AX9" i="20"/>
  <c r="CE8" i="20"/>
  <c r="CD8" i="20"/>
  <c r="CC8" i="20"/>
  <c r="CA8" i="20"/>
  <c r="CE7" i="20"/>
  <c r="CD7" i="20"/>
  <c r="CF7" i="20" s="1"/>
  <c r="CC7" i="20"/>
  <c r="CA7" i="20"/>
  <c r="CE6" i="20"/>
  <c r="CD6" i="20"/>
  <c r="CC6" i="20"/>
  <c r="CA6" i="20"/>
  <c r="CE5" i="20"/>
  <c r="CD5" i="20"/>
  <c r="CC5" i="20"/>
  <c r="CF5" i="20" s="1"/>
  <c r="CA5" i="20"/>
  <c r="CE4" i="20"/>
  <c r="CD4" i="20"/>
  <c r="CC4" i="20"/>
  <c r="CA4" i="20"/>
  <c r="CE3" i="20"/>
  <c r="CD3" i="20"/>
  <c r="CC3" i="20"/>
  <c r="CA3" i="20"/>
  <c r="CE2" i="20"/>
  <c r="CF2" i="20" s="1"/>
  <c r="CD2" i="20"/>
  <c r="CC2" i="20"/>
  <c r="CA2" i="20"/>
  <c r="AN1" i="20"/>
  <c r="AM1" i="20"/>
  <c r="AK1" i="20"/>
  <c r="AJ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A1" i="20"/>
  <c r="BR123" i="18"/>
  <c r="BO123" i="18"/>
  <c r="BN123" i="18"/>
  <c r="BM123" i="18"/>
  <c r="BL123" i="18"/>
  <c r="BK123" i="18"/>
  <c r="BJ123" i="18"/>
  <c r="BI123" i="18"/>
  <c r="BH123" i="18"/>
  <c r="BG123" i="18"/>
  <c r="BF123" i="18"/>
  <c r="BE123" i="18"/>
  <c r="BD123" i="18"/>
  <c r="BC123" i="18"/>
  <c r="BB123" i="18"/>
  <c r="BA123" i="18"/>
  <c r="AZ123" i="18"/>
  <c r="AY123" i="18"/>
  <c r="AX123" i="18"/>
  <c r="AW123" i="18"/>
  <c r="AV123" i="18"/>
  <c r="AS123" i="18"/>
  <c r="AP123" i="18"/>
  <c r="AM123" i="18"/>
  <c r="AL123" i="18"/>
  <c r="AK123" i="18"/>
  <c r="AJ123" i="18"/>
  <c r="AI123" i="18"/>
  <c r="AH123" i="18"/>
  <c r="AG123" i="18"/>
  <c r="AF123" i="18"/>
  <c r="AE123" i="18"/>
  <c r="AD123" i="18"/>
  <c r="AC123" i="18"/>
  <c r="AB123" i="18"/>
  <c r="AA123" i="18"/>
  <c r="Z123" i="18"/>
  <c r="Y123" i="18"/>
  <c r="X123" i="18"/>
  <c r="W123" i="18"/>
  <c r="V123" i="18"/>
  <c r="U123" i="18"/>
  <c r="T123" i="18"/>
  <c r="S123" i="18"/>
  <c r="R123" i="18"/>
  <c r="Q123" i="18"/>
  <c r="P123" i="18"/>
  <c r="O123" i="18"/>
  <c r="N123" i="18"/>
  <c r="M123" i="18"/>
  <c r="L123" i="18"/>
  <c r="K123" i="18"/>
  <c r="J123" i="18"/>
  <c r="I123" i="18"/>
  <c r="H123" i="18"/>
  <c r="G123" i="18"/>
  <c r="F123" i="18"/>
  <c r="BW121" i="18"/>
  <c r="BV121" i="18"/>
  <c r="BU121" i="18"/>
  <c r="BW120" i="18"/>
  <c r="BV120" i="18"/>
  <c r="BU120" i="18"/>
  <c r="BW119" i="18"/>
  <c r="BV119" i="18"/>
  <c r="BU119" i="18"/>
  <c r="BW118" i="18"/>
  <c r="BV118" i="18"/>
  <c r="BU118" i="18"/>
  <c r="BW117" i="18"/>
  <c r="BV117" i="18"/>
  <c r="BU117" i="18"/>
  <c r="BW116" i="18"/>
  <c r="BV116" i="18"/>
  <c r="BU116" i="18"/>
  <c r="BW115" i="18"/>
  <c r="BV115" i="18"/>
  <c r="BU115" i="18"/>
  <c r="BW114" i="18"/>
  <c r="BV114" i="18"/>
  <c r="BU114" i="18"/>
  <c r="BW113" i="18"/>
  <c r="BV113" i="18"/>
  <c r="BU113" i="18"/>
  <c r="BW112" i="18"/>
  <c r="BV112" i="18"/>
  <c r="BU112" i="18"/>
  <c r="BW111" i="18"/>
  <c r="BV111" i="18"/>
  <c r="BU111" i="18"/>
  <c r="BW110" i="18"/>
  <c r="BV110" i="18"/>
  <c r="BU110" i="18"/>
  <c r="BW109" i="18"/>
  <c r="BV109" i="18"/>
  <c r="BU109" i="18"/>
  <c r="BW108" i="18"/>
  <c r="BV108" i="18"/>
  <c r="BU108" i="18"/>
  <c r="BW107" i="18"/>
  <c r="BV107" i="18"/>
  <c r="BU107" i="18"/>
  <c r="BW106" i="18"/>
  <c r="BV106" i="18"/>
  <c r="BU106" i="18"/>
  <c r="AT106" i="18"/>
  <c r="BW105" i="18"/>
  <c r="BV105" i="18"/>
  <c r="BU105" i="18"/>
  <c r="AT105" i="18"/>
  <c r="BW104" i="18"/>
  <c r="BV104" i="18"/>
  <c r="BU104" i="18"/>
  <c r="BW103" i="18"/>
  <c r="BV103" i="18"/>
  <c r="BU103" i="18"/>
  <c r="BW102" i="18"/>
  <c r="BV102" i="18"/>
  <c r="BU102" i="18"/>
  <c r="BW101" i="18"/>
  <c r="BV101" i="18"/>
  <c r="BU101" i="18"/>
  <c r="AT101" i="18"/>
  <c r="BW100" i="18"/>
  <c r="BV100" i="18"/>
  <c r="BU100" i="18"/>
  <c r="BW99" i="18"/>
  <c r="BV99" i="18"/>
  <c r="BU99" i="18"/>
  <c r="BW98" i="18"/>
  <c r="BV98" i="18"/>
  <c r="BU98" i="18"/>
  <c r="BW97" i="18"/>
  <c r="BV97" i="18"/>
  <c r="BU97" i="18"/>
  <c r="BW96" i="18"/>
  <c r="BV96" i="18"/>
  <c r="BU96" i="18"/>
  <c r="BW95" i="18"/>
  <c r="BV95" i="18"/>
  <c r="BU95" i="18"/>
  <c r="BW94" i="18"/>
  <c r="BV94" i="18"/>
  <c r="BU94" i="18"/>
  <c r="BW93" i="18"/>
  <c r="BV93" i="18"/>
  <c r="BU93" i="18"/>
  <c r="AT93" i="18"/>
  <c r="BW92" i="18"/>
  <c r="BV92" i="18"/>
  <c r="BU92" i="18"/>
  <c r="AT92" i="18"/>
  <c r="BW91" i="18"/>
  <c r="BV91" i="18"/>
  <c r="BU91" i="18"/>
  <c r="AT91" i="18"/>
  <c r="BW90" i="18"/>
  <c r="BV90" i="18"/>
  <c r="BU90" i="18"/>
  <c r="BW89" i="18"/>
  <c r="BV89" i="18"/>
  <c r="BU89" i="18"/>
  <c r="BW88" i="18"/>
  <c r="BV88" i="18"/>
  <c r="BU88" i="18"/>
  <c r="BW87" i="18"/>
  <c r="BV87" i="18"/>
  <c r="BU87" i="18"/>
  <c r="BW86" i="18"/>
  <c r="BV86" i="18"/>
  <c r="BU86" i="18"/>
  <c r="BW85" i="18"/>
  <c r="BV85" i="18"/>
  <c r="BU85" i="18"/>
  <c r="AT85" i="18"/>
  <c r="BW84" i="18"/>
  <c r="BV84" i="18"/>
  <c r="BU84" i="18"/>
  <c r="BW83" i="18"/>
  <c r="BV83" i="18"/>
  <c r="BU83" i="18"/>
  <c r="BW82" i="18"/>
  <c r="BV82" i="18"/>
  <c r="BU82" i="18"/>
  <c r="BW81" i="18"/>
  <c r="BV81" i="18"/>
  <c r="BU81" i="18"/>
  <c r="BW80" i="18"/>
  <c r="BV80" i="18"/>
  <c r="BU80" i="18"/>
  <c r="BW79" i="18"/>
  <c r="BV79" i="18"/>
  <c r="BU79" i="18"/>
  <c r="BW78" i="18"/>
  <c r="BV78" i="18"/>
  <c r="BU78" i="18"/>
  <c r="BW77" i="18"/>
  <c r="BV77" i="18"/>
  <c r="BU77" i="18"/>
  <c r="AT77" i="18"/>
  <c r="BW76" i="18"/>
  <c r="BV76" i="18"/>
  <c r="BU76" i="18"/>
  <c r="BW75" i="18"/>
  <c r="BV75" i="18"/>
  <c r="BU75" i="18"/>
  <c r="BW74" i="18"/>
  <c r="BV74" i="18"/>
  <c r="BU74" i="18"/>
  <c r="AT74" i="18"/>
  <c r="BW73" i="18"/>
  <c r="BV73" i="18"/>
  <c r="BU73" i="18"/>
  <c r="BW72" i="18"/>
  <c r="BV72" i="18"/>
  <c r="BU72" i="18"/>
  <c r="BW71" i="18"/>
  <c r="BV71" i="18"/>
  <c r="BU71" i="18"/>
  <c r="BW70" i="18"/>
  <c r="BV70" i="18"/>
  <c r="BU70" i="18"/>
  <c r="BW69" i="18"/>
  <c r="BV69" i="18"/>
  <c r="BU69" i="18"/>
  <c r="AT69" i="18"/>
  <c r="BW68" i="18"/>
  <c r="BV68" i="18"/>
  <c r="BU68" i="18"/>
  <c r="BW67" i="18"/>
  <c r="BV67" i="18"/>
  <c r="BU67" i="18"/>
  <c r="BW66" i="18"/>
  <c r="BV66" i="18"/>
  <c r="BU66" i="18"/>
  <c r="BW65" i="18"/>
  <c r="BV65" i="18"/>
  <c r="BU65" i="18"/>
  <c r="BW64" i="18"/>
  <c r="BV64" i="18"/>
  <c r="BU64" i="18"/>
  <c r="BW63" i="18"/>
  <c r="BV63" i="18"/>
  <c r="BU63" i="18"/>
  <c r="BW62" i="18"/>
  <c r="BV62" i="18"/>
  <c r="BU62" i="18"/>
  <c r="BW61" i="18"/>
  <c r="BV61" i="18"/>
  <c r="BU61" i="18"/>
  <c r="BW60" i="18"/>
  <c r="BV60" i="18"/>
  <c r="BU60" i="18"/>
  <c r="BW59" i="18"/>
  <c r="BV59" i="18"/>
  <c r="BU59" i="18"/>
  <c r="AT59" i="18"/>
  <c r="BW58" i="18"/>
  <c r="BV58" i="18"/>
  <c r="BU58" i="18"/>
  <c r="BW57" i="18"/>
  <c r="BV57" i="18"/>
  <c r="BU57" i="18"/>
  <c r="AT57" i="18"/>
  <c r="BW56" i="18"/>
  <c r="BV56" i="18"/>
  <c r="BU56" i="18"/>
  <c r="BW55" i="18"/>
  <c r="BV55" i="18"/>
  <c r="BU55" i="18"/>
  <c r="BW54" i="18"/>
  <c r="BV54" i="18"/>
  <c r="BU54" i="18"/>
  <c r="BW53" i="18"/>
  <c r="BV53" i="18"/>
  <c r="BU53" i="18"/>
  <c r="BW52" i="18"/>
  <c r="BV52" i="18"/>
  <c r="BU52" i="18"/>
  <c r="BW51" i="18"/>
  <c r="BV51" i="18"/>
  <c r="BU51" i="18"/>
  <c r="BW50" i="18"/>
  <c r="BV50" i="18"/>
  <c r="BU50" i="18"/>
  <c r="BW49" i="18"/>
  <c r="BV49" i="18"/>
  <c r="BU49" i="18"/>
  <c r="BW48" i="18"/>
  <c r="BV48" i="18"/>
  <c r="BU48" i="18"/>
  <c r="BW47" i="18"/>
  <c r="BV47" i="18"/>
  <c r="BU47" i="18"/>
  <c r="AT47" i="18"/>
  <c r="BW46" i="18"/>
  <c r="BV46" i="18"/>
  <c r="BU46" i="18"/>
  <c r="AT46" i="18"/>
  <c r="BW45" i="18"/>
  <c r="BV45" i="18"/>
  <c r="BU45" i="18"/>
  <c r="BW44" i="18"/>
  <c r="BV44" i="18"/>
  <c r="BU44" i="18"/>
  <c r="BW43" i="18"/>
  <c r="BV43" i="18"/>
  <c r="BU43" i="18"/>
  <c r="BW42" i="18"/>
  <c r="BV42" i="18"/>
  <c r="BU42" i="18"/>
  <c r="BW41" i="18"/>
  <c r="BV41" i="18"/>
  <c r="BU41" i="18"/>
  <c r="AT41" i="18"/>
  <c r="BW40" i="18"/>
  <c r="BV40" i="18"/>
  <c r="BU40" i="18"/>
  <c r="AU40" i="18"/>
  <c r="AT40" i="18"/>
  <c r="BW39" i="18"/>
  <c r="BV39" i="18"/>
  <c r="BU39" i="18"/>
  <c r="BW38" i="18"/>
  <c r="BV38" i="18"/>
  <c r="BU38" i="18"/>
  <c r="BW37" i="18"/>
  <c r="BV37" i="18"/>
  <c r="BU37" i="18"/>
  <c r="BW36" i="18"/>
  <c r="BV36" i="18"/>
  <c r="BU36" i="18"/>
  <c r="BW35" i="18"/>
  <c r="BV35" i="18"/>
  <c r="BU35" i="18"/>
  <c r="BX35" i="18" s="1"/>
  <c r="BW34" i="18"/>
  <c r="BV34" i="18"/>
  <c r="BU34" i="18"/>
  <c r="BW33" i="18"/>
  <c r="BV33" i="18"/>
  <c r="BU33" i="18"/>
  <c r="BW32" i="18"/>
  <c r="BV32" i="18"/>
  <c r="BU32" i="18"/>
  <c r="BW31" i="18"/>
  <c r="BV31" i="18"/>
  <c r="BU31" i="18"/>
  <c r="AU31" i="18"/>
  <c r="AT31" i="18"/>
  <c r="BW30" i="18"/>
  <c r="BV30" i="18"/>
  <c r="BU30" i="18"/>
  <c r="BW29" i="18"/>
  <c r="BV29" i="18"/>
  <c r="BU29" i="18"/>
  <c r="BW28" i="18"/>
  <c r="BV28" i="18"/>
  <c r="BU28" i="18"/>
  <c r="BW27" i="18"/>
  <c r="BV27" i="18"/>
  <c r="BU27" i="18"/>
  <c r="BW26" i="18"/>
  <c r="BV26" i="18"/>
  <c r="BU26" i="18"/>
  <c r="BW25" i="18"/>
  <c r="BV25" i="18"/>
  <c r="BU25" i="18"/>
  <c r="AT25" i="18"/>
  <c r="BW24" i="18"/>
  <c r="BV24" i="18"/>
  <c r="BU24" i="18"/>
  <c r="BW23" i="18"/>
  <c r="BV23" i="18"/>
  <c r="BU23" i="18"/>
  <c r="BW22" i="18"/>
  <c r="BV22" i="18"/>
  <c r="BU22" i="18"/>
  <c r="AT22" i="18"/>
  <c r="BW21" i="18"/>
  <c r="BV21" i="18"/>
  <c r="BU21" i="18"/>
  <c r="BW20" i="18"/>
  <c r="BV20" i="18"/>
  <c r="BU20" i="18"/>
  <c r="BW19" i="18"/>
  <c r="BV19" i="18"/>
  <c r="BU19" i="18"/>
  <c r="BW18" i="18"/>
  <c r="BV18" i="18"/>
  <c r="BU18" i="18"/>
  <c r="BW17" i="18"/>
  <c r="BV17" i="18"/>
  <c r="BU17" i="18"/>
  <c r="BW16" i="18"/>
  <c r="BV16" i="18"/>
  <c r="BU16" i="18"/>
  <c r="AT16" i="18"/>
  <c r="BW15" i="18"/>
  <c r="BV15" i="18"/>
  <c r="BU15" i="18"/>
  <c r="BW14" i="18"/>
  <c r="BV14" i="18"/>
  <c r="BU14" i="18"/>
  <c r="AT14" i="18"/>
  <c r="BW13" i="18"/>
  <c r="BV13" i="18"/>
  <c r="BU13" i="18"/>
  <c r="BW12" i="18"/>
  <c r="BV12" i="18"/>
  <c r="BU12" i="18"/>
  <c r="BW11" i="18"/>
  <c r="BV11" i="18"/>
  <c r="BU11" i="18"/>
  <c r="AT11" i="18"/>
  <c r="BV10" i="18"/>
  <c r="BU10" i="18"/>
  <c r="AT10" i="18"/>
  <c r="AR10" i="18"/>
  <c r="AR123" i="18" s="1"/>
  <c r="AQ10" i="18"/>
  <c r="AQ123" i="18" s="1"/>
  <c r="AO10" i="18"/>
  <c r="AO123" i="18" s="1"/>
  <c r="AN10" i="18"/>
  <c r="AN123" i="18" s="1"/>
  <c r="BW9" i="18"/>
  <c r="BV9" i="18"/>
  <c r="BU9" i="18"/>
  <c r="AT9" i="18"/>
  <c r="BW8" i="18"/>
  <c r="BV8" i="18"/>
  <c r="BU8" i="18"/>
  <c r="BW7" i="18"/>
  <c r="BV7" i="18"/>
  <c r="BU7" i="18"/>
  <c r="BX7" i="18" s="1"/>
  <c r="AT7" i="18"/>
  <c r="BW6" i="18"/>
  <c r="BV6" i="18"/>
  <c r="BU6" i="18"/>
  <c r="BW5" i="18"/>
  <c r="BV5" i="18"/>
  <c r="BU5" i="18"/>
  <c r="BW4" i="18"/>
  <c r="BV4" i="18"/>
  <c r="BU4" i="18"/>
  <c r="BW3" i="18"/>
  <c r="BV3" i="18"/>
  <c r="BU3" i="18"/>
  <c r="BW2" i="18"/>
  <c r="BV2" i="18"/>
  <c r="BU2" i="18"/>
  <c r="AJ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A1" i="18"/>
  <c r="AI129" i="21" l="1"/>
  <c r="CF10" i="20"/>
  <c r="CF58" i="20"/>
  <c r="CF76" i="20"/>
  <c r="CF93" i="20"/>
  <c r="CF97" i="20"/>
  <c r="CF3" i="20"/>
  <c r="CF55" i="20"/>
  <c r="CF69" i="20"/>
  <c r="CF101" i="20"/>
  <c r="CF72" i="20"/>
  <c r="CF21" i="20"/>
  <c r="CA25" i="20"/>
  <c r="CA123" i="20" s="1"/>
  <c r="CF32" i="20"/>
  <c r="CF66" i="20"/>
  <c r="CF94" i="20"/>
  <c r="CF25" i="20"/>
  <c r="CF59" i="20"/>
  <c r="CF87" i="20"/>
  <c r="CF98" i="20"/>
  <c r="CF105" i="20"/>
  <c r="CF4" i="20"/>
  <c r="CF49" i="20"/>
  <c r="CF56" i="20"/>
  <c r="CF70" i="20"/>
  <c r="CF91" i="20"/>
  <c r="CF102" i="20"/>
  <c r="CF15" i="20"/>
  <c r="CF18" i="20"/>
  <c r="CF29" i="20"/>
  <c r="CF36" i="20"/>
  <c r="CF39" i="20"/>
  <c r="CF84" i="20"/>
  <c r="CF109" i="20"/>
  <c r="CF8" i="20"/>
  <c r="CF22" i="20"/>
  <c r="CF46" i="20"/>
  <c r="CF67" i="20"/>
  <c r="CF113" i="20"/>
  <c r="AI129" i="20"/>
  <c r="CF53" i="20"/>
  <c r="AX123" i="20"/>
  <c r="CF106" i="20"/>
  <c r="CF12" i="20"/>
  <c r="CF19" i="20"/>
  <c r="CF30" i="20"/>
  <c r="CF37" i="20"/>
  <c r="CF40" i="20"/>
  <c r="CF85" i="20"/>
  <c r="CF99" i="20"/>
  <c r="CF110" i="20"/>
  <c r="CF9" i="20"/>
  <c r="CF16" i="20"/>
  <c r="CF23" i="20"/>
  <c r="CF82" i="20"/>
  <c r="CF114" i="20"/>
  <c r="CF34" i="20"/>
  <c r="CF47" i="20"/>
  <c r="CF96" i="20"/>
  <c r="CF118" i="20"/>
  <c r="CF6" i="20"/>
  <c r="CF44" i="20"/>
  <c r="CF75" i="20"/>
  <c r="CF100" i="20"/>
  <c r="BX20" i="18"/>
  <c r="BX16" i="18"/>
  <c r="BX121" i="18"/>
  <c r="BX31" i="18"/>
  <c r="BX55" i="18"/>
  <c r="BX67" i="18"/>
  <c r="BX101" i="18"/>
  <c r="BX98" i="18"/>
  <c r="BX15" i="18"/>
  <c r="BX41" i="18"/>
  <c r="BX64" i="18"/>
  <c r="BX43" i="18"/>
  <c r="BX104" i="18"/>
  <c r="P129" i="18"/>
  <c r="BX106" i="18"/>
  <c r="BX118" i="18"/>
  <c r="BX71" i="18"/>
  <c r="BX75" i="18"/>
  <c r="BX26" i="18"/>
  <c r="BX34" i="18"/>
  <c r="BX72" i="18"/>
  <c r="BX91" i="18"/>
  <c r="BX19" i="18"/>
  <c r="BX38" i="18"/>
  <c r="BX49" i="18"/>
  <c r="AU123" i="18"/>
  <c r="BX65" i="18"/>
  <c r="BX39" i="18"/>
  <c r="BX50" i="18"/>
  <c r="BX58" i="18"/>
  <c r="BX90" i="18"/>
  <c r="BX25" i="18"/>
  <c r="BX8" i="18"/>
  <c r="BX18" i="18"/>
  <c r="BX44" i="18"/>
  <c r="BX78" i="18"/>
  <c r="BX116" i="18"/>
  <c r="BX23" i="18"/>
  <c r="BX56" i="18"/>
  <c r="BX95" i="18"/>
  <c r="BX52" i="18"/>
  <c r="BX61" i="18"/>
  <c r="BX110" i="18"/>
  <c r="BX86" i="18"/>
  <c r="BX6" i="18"/>
  <c r="BX32" i="18"/>
  <c r="BX36" i="18"/>
  <c r="BX77" i="18"/>
  <c r="BX100" i="18"/>
  <c r="AI129" i="18"/>
  <c r="BX9" i="18"/>
  <c r="BX83" i="18"/>
  <c r="BX47" i="18"/>
  <c r="BX70" i="18"/>
  <c r="BX89" i="18"/>
  <c r="BX92" i="18"/>
  <c r="BX107" i="18"/>
  <c r="BX115" i="18"/>
  <c r="BX119" i="18"/>
  <c r="AT123" i="21"/>
  <c r="P129" i="21"/>
  <c r="BX3" i="18"/>
  <c r="BX24" i="18"/>
  <c r="BX112" i="18"/>
  <c r="BX11" i="18"/>
  <c r="BX105" i="18"/>
  <c r="BX28" i="18"/>
  <c r="BX30" i="18"/>
  <c r="BX33" i="18"/>
  <c r="BX42" i="18"/>
  <c r="BX51" i="18"/>
  <c r="BX53" i="18"/>
  <c r="BX60" i="18"/>
  <c r="BX80" i="18"/>
  <c r="BX82" i="18"/>
  <c r="BX84" i="18"/>
  <c r="BX109" i="18"/>
  <c r="BX2" i="18"/>
  <c r="BX4" i="18"/>
  <c r="BX12" i="18"/>
  <c r="BX17" i="18"/>
  <c r="BX21" i="18"/>
  <c r="BX37" i="18"/>
  <c r="BX46" i="18"/>
  <c r="BX69" i="18"/>
  <c r="BX73" i="18"/>
  <c r="BX88" i="18"/>
  <c r="BX93" i="18"/>
  <c r="BX97" i="18"/>
  <c r="BX102" i="18"/>
  <c r="BX111" i="18"/>
  <c r="BX113" i="18"/>
  <c r="BX120" i="18"/>
  <c r="BX57" i="18"/>
  <c r="BX62" i="18"/>
  <c r="BX68" i="18"/>
  <c r="BX117" i="18"/>
  <c r="BX99" i="18"/>
  <c r="BX14" i="18"/>
  <c r="BX29" i="18"/>
  <c r="BX45" i="18"/>
  <c r="BX48" i="18"/>
  <c r="BX54" i="18"/>
  <c r="BX59" i="18"/>
  <c r="BX66" i="18"/>
  <c r="BX81" i="18"/>
  <c r="BX103" i="18"/>
  <c r="BX76" i="18"/>
  <c r="BX5" i="18"/>
  <c r="AT123" i="18"/>
  <c r="BX13" i="18"/>
  <c r="BX22" i="18"/>
  <c r="BX27" i="18"/>
  <c r="BX40" i="18"/>
  <c r="BX63" i="18"/>
  <c r="BX74" i="18"/>
  <c r="BX79" i="18"/>
  <c r="BX85" i="18"/>
  <c r="BX87" i="18"/>
  <c r="BX94" i="18"/>
  <c r="BX96" i="18"/>
  <c r="BX108" i="18"/>
  <c r="BX114" i="18"/>
  <c r="BW10" i="18"/>
  <c r="BX10" i="18" s="1"/>
  <c r="BV123" i="16"/>
  <c r="BU123" i="16"/>
  <c r="BR123" i="16"/>
  <c r="BO123" i="16"/>
  <c r="BN123" i="16"/>
  <c r="BM123" i="16"/>
  <c r="BL123" i="16"/>
  <c r="BK123" i="16"/>
  <c r="BJ123" i="16"/>
  <c r="BI123" i="16"/>
  <c r="BH123" i="16"/>
  <c r="BG123" i="16"/>
  <c r="BF123" i="16"/>
  <c r="BE123" i="16"/>
  <c r="BD123" i="16"/>
  <c r="BC123" i="16"/>
  <c r="BB123" i="16"/>
  <c r="BA123" i="16"/>
  <c r="AZ123" i="16"/>
  <c r="AY123" i="16"/>
  <c r="AX123" i="16"/>
  <c r="AW123" i="16"/>
  <c r="AV123" i="16"/>
  <c r="AS123" i="16"/>
  <c r="AR123" i="16"/>
  <c r="AQ123" i="16"/>
  <c r="AP123" i="16"/>
  <c r="AM123" i="16"/>
  <c r="AL123" i="16"/>
  <c r="AK123" i="16"/>
  <c r="AJ123" i="16"/>
  <c r="AI123" i="16"/>
  <c r="AH123" i="16"/>
  <c r="AI129" i="16" s="1"/>
  <c r="AG123" i="16"/>
  <c r="AF123" i="16"/>
  <c r="AE123" i="16"/>
  <c r="AD123" i="16"/>
  <c r="AC123" i="16"/>
  <c r="AB123" i="16"/>
  <c r="AA123" i="16"/>
  <c r="Z123" i="16"/>
  <c r="Y123" i="16"/>
  <c r="X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CA121" i="16"/>
  <c r="BZ121" i="16"/>
  <c r="BY121" i="16"/>
  <c r="BW121" i="16"/>
  <c r="CA120" i="16"/>
  <c r="BZ120" i="16"/>
  <c r="BY120" i="16"/>
  <c r="BW120" i="16"/>
  <c r="CA119" i="16"/>
  <c r="BZ119" i="16"/>
  <c r="BY119" i="16"/>
  <c r="CB119" i="16" s="1"/>
  <c r="BW119" i="16"/>
  <c r="CA118" i="16"/>
  <c r="BZ118" i="16"/>
  <c r="BY118" i="16"/>
  <c r="BW118" i="16"/>
  <c r="CA117" i="16"/>
  <c r="BZ117" i="16"/>
  <c r="BY117" i="16"/>
  <c r="BW117" i="16"/>
  <c r="CA116" i="16"/>
  <c r="BZ116" i="16"/>
  <c r="BY116" i="16"/>
  <c r="CB116" i="16" s="1"/>
  <c r="BW116" i="16"/>
  <c r="CA115" i="16"/>
  <c r="BZ115" i="16"/>
  <c r="BY115" i="16"/>
  <c r="CB115" i="16" s="1"/>
  <c r="BW115" i="16"/>
  <c r="AT115" i="16"/>
  <c r="CA114" i="16"/>
  <c r="BZ114" i="16"/>
  <c r="BY114" i="16"/>
  <c r="BW114" i="16"/>
  <c r="CA113" i="16"/>
  <c r="BZ113" i="16"/>
  <c r="BY113" i="16"/>
  <c r="CB113" i="16" s="1"/>
  <c r="BW113" i="16"/>
  <c r="AT113" i="16"/>
  <c r="CA112" i="16"/>
  <c r="BZ112" i="16"/>
  <c r="BY112" i="16"/>
  <c r="BW112" i="16"/>
  <c r="CA111" i="16"/>
  <c r="BZ111" i="16"/>
  <c r="BY111" i="16"/>
  <c r="BW111" i="16"/>
  <c r="CA110" i="16"/>
  <c r="BZ110" i="16"/>
  <c r="BY110" i="16"/>
  <c r="BW110" i="16"/>
  <c r="CA109" i="16"/>
  <c r="BZ109" i="16"/>
  <c r="BY109" i="16"/>
  <c r="BW109" i="16"/>
  <c r="CA108" i="16"/>
  <c r="BZ108" i="16"/>
  <c r="BY108" i="16"/>
  <c r="BW108" i="16"/>
  <c r="CA107" i="16"/>
  <c r="BZ107" i="16"/>
  <c r="BY107" i="16"/>
  <c r="BW107" i="16"/>
  <c r="AT107" i="16"/>
  <c r="CA106" i="16"/>
  <c r="CB106" i="16" s="1"/>
  <c r="BZ106" i="16"/>
  <c r="BY106" i="16"/>
  <c r="BW106" i="16"/>
  <c r="AT106" i="16"/>
  <c r="CA105" i="16"/>
  <c r="BZ105" i="16"/>
  <c r="BY105" i="16"/>
  <c r="BW105" i="16"/>
  <c r="CA104" i="16"/>
  <c r="BZ104" i="16"/>
  <c r="BY104" i="16"/>
  <c r="BW104" i="16"/>
  <c r="CA103" i="16"/>
  <c r="BZ103" i="16"/>
  <c r="CB103" i="16" s="1"/>
  <c r="BY103" i="16"/>
  <c r="BW103" i="16"/>
  <c r="CA102" i="16"/>
  <c r="BZ102" i="16"/>
  <c r="BY102" i="16"/>
  <c r="BW102" i="16"/>
  <c r="CA101" i="16"/>
  <c r="BZ101" i="16"/>
  <c r="BY101" i="16"/>
  <c r="BW101" i="16"/>
  <c r="CA100" i="16"/>
  <c r="BZ100" i="16"/>
  <c r="BY100" i="16"/>
  <c r="BW100" i="16"/>
  <c r="CA99" i="16"/>
  <c r="BZ99" i="16"/>
  <c r="BY99" i="16"/>
  <c r="BW99" i="16"/>
  <c r="AU99" i="16"/>
  <c r="AU123" i="16" s="1"/>
  <c r="AT99" i="16"/>
  <c r="CA98" i="16"/>
  <c r="BZ98" i="16"/>
  <c r="BY98" i="16"/>
  <c r="BW98" i="16"/>
  <c r="CA97" i="16"/>
  <c r="BZ97" i="16"/>
  <c r="BY97" i="16"/>
  <c r="BW97" i="16"/>
  <c r="CA96" i="16"/>
  <c r="BZ96" i="16"/>
  <c r="BY96" i="16"/>
  <c r="BW96" i="16"/>
  <c r="CA95" i="16"/>
  <c r="BZ95" i="16"/>
  <c r="BY95" i="16"/>
  <c r="BW95" i="16"/>
  <c r="CA94" i="16"/>
  <c r="BZ94" i="16"/>
  <c r="BY94" i="16"/>
  <c r="BW94" i="16"/>
  <c r="CA93" i="16"/>
  <c r="BZ93" i="16"/>
  <c r="BY93" i="16"/>
  <c r="BW93" i="16"/>
  <c r="CA92" i="16"/>
  <c r="BZ92" i="16"/>
  <c r="BY92" i="16"/>
  <c r="BW92" i="16"/>
  <c r="CA91" i="16"/>
  <c r="BZ91" i="16"/>
  <c r="BY91" i="16"/>
  <c r="BW91" i="16"/>
  <c r="AT91" i="16"/>
  <c r="CA90" i="16"/>
  <c r="BZ90" i="16"/>
  <c r="BY90" i="16"/>
  <c r="BW90" i="16"/>
  <c r="CA89" i="16"/>
  <c r="BZ89" i="16"/>
  <c r="BY89" i="16"/>
  <c r="BW89" i="16"/>
  <c r="CA88" i="16"/>
  <c r="BZ88" i="16"/>
  <c r="BY88" i="16"/>
  <c r="BW88" i="16"/>
  <c r="CA87" i="16"/>
  <c r="BZ87" i="16"/>
  <c r="BY87" i="16"/>
  <c r="BW87" i="16"/>
  <c r="CA86" i="16"/>
  <c r="BZ86" i="16"/>
  <c r="BY86" i="16"/>
  <c r="BW86" i="16"/>
  <c r="CA85" i="16"/>
  <c r="BZ85" i="16"/>
  <c r="BY85" i="16"/>
  <c r="BW85" i="16"/>
  <c r="AT85" i="16"/>
  <c r="CA84" i="16"/>
  <c r="BZ84" i="16"/>
  <c r="BY84" i="16"/>
  <c r="BW84" i="16"/>
  <c r="CA83" i="16"/>
  <c r="BZ83" i="16"/>
  <c r="BY83" i="16"/>
  <c r="BW83" i="16"/>
  <c r="CA82" i="16"/>
  <c r="BZ82" i="16"/>
  <c r="BY82" i="16"/>
  <c r="BW82" i="16"/>
  <c r="CA81" i="16"/>
  <c r="BZ81" i="16"/>
  <c r="BY81" i="16"/>
  <c r="BW81" i="16"/>
  <c r="CA80" i="16"/>
  <c r="BZ80" i="16"/>
  <c r="BY80" i="16"/>
  <c r="BT80" i="16"/>
  <c r="BW80" i="16" s="1"/>
  <c r="CA79" i="16"/>
  <c r="BZ79" i="16"/>
  <c r="BY79" i="16"/>
  <c r="BW79" i="16"/>
  <c r="CA78" i="16"/>
  <c r="BZ78" i="16"/>
  <c r="BY78" i="16"/>
  <c r="BW78" i="16"/>
  <c r="CA77" i="16"/>
  <c r="BZ77" i="16"/>
  <c r="BY77" i="16"/>
  <c r="BW77" i="16"/>
  <c r="AT77" i="16"/>
  <c r="CA76" i="16"/>
  <c r="BZ76" i="16"/>
  <c r="BY76" i="16"/>
  <c r="BW76" i="16"/>
  <c r="CA75" i="16"/>
  <c r="BZ75" i="16"/>
  <c r="BY75" i="16"/>
  <c r="BW75" i="16"/>
  <c r="CA74" i="16"/>
  <c r="BZ74" i="16"/>
  <c r="BY74" i="16"/>
  <c r="BW74" i="16"/>
  <c r="CA73" i="16"/>
  <c r="CB73" i="16" s="1"/>
  <c r="BZ73" i="16"/>
  <c r="BY73" i="16"/>
  <c r="BW73" i="16"/>
  <c r="CA72" i="16"/>
  <c r="BZ72" i="16"/>
  <c r="BY72" i="16"/>
  <c r="BW72" i="16"/>
  <c r="CA71" i="16"/>
  <c r="BZ71" i="16"/>
  <c r="BY71" i="16"/>
  <c r="BW71" i="16"/>
  <c r="CA70" i="16"/>
  <c r="BZ70" i="16"/>
  <c r="BY70" i="16"/>
  <c r="BW70" i="16"/>
  <c r="CA69" i="16"/>
  <c r="BZ69" i="16"/>
  <c r="BY69" i="16"/>
  <c r="BW69" i="16"/>
  <c r="CA68" i="16"/>
  <c r="BZ68" i="16"/>
  <c r="BY68" i="16"/>
  <c r="BW68" i="16"/>
  <c r="CA67" i="16"/>
  <c r="BZ67" i="16"/>
  <c r="BY67" i="16"/>
  <c r="BW67" i="16"/>
  <c r="CA66" i="16"/>
  <c r="BZ66" i="16"/>
  <c r="BY66" i="16"/>
  <c r="BW66" i="16"/>
  <c r="CA65" i="16"/>
  <c r="BZ65" i="16"/>
  <c r="BY65" i="16"/>
  <c r="BW65" i="16"/>
  <c r="CA64" i="16"/>
  <c r="BZ64" i="16"/>
  <c r="BY64" i="16"/>
  <c r="BW64" i="16"/>
  <c r="CA63" i="16"/>
  <c r="BZ63" i="16"/>
  <c r="BY63" i="16"/>
  <c r="BW63" i="16"/>
  <c r="CA62" i="16"/>
  <c r="BZ62" i="16"/>
  <c r="BY62" i="16"/>
  <c r="CB62" i="16" s="1"/>
  <c r="BW62" i="16"/>
  <c r="CA61" i="16"/>
  <c r="BZ61" i="16"/>
  <c r="BY61" i="16"/>
  <c r="BW61" i="16"/>
  <c r="CA60" i="16"/>
  <c r="BZ60" i="16"/>
  <c r="BY60" i="16"/>
  <c r="BW60" i="16"/>
  <c r="AT60" i="16"/>
  <c r="CA59" i="16"/>
  <c r="BZ59" i="16"/>
  <c r="BY59" i="16"/>
  <c r="BW59" i="16"/>
  <c r="CA58" i="16"/>
  <c r="BZ58" i="16"/>
  <c r="BY58" i="16"/>
  <c r="BW58" i="16"/>
  <c r="CA57" i="16"/>
  <c r="BZ57" i="16"/>
  <c r="BY57" i="16"/>
  <c r="BW57" i="16"/>
  <c r="AT57" i="16"/>
  <c r="CA56" i="16"/>
  <c r="BZ56" i="16"/>
  <c r="BY56" i="16"/>
  <c r="BW56" i="16"/>
  <c r="CA55" i="16"/>
  <c r="BZ55" i="16"/>
  <c r="BY55" i="16"/>
  <c r="BW55" i="16"/>
  <c r="AT55" i="16"/>
  <c r="CA54" i="16"/>
  <c r="BZ54" i="16"/>
  <c r="BY54" i="16"/>
  <c r="BW54" i="16"/>
  <c r="CA53" i="16"/>
  <c r="BZ53" i="16"/>
  <c r="BY53" i="16"/>
  <c r="BW53" i="16"/>
  <c r="BZ52" i="16"/>
  <c r="BY52" i="16"/>
  <c r="BW52" i="16"/>
  <c r="AO52" i="16"/>
  <c r="AO123" i="16" s="1"/>
  <c r="AN52" i="16"/>
  <c r="CA51" i="16"/>
  <c r="BZ51" i="16"/>
  <c r="BY51" i="16"/>
  <c r="CB51" i="16" s="1"/>
  <c r="BW51" i="16"/>
  <c r="CA50" i="16"/>
  <c r="BZ50" i="16"/>
  <c r="BY50" i="16"/>
  <c r="BW50" i="16"/>
  <c r="CA49" i="16"/>
  <c r="BZ49" i="16"/>
  <c r="BY49" i="16"/>
  <c r="BW49" i="16"/>
  <c r="CA48" i="16"/>
  <c r="BZ48" i="16"/>
  <c r="BY48" i="16"/>
  <c r="BW48" i="16"/>
  <c r="CA47" i="16"/>
  <c r="BZ47" i="16"/>
  <c r="BY47" i="16"/>
  <c r="BW47" i="16"/>
  <c r="AT47" i="16"/>
  <c r="CA46" i="16"/>
  <c r="BZ46" i="16"/>
  <c r="BY46" i="16"/>
  <c r="BW46" i="16"/>
  <c r="CA45" i="16"/>
  <c r="BZ45" i="16"/>
  <c r="BY45" i="16"/>
  <c r="BW45" i="16"/>
  <c r="CA44" i="16"/>
  <c r="BZ44" i="16"/>
  <c r="BY44" i="16"/>
  <c r="BW44" i="16"/>
  <c r="CA43" i="16"/>
  <c r="BZ43" i="16"/>
  <c r="BY43" i="16"/>
  <c r="BW43" i="16"/>
  <c r="AT43" i="16"/>
  <c r="CA42" i="16"/>
  <c r="BZ42" i="16"/>
  <c r="BY42" i="16"/>
  <c r="BW42" i="16"/>
  <c r="CA41" i="16"/>
  <c r="BZ41" i="16"/>
  <c r="BY41" i="16"/>
  <c r="BW41" i="16"/>
  <c r="AT41" i="16"/>
  <c r="CA40" i="16"/>
  <c r="BZ40" i="16"/>
  <c r="BY40" i="16"/>
  <c r="BW40" i="16"/>
  <c r="CA39" i="16"/>
  <c r="BZ39" i="16"/>
  <c r="BY39" i="16"/>
  <c r="BW39" i="16"/>
  <c r="CA38" i="16"/>
  <c r="BZ38" i="16"/>
  <c r="BY38" i="16"/>
  <c r="BW38" i="16"/>
  <c r="CA37" i="16"/>
  <c r="BZ37" i="16"/>
  <c r="BY37" i="16"/>
  <c r="BW37" i="16"/>
  <c r="CA36" i="16"/>
  <c r="BZ36" i="16"/>
  <c r="BY36" i="16"/>
  <c r="BW36" i="16"/>
  <c r="CA35" i="16"/>
  <c r="BZ35" i="16"/>
  <c r="BY35" i="16"/>
  <c r="BW35" i="16"/>
  <c r="AT35" i="16"/>
  <c r="CA34" i="16"/>
  <c r="BZ34" i="16"/>
  <c r="BY34" i="16"/>
  <c r="BW34" i="16"/>
  <c r="CA33" i="16"/>
  <c r="BZ33" i="16"/>
  <c r="BY33" i="16"/>
  <c r="CB33" i="16" s="1"/>
  <c r="BW33" i="16"/>
  <c r="CA32" i="16"/>
  <c r="BZ32" i="16"/>
  <c r="BY32" i="16"/>
  <c r="BW32" i="16"/>
  <c r="CA31" i="16"/>
  <c r="BZ31" i="16"/>
  <c r="BY31" i="16"/>
  <c r="BW31" i="16"/>
  <c r="AT31" i="16"/>
  <c r="CA30" i="16"/>
  <c r="BZ30" i="16"/>
  <c r="BY30" i="16"/>
  <c r="BW30" i="16"/>
  <c r="CA29" i="16"/>
  <c r="BZ29" i="16"/>
  <c r="BY29" i="16"/>
  <c r="BW29" i="16"/>
  <c r="CA28" i="16"/>
  <c r="BZ28" i="16"/>
  <c r="BY28" i="16"/>
  <c r="BW28" i="16"/>
  <c r="CA27" i="16"/>
  <c r="BZ27" i="16"/>
  <c r="BY27" i="16"/>
  <c r="BW27" i="16"/>
  <c r="AT27" i="16"/>
  <c r="CA26" i="16"/>
  <c r="BZ26" i="16"/>
  <c r="BY26" i="16"/>
  <c r="BW26" i="16"/>
  <c r="CA25" i="16"/>
  <c r="BZ25" i="16"/>
  <c r="BY25" i="16"/>
  <c r="BT25" i="16"/>
  <c r="BT123" i="16" s="1"/>
  <c r="CA24" i="16"/>
  <c r="BZ24" i="16"/>
  <c r="BY24" i="16"/>
  <c r="BW24" i="16"/>
  <c r="CA23" i="16"/>
  <c r="BZ23" i="16"/>
  <c r="BY23" i="16"/>
  <c r="BW23" i="16"/>
  <c r="CA22" i="16"/>
  <c r="BZ22" i="16"/>
  <c r="BY22" i="16"/>
  <c r="BW22" i="16"/>
  <c r="CA21" i="16"/>
  <c r="BZ21" i="16"/>
  <c r="BY21" i="16"/>
  <c r="BW21" i="16"/>
  <c r="CA20" i="16"/>
  <c r="BZ20" i="16"/>
  <c r="BY20" i="16"/>
  <c r="BW20" i="16"/>
  <c r="CA19" i="16"/>
  <c r="BZ19" i="16"/>
  <c r="BY19" i="16"/>
  <c r="BW19" i="16"/>
  <c r="AT19" i="16"/>
  <c r="CA18" i="16"/>
  <c r="BZ18" i="16"/>
  <c r="BY18" i="16"/>
  <c r="CB18" i="16" s="1"/>
  <c r="BW18" i="16"/>
  <c r="CA17" i="16"/>
  <c r="BZ17" i="16"/>
  <c r="BY17" i="16"/>
  <c r="BW17" i="16"/>
  <c r="CA16" i="16"/>
  <c r="BZ16" i="16"/>
  <c r="BY16" i="16"/>
  <c r="BW16" i="16"/>
  <c r="AT16" i="16"/>
  <c r="CA15" i="16"/>
  <c r="BZ15" i="16"/>
  <c r="BY15" i="16"/>
  <c r="BW15" i="16"/>
  <c r="CA14" i="16"/>
  <c r="BZ14" i="16"/>
  <c r="BY14" i="16"/>
  <c r="CB14" i="16" s="1"/>
  <c r="BW14" i="16"/>
  <c r="CA13" i="16"/>
  <c r="BZ13" i="16"/>
  <c r="BY13" i="16"/>
  <c r="BW13" i="16"/>
  <c r="CA12" i="16"/>
  <c r="BZ12" i="16"/>
  <c r="BY12" i="16"/>
  <c r="BW12" i="16"/>
  <c r="CA11" i="16"/>
  <c r="BZ11" i="16"/>
  <c r="BY11" i="16"/>
  <c r="BW11" i="16"/>
  <c r="AT11" i="16"/>
  <c r="CA10" i="16"/>
  <c r="BZ10" i="16"/>
  <c r="BY10" i="16"/>
  <c r="BW10" i="16"/>
  <c r="CA9" i="16"/>
  <c r="BZ9" i="16"/>
  <c r="BY9" i="16"/>
  <c r="BW9" i="16"/>
  <c r="AT9" i="16"/>
  <c r="CA8" i="16"/>
  <c r="BZ8" i="16"/>
  <c r="BY8" i="16"/>
  <c r="BW8" i="16"/>
  <c r="CA7" i="16"/>
  <c r="BZ7" i="16"/>
  <c r="BY7" i="16"/>
  <c r="BW7" i="16"/>
  <c r="CA6" i="16"/>
  <c r="BZ6" i="16"/>
  <c r="BY6" i="16"/>
  <c r="BW6" i="16"/>
  <c r="CA5" i="16"/>
  <c r="BZ5" i="16"/>
  <c r="BY5" i="16"/>
  <c r="BW5" i="16"/>
  <c r="CA4" i="16"/>
  <c r="BZ4" i="16"/>
  <c r="BY4" i="16"/>
  <c r="BW4" i="16"/>
  <c r="CA3" i="16"/>
  <c r="BZ3" i="16"/>
  <c r="BY3" i="16"/>
  <c r="BW3" i="16"/>
  <c r="CA2" i="16"/>
  <c r="BZ2" i="16"/>
  <c r="BY2" i="16"/>
  <c r="CB2" i="16" s="1"/>
  <c r="BW2" i="16"/>
  <c r="AJ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A1" i="16"/>
  <c r="CB21" i="16" l="1"/>
  <c r="CA52" i="16"/>
  <c r="CB52" i="16" s="1"/>
  <c r="CB83" i="16"/>
  <c r="CB15" i="16"/>
  <c r="CB34" i="16"/>
  <c r="CB23" i="16"/>
  <c r="CB54" i="16"/>
  <c r="CB81" i="16"/>
  <c r="CB43" i="16"/>
  <c r="CB58" i="16"/>
  <c r="CB93" i="16"/>
  <c r="CB97" i="16"/>
  <c r="CB78" i="16"/>
  <c r="CB101" i="16"/>
  <c r="CB90" i="16"/>
  <c r="CB37" i="16"/>
  <c r="CB41" i="16"/>
  <c r="CB48" i="16"/>
  <c r="CB63" i="16"/>
  <c r="CB75" i="16"/>
  <c r="CB86" i="16"/>
  <c r="CB7" i="16"/>
  <c r="CB109" i="16"/>
  <c r="CB111" i="16"/>
  <c r="CB29" i="16"/>
  <c r="CB55" i="16"/>
  <c r="CB11" i="16"/>
  <c r="CB64" i="16"/>
  <c r="CB4" i="16"/>
  <c r="CB27" i="16"/>
  <c r="CB84" i="16"/>
  <c r="CB99" i="16"/>
  <c r="CB12" i="16"/>
  <c r="CB31" i="16"/>
  <c r="CB50" i="16"/>
  <c r="CB61" i="16"/>
  <c r="CB69" i="16"/>
  <c r="CB114" i="16"/>
  <c r="CB5" i="16"/>
  <c r="CB20" i="16"/>
  <c r="CB39" i="16"/>
  <c r="CB65" i="16"/>
  <c r="CB77" i="16"/>
  <c r="CB6" i="16"/>
  <c r="CB8" i="16"/>
  <c r="CB13" i="16"/>
  <c r="CB22" i="16"/>
  <c r="CB24" i="16"/>
  <c r="CB42" i="16"/>
  <c r="CB53" i="16"/>
  <c r="CB67" i="16"/>
  <c r="CB91" i="16"/>
  <c r="CB100" i="16"/>
  <c r="CB102" i="16"/>
  <c r="CB118" i="16"/>
  <c r="CB17" i="16"/>
  <c r="CB26" i="16"/>
  <c r="CB44" i="16"/>
  <c r="CB46" i="16"/>
  <c r="CB60" i="16"/>
  <c r="CB71" i="16"/>
  <c r="CB95" i="16"/>
  <c r="CB104" i="16"/>
  <c r="CB107" i="16"/>
  <c r="CB120" i="16"/>
  <c r="CB10" i="16"/>
  <c r="CB28" i="16"/>
  <c r="CB30" i="16"/>
  <c r="CB35" i="16"/>
  <c r="CB79" i="16"/>
  <c r="CB88" i="16"/>
  <c r="P129" i="16"/>
  <c r="AT123" i="16"/>
  <c r="CB57" i="16"/>
  <c r="CB66" i="16"/>
  <c r="CB68" i="16"/>
  <c r="CB92" i="16"/>
  <c r="CB3" i="16"/>
  <c r="CB19" i="16"/>
  <c r="CB25" i="16"/>
  <c r="CB32" i="16"/>
  <c r="CB59" i="16"/>
  <c r="CB70" i="16"/>
  <c r="CB72" i="16"/>
  <c r="CB85" i="16"/>
  <c r="CB94" i="16"/>
  <c r="CB96" i="16"/>
  <c r="CB108" i="16"/>
  <c r="CB9" i="16"/>
  <c r="CB36" i="16"/>
  <c r="CB74" i="16"/>
  <c r="CB76" i="16"/>
  <c r="CB87" i="16"/>
  <c r="CB89" i="16"/>
  <c r="CB98" i="16"/>
  <c r="CB110" i="16"/>
  <c r="CB112" i="16"/>
  <c r="CB117" i="16"/>
  <c r="CB16" i="16"/>
  <c r="CB38" i="16"/>
  <c r="CB40" i="16"/>
  <c r="CB45" i="16"/>
  <c r="CB47" i="16"/>
  <c r="CB49" i="16"/>
  <c r="CB56" i="16"/>
  <c r="CB80" i="16"/>
  <c r="CB82" i="16"/>
  <c r="CB105" i="16"/>
  <c r="CB121" i="16"/>
  <c r="BW25" i="16"/>
  <c r="BW123" i="16" s="1"/>
  <c r="AN123" i="16"/>
  <c r="BR123" i="15"/>
  <c r="BO123" i="15"/>
  <c r="BN123" i="15"/>
  <c r="BM123" i="15"/>
  <c r="BL123" i="15"/>
  <c r="BK123" i="15"/>
  <c r="BJ123" i="15"/>
  <c r="BI123" i="15"/>
  <c r="BH123" i="15"/>
  <c r="BG123" i="15"/>
  <c r="BF123" i="15"/>
  <c r="BE123" i="15"/>
  <c r="BD123" i="15"/>
  <c r="BC123" i="15"/>
  <c r="BB123" i="15"/>
  <c r="BA123" i="15"/>
  <c r="AZ123" i="15"/>
  <c r="AY123" i="15"/>
  <c r="AX123" i="15"/>
  <c r="AW123" i="15"/>
  <c r="AV123" i="15"/>
  <c r="AU123" i="15"/>
  <c r="AS123" i="15"/>
  <c r="AP123" i="15"/>
  <c r="AO123" i="15"/>
  <c r="AN123" i="15"/>
  <c r="AM123" i="15"/>
  <c r="AL123" i="15"/>
  <c r="AK123" i="15"/>
  <c r="AJ123" i="15"/>
  <c r="AI123" i="15"/>
  <c r="AH123" i="15"/>
  <c r="AG123" i="15"/>
  <c r="AF123" i="15"/>
  <c r="AE123" i="15"/>
  <c r="AD123" i="15"/>
  <c r="AC123" i="15"/>
  <c r="AB123" i="15"/>
  <c r="AA123" i="15"/>
  <c r="Z123" i="15"/>
  <c r="Y123" i="15"/>
  <c r="X123" i="15"/>
  <c r="W123" i="15"/>
  <c r="V123" i="15"/>
  <c r="U123" i="15"/>
  <c r="T123" i="15"/>
  <c r="S123" i="15"/>
  <c r="R123" i="15"/>
  <c r="Q123" i="15"/>
  <c r="P123" i="15"/>
  <c r="O123" i="15"/>
  <c r="N123" i="15"/>
  <c r="M123" i="15"/>
  <c r="L123" i="15"/>
  <c r="K123" i="15"/>
  <c r="J123" i="15"/>
  <c r="I123" i="15"/>
  <c r="H123" i="15"/>
  <c r="G123" i="15"/>
  <c r="F123" i="15"/>
  <c r="BW121" i="15"/>
  <c r="BV121" i="15"/>
  <c r="BU121" i="15"/>
  <c r="BW120" i="15"/>
  <c r="BV120" i="15"/>
  <c r="BU120" i="15"/>
  <c r="BW119" i="15"/>
  <c r="BV119" i="15"/>
  <c r="BU119" i="15"/>
  <c r="BW118" i="15"/>
  <c r="BV118" i="15"/>
  <c r="BU118" i="15"/>
  <c r="BW117" i="15"/>
  <c r="BV117" i="15"/>
  <c r="BU117" i="15"/>
  <c r="BW116" i="15"/>
  <c r="BV116" i="15"/>
  <c r="BU116" i="15"/>
  <c r="AT116" i="15"/>
  <c r="BW115" i="15"/>
  <c r="BV115" i="15"/>
  <c r="BU115" i="15"/>
  <c r="BW114" i="15"/>
  <c r="BV114" i="15"/>
  <c r="BU114" i="15"/>
  <c r="AT114" i="15"/>
  <c r="BW113" i="15"/>
  <c r="BV113" i="15"/>
  <c r="BU113" i="15"/>
  <c r="BW112" i="15"/>
  <c r="BV112" i="15"/>
  <c r="BU112" i="15"/>
  <c r="BW111" i="15"/>
  <c r="BV111" i="15"/>
  <c r="BU111" i="15"/>
  <c r="BW110" i="15"/>
  <c r="BV110" i="15"/>
  <c r="BU110" i="15"/>
  <c r="BT110" i="15"/>
  <c r="BW109" i="15"/>
  <c r="BV109" i="15"/>
  <c r="BU109" i="15"/>
  <c r="BW108" i="15"/>
  <c r="BV108" i="15"/>
  <c r="BU108" i="15"/>
  <c r="BW107" i="15"/>
  <c r="BV107" i="15"/>
  <c r="BU107" i="15"/>
  <c r="AT107" i="15"/>
  <c r="BW106" i="15"/>
  <c r="BV106" i="15"/>
  <c r="BU106" i="15"/>
  <c r="AT106" i="15"/>
  <c r="BW105" i="15"/>
  <c r="BV105" i="15"/>
  <c r="BU105" i="15"/>
  <c r="BW104" i="15"/>
  <c r="BV104" i="15"/>
  <c r="BU104" i="15"/>
  <c r="BW103" i="15"/>
  <c r="BV103" i="15"/>
  <c r="BU103" i="15"/>
  <c r="BW102" i="15"/>
  <c r="BV102" i="15"/>
  <c r="BU102" i="15"/>
  <c r="BW101" i="15"/>
  <c r="BV101" i="15"/>
  <c r="BU101" i="15"/>
  <c r="BW100" i="15"/>
  <c r="BV100" i="15"/>
  <c r="BU100" i="15"/>
  <c r="BW99" i="15"/>
  <c r="BV99" i="15"/>
  <c r="BU99" i="15"/>
  <c r="BW98" i="15"/>
  <c r="BV98" i="15"/>
  <c r="BU98" i="15"/>
  <c r="BW97" i="15"/>
  <c r="BV97" i="15"/>
  <c r="BU97" i="15"/>
  <c r="AT97" i="15"/>
  <c r="BW96" i="15"/>
  <c r="BV96" i="15"/>
  <c r="BU96" i="15"/>
  <c r="BT96" i="15"/>
  <c r="BW95" i="15"/>
  <c r="BV95" i="15"/>
  <c r="BU95" i="15"/>
  <c r="BW94" i="15"/>
  <c r="BV94" i="15"/>
  <c r="BU94" i="15"/>
  <c r="BW93" i="15"/>
  <c r="BV93" i="15"/>
  <c r="BU93" i="15"/>
  <c r="BW92" i="15"/>
  <c r="BV92" i="15"/>
  <c r="BU92" i="15"/>
  <c r="BW91" i="15"/>
  <c r="BV91" i="15"/>
  <c r="BU91" i="15"/>
  <c r="AT91" i="15"/>
  <c r="BW90" i="15"/>
  <c r="BV90" i="15"/>
  <c r="BU90" i="15"/>
  <c r="BW89" i="15"/>
  <c r="BV89" i="15"/>
  <c r="BU89" i="15"/>
  <c r="BW88" i="15"/>
  <c r="BV88" i="15"/>
  <c r="BU88" i="15"/>
  <c r="BW87" i="15"/>
  <c r="BV87" i="15"/>
  <c r="BU87" i="15"/>
  <c r="BW86" i="15"/>
  <c r="BV86" i="15"/>
  <c r="BU86" i="15"/>
  <c r="BW85" i="15"/>
  <c r="BV85" i="15"/>
  <c r="BU85" i="15"/>
  <c r="AT85" i="15"/>
  <c r="BW84" i="15"/>
  <c r="BV84" i="15"/>
  <c r="BU84" i="15"/>
  <c r="AT84" i="15"/>
  <c r="BW83" i="15"/>
  <c r="BV83" i="15"/>
  <c r="BU83" i="15"/>
  <c r="BT83" i="15"/>
  <c r="BW82" i="15"/>
  <c r="BV82" i="15"/>
  <c r="BU82" i="15"/>
  <c r="BW81" i="15"/>
  <c r="BV81" i="15"/>
  <c r="BU81" i="15"/>
  <c r="BW80" i="15"/>
  <c r="BV80" i="15"/>
  <c r="BU80" i="15"/>
  <c r="BW79" i="15"/>
  <c r="BV79" i="15"/>
  <c r="BU79" i="15"/>
  <c r="BT79" i="15"/>
  <c r="BW78" i="15"/>
  <c r="BV78" i="15"/>
  <c r="BU78" i="15"/>
  <c r="BW77" i="15"/>
  <c r="BV77" i="15"/>
  <c r="BU77" i="15"/>
  <c r="AT77" i="15"/>
  <c r="BW76" i="15"/>
  <c r="BV76" i="15"/>
  <c r="BU76" i="15"/>
  <c r="BW75" i="15"/>
  <c r="BV75" i="15"/>
  <c r="BU75" i="15"/>
  <c r="BW74" i="15"/>
  <c r="BV74" i="15"/>
  <c r="BU74" i="15"/>
  <c r="AT74" i="15"/>
  <c r="BW73" i="15"/>
  <c r="BV73" i="15"/>
  <c r="BU73" i="15"/>
  <c r="BW72" i="15"/>
  <c r="BV72" i="15"/>
  <c r="BU72" i="15"/>
  <c r="BW71" i="15"/>
  <c r="BV71" i="15"/>
  <c r="BU71" i="15"/>
  <c r="BW70" i="15"/>
  <c r="BV70" i="15"/>
  <c r="BU70" i="15"/>
  <c r="AT70" i="15"/>
  <c r="BW69" i="15"/>
  <c r="BV69" i="15"/>
  <c r="BU69" i="15"/>
  <c r="BW68" i="15"/>
  <c r="BV68" i="15"/>
  <c r="BU68" i="15"/>
  <c r="BW67" i="15"/>
  <c r="BV67" i="15"/>
  <c r="BU67" i="15"/>
  <c r="BW66" i="15"/>
  <c r="BV66" i="15"/>
  <c r="BU66" i="15"/>
  <c r="BW65" i="15"/>
  <c r="BV65" i="15"/>
  <c r="BU65" i="15"/>
  <c r="BW64" i="15"/>
  <c r="BV64" i="15"/>
  <c r="BU64" i="15"/>
  <c r="BW63" i="15"/>
  <c r="BV63" i="15"/>
  <c r="BU63" i="15"/>
  <c r="BW62" i="15"/>
  <c r="BV62" i="15"/>
  <c r="BU62" i="15"/>
  <c r="BW61" i="15"/>
  <c r="BV61" i="15"/>
  <c r="BU61" i="15"/>
  <c r="BW60" i="15"/>
  <c r="BV60" i="15"/>
  <c r="BU60" i="15"/>
  <c r="BW59" i="15"/>
  <c r="BV59" i="15"/>
  <c r="BU59" i="15"/>
  <c r="AT59" i="15"/>
  <c r="BW58" i="15"/>
  <c r="BV58" i="15"/>
  <c r="BU58" i="15"/>
  <c r="AT58" i="15"/>
  <c r="BW57" i="15"/>
  <c r="BV57" i="15"/>
  <c r="BU57" i="15"/>
  <c r="AT57" i="15"/>
  <c r="BW56" i="15"/>
  <c r="BV56" i="15"/>
  <c r="BU56" i="15"/>
  <c r="BW55" i="15"/>
  <c r="BV55" i="15"/>
  <c r="BU55" i="15"/>
  <c r="BW54" i="15"/>
  <c r="BV54" i="15"/>
  <c r="BU54" i="15"/>
  <c r="BW53" i="15"/>
  <c r="BV53" i="15"/>
  <c r="BU53" i="15"/>
  <c r="BW52" i="15"/>
  <c r="BV52" i="15"/>
  <c r="BU52" i="15"/>
  <c r="BW51" i="15"/>
  <c r="BV51" i="15"/>
  <c r="BU51" i="15"/>
  <c r="BT51" i="15"/>
  <c r="BV50" i="15"/>
  <c r="BU50" i="15"/>
  <c r="AR50" i="15"/>
  <c r="AR123" i="15" s="1"/>
  <c r="AQ50" i="15"/>
  <c r="BW49" i="15"/>
  <c r="BV49" i="15"/>
  <c r="BU49" i="15"/>
  <c r="AT49" i="15"/>
  <c r="BW48" i="15"/>
  <c r="BV48" i="15"/>
  <c r="BU48" i="15"/>
  <c r="BW47" i="15"/>
  <c r="BV47" i="15"/>
  <c r="BU47" i="15"/>
  <c r="AT47" i="15"/>
  <c r="BW46" i="15"/>
  <c r="BV46" i="15"/>
  <c r="BU46" i="15"/>
  <c r="BW45" i="15"/>
  <c r="BV45" i="15"/>
  <c r="BU45" i="15"/>
  <c r="AT45" i="15"/>
  <c r="BW44" i="15"/>
  <c r="BV44" i="15"/>
  <c r="BU44" i="15"/>
  <c r="AT44" i="15"/>
  <c r="BW43" i="15"/>
  <c r="BV43" i="15"/>
  <c r="BU43" i="15"/>
  <c r="AT43" i="15"/>
  <c r="BW42" i="15"/>
  <c r="BV42" i="15"/>
  <c r="BU42" i="15"/>
  <c r="BW41" i="15"/>
  <c r="BV41" i="15"/>
  <c r="BU41" i="15"/>
  <c r="BW40" i="15"/>
  <c r="BV40" i="15"/>
  <c r="BU40" i="15"/>
  <c r="BW39" i="15"/>
  <c r="BV39" i="15"/>
  <c r="BU39" i="15"/>
  <c r="BW38" i="15"/>
  <c r="BV38" i="15"/>
  <c r="BU38" i="15"/>
  <c r="BW37" i="15"/>
  <c r="BV37" i="15"/>
  <c r="BU37" i="15"/>
  <c r="BW36" i="15"/>
  <c r="BV36" i="15"/>
  <c r="BU36" i="15"/>
  <c r="BW35" i="15"/>
  <c r="BV35" i="15"/>
  <c r="BU35" i="15"/>
  <c r="AT35" i="15"/>
  <c r="BW34" i="15"/>
  <c r="BV34" i="15"/>
  <c r="BU34" i="15"/>
  <c r="BW33" i="15"/>
  <c r="BV33" i="15"/>
  <c r="BU33" i="15"/>
  <c r="BW32" i="15"/>
  <c r="BV32" i="15"/>
  <c r="BU32" i="15"/>
  <c r="BW31" i="15"/>
  <c r="BV31" i="15"/>
  <c r="BU31" i="15"/>
  <c r="AT31" i="15"/>
  <c r="BW30" i="15"/>
  <c r="BV30" i="15"/>
  <c r="BU30" i="15"/>
  <c r="BW29" i="15"/>
  <c r="BV29" i="15"/>
  <c r="BU29" i="15"/>
  <c r="BW28" i="15"/>
  <c r="BV28" i="15"/>
  <c r="BU28" i="15"/>
  <c r="BW27" i="15"/>
  <c r="BV27" i="15"/>
  <c r="BU27" i="15"/>
  <c r="BW26" i="15"/>
  <c r="BV26" i="15"/>
  <c r="BU26" i="15"/>
  <c r="AT26" i="15"/>
  <c r="BW25" i="15"/>
  <c r="BV25" i="15"/>
  <c r="BU25" i="15"/>
  <c r="BW24" i="15"/>
  <c r="BV24" i="15"/>
  <c r="BU24" i="15"/>
  <c r="BW23" i="15"/>
  <c r="BV23" i="15"/>
  <c r="BU23" i="15"/>
  <c r="BW22" i="15"/>
  <c r="BV22" i="15"/>
  <c r="BU22" i="15"/>
  <c r="AT22" i="15"/>
  <c r="BW21" i="15"/>
  <c r="BV21" i="15"/>
  <c r="BU21" i="15"/>
  <c r="BW20" i="15"/>
  <c r="BV20" i="15"/>
  <c r="BU20" i="15"/>
  <c r="BW19" i="15"/>
  <c r="BV19" i="15"/>
  <c r="BU19" i="15"/>
  <c r="AT19" i="15"/>
  <c r="BW18" i="15"/>
  <c r="BV18" i="15"/>
  <c r="BU18" i="15"/>
  <c r="BW17" i="15"/>
  <c r="BV17" i="15"/>
  <c r="BU17" i="15"/>
  <c r="BW16" i="15"/>
  <c r="BV16" i="15"/>
  <c r="BU16" i="15"/>
  <c r="AT16" i="15"/>
  <c r="BW15" i="15"/>
  <c r="BV15" i="15"/>
  <c r="BU15" i="15"/>
  <c r="BW14" i="15"/>
  <c r="BV14" i="15"/>
  <c r="BU14" i="15"/>
  <c r="BW13" i="15"/>
  <c r="BV13" i="15"/>
  <c r="BU13" i="15"/>
  <c r="BW12" i="15"/>
  <c r="BV12" i="15"/>
  <c r="BU12" i="15"/>
  <c r="AT12" i="15"/>
  <c r="BW11" i="15"/>
  <c r="BV11" i="15"/>
  <c r="BU11" i="15"/>
  <c r="AT11" i="15"/>
  <c r="BW10" i="15"/>
  <c r="BV10" i="15"/>
  <c r="BU10" i="15"/>
  <c r="AT10" i="15"/>
  <c r="BW9" i="15"/>
  <c r="BV9" i="15"/>
  <c r="BU9" i="15"/>
  <c r="AT9" i="15"/>
  <c r="BW8" i="15"/>
  <c r="BV8" i="15"/>
  <c r="BU8" i="15"/>
  <c r="BW7" i="15"/>
  <c r="BV7" i="15"/>
  <c r="BU7" i="15"/>
  <c r="BW6" i="15"/>
  <c r="BV6" i="15"/>
  <c r="BU6" i="15"/>
  <c r="BW5" i="15"/>
  <c r="BV5" i="15"/>
  <c r="BU5" i="15"/>
  <c r="BW4" i="15"/>
  <c r="BV4" i="15"/>
  <c r="BU4" i="15"/>
  <c r="BW3" i="15"/>
  <c r="BV3" i="15"/>
  <c r="BU3" i="15"/>
  <c r="BW2" i="15"/>
  <c r="BV2" i="15"/>
  <c r="BU2" i="15"/>
  <c r="AJ1" i="15"/>
  <c r="AC1" i="15"/>
  <c r="AB1" i="15"/>
  <c r="AA1" i="15"/>
  <c r="Z1" i="15"/>
  <c r="Y1" i="15"/>
  <c r="X1" i="15"/>
  <c r="W1" i="15"/>
  <c r="V1" i="15"/>
  <c r="U1" i="15"/>
  <c r="T1" i="15"/>
  <c r="S1" i="15"/>
  <c r="R1" i="15"/>
  <c r="Q1" i="15"/>
  <c r="P1" i="15"/>
  <c r="A1" i="15"/>
  <c r="AQ123" i="15" l="1"/>
  <c r="BQ50" i="15"/>
  <c r="BP50" i="15"/>
  <c r="B130" i="15"/>
  <c r="BX96" i="15"/>
  <c r="AI129" i="15"/>
  <c r="BT5" i="15"/>
  <c r="BX5" i="15" s="1"/>
  <c r="BT85" i="15"/>
  <c r="BX85" i="15" s="1"/>
  <c r="BT29" i="15"/>
  <c r="BX29" i="15" s="1"/>
  <c r="BT120" i="15"/>
  <c r="BX120" i="15" s="1"/>
  <c r="BT36" i="15"/>
  <c r="BX36" i="15" s="1"/>
  <c r="BT48" i="15"/>
  <c r="BX48" i="15" s="1"/>
  <c r="BT82" i="15"/>
  <c r="BX82" i="15" s="1"/>
  <c r="BT34" i="15"/>
  <c r="BX34" i="15" s="1"/>
  <c r="BT46" i="15"/>
  <c r="BX46" i="15" s="1"/>
  <c r="BT52" i="15"/>
  <c r="BX52" i="15" s="1"/>
  <c r="BT56" i="15"/>
  <c r="BX56" i="15" s="1"/>
  <c r="BT57" i="15"/>
  <c r="BX57" i="15" s="1"/>
  <c r="BT59" i="15"/>
  <c r="BX59" i="15" s="1"/>
  <c r="BT109" i="15"/>
  <c r="BX109" i="15" s="1"/>
  <c r="E123" i="15"/>
  <c r="BT9" i="15"/>
  <c r="BX9" i="15" s="1"/>
  <c r="BT13" i="15"/>
  <c r="BX13" i="15" s="1"/>
  <c r="BT33" i="15"/>
  <c r="BX33" i="15" s="1"/>
  <c r="BT43" i="15"/>
  <c r="BX43" i="15" s="1"/>
  <c r="BW50" i="15"/>
  <c r="BT55" i="15"/>
  <c r="BX55" i="15" s="1"/>
  <c r="BT64" i="15"/>
  <c r="BX64" i="15" s="1"/>
  <c r="BT88" i="15"/>
  <c r="BX88" i="15" s="1"/>
  <c r="BT26" i="15"/>
  <c r="BX26" i="15" s="1"/>
  <c r="BT32" i="15"/>
  <c r="BX32" i="15" s="1"/>
  <c r="BT40" i="15"/>
  <c r="BX40" i="15" s="1"/>
  <c r="BT54" i="15"/>
  <c r="BX54" i="15" s="1"/>
  <c r="BT67" i="15"/>
  <c r="BX67" i="15" s="1"/>
  <c r="BT17" i="15"/>
  <c r="BX17" i="15" s="1"/>
  <c r="BT20" i="15"/>
  <c r="BX20" i="15" s="1"/>
  <c r="BT23" i="15"/>
  <c r="BX23" i="15" s="1"/>
  <c r="BT49" i="15"/>
  <c r="BX49" i="15" s="1"/>
  <c r="BX51" i="15"/>
  <c r="BT2" i="15"/>
  <c r="BX2" i="15" s="1"/>
  <c r="BX7" i="15"/>
  <c r="BT39" i="15"/>
  <c r="BX39" i="15" s="1"/>
  <c r="BT60" i="15"/>
  <c r="BX60" i="15" s="1"/>
  <c r="BT68" i="15"/>
  <c r="BX68" i="15" s="1"/>
  <c r="BT69" i="15"/>
  <c r="BX69" i="15" s="1"/>
  <c r="BT73" i="15"/>
  <c r="BX73" i="15" s="1"/>
  <c r="BX110" i="15"/>
  <c r="BT89" i="15"/>
  <c r="BX89" i="15" s="1"/>
  <c r="BT92" i="15"/>
  <c r="BX92" i="15" s="1"/>
  <c r="BT101" i="15"/>
  <c r="BX101" i="15" s="1"/>
  <c r="BT104" i="15"/>
  <c r="BX104" i="15" s="1"/>
  <c r="BT117" i="15"/>
  <c r="BX117" i="15" s="1"/>
  <c r="BT121" i="15"/>
  <c r="BX121" i="15" s="1"/>
  <c r="BT6" i="15"/>
  <c r="BX6" i="15" s="1"/>
  <c r="AT123" i="15"/>
  <c r="B129" i="15" s="1"/>
  <c r="BT12" i="15"/>
  <c r="BX12" i="15" s="1"/>
  <c r="BT30" i="15"/>
  <c r="BX30" i="15" s="1"/>
  <c r="BT63" i="15"/>
  <c r="BX63" i="15" s="1"/>
  <c r="C123" i="15"/>
  <c r="P129" i="15"/>
  <c r="BT50" i="15"/>
  <c r="BT53" i="15"/>
  <c r="BX53" i="15" s="1"/>
  <c r="BT61" i="15"/>
  <c r="BX61" i="15" s="1"/>
  <c r="BT84" i="15"/>
  <c r="BX84" i="15" s="1"/>
  <c r="BT100" i="15"/>
  <c r="BX100" i="15" s="1"/>
  <c r="BT105" i="15"/>
  <c r="BX105" i="15" s="1"/>
  <c r="BT111" i="15"/>
  <c r="BX111" i="15" s="1"/>
  <c r="BT35" i="15"/>
  <c r="BX35" i="15" s="1"/>
  <c r="BT10" i="15"/>
  <c r="BX10" i="15" s="1"/>
  <c r="BT31" i="15"/>
  <c r="BX31" i="15" s="1"/>
  <c r="BT8" i="15"/>
  <c r="BX8" i="15" s="1"/>
  <c r="BT14" i="15"/>
  <c r="BX14" i="15" s="1"/>
  <c r="BT16" i="15"/>
  <c r="BX16" i="15" s="1"/>
  <c r="BT19" i="15"/>
  <c r="BX19" i="15" s="1"/>
  <c r="BT22" i="15"/>
  <c r="BX22" i="15" s="1"/>
  <c r="BT47" i="15"/>
  <c r="BX47" i="15" s="1"/>
  <c r="BT58" i="15"/>
  <c r="BX58" i="15" s="1"/>
  <c r="BT65" i="15"/>
  <c r="BX65" i="15" s="1"/>
  <c r="BT94" i="15"/>
  <c r="BX94" i="15" s="1"/>
  <c r="BT4" i="15"/>
  <c r="BX4" i="15" s="1"/>
  <c r="BT11" i="15"/>
  <c r="BX11" i="15" s="1"/>
  <c r="BT15" i="15"/>
  <c r="BX15" i="15" s="1"/>
  <c r="BT18" i="15"/>
  <c r="BX18" i="15" s="1"/>
  <c r="BT21" i="15"/>
  <c r="BX21" i="15" s="1"/>
  <c r="BT24" i="15"/>
  <c r="BX24" i="15" s="1"/>
  <c r="BT25" i="15"/>
  <c r="BX25" i="15" s="1"/>
  <c r="BT28" i="15"/>
  <c r="BX28" i="15" s="1"/>
  <c r="BT38" i="15"/>
  <c r="BX38" i="15" s="1"/>
  <c r="BT42" i="15"/>
  <c r="BX42" i="15" s="1"/>
  <c r="BT71" i="15"/>
  <c r="BX71" i="15" s="1"/>
  <c r="BT78" i="15"/>
  <c r="BX78" i="15" s="1"/>
  <c r="BT81" i="15"/>
  <c r="BX81" i="15" s="1"/>
  <c r="BX83" i="15"/>
  <c r="BT3" i="15"/>
  <c r="BX3" i="15" s="1"/>
  <c r="BT27" i="15"/>
  <c r="BX27" i="15" s="1"/>
  <c r="BT37" i="15"/>
  <c r="BX37" i="15" s="1"/>
  <c r="BT41" i="15"/>
  <c r="BX41" i="15" s="1"/>
  <c r="BT44" i="15"/>
  <c r="BX44" i="15" s="1"/>
  <c r="BT45" i="15"/>
  <c r="BX45" i="15" s="1"/>
  <c r="BT77" i="15"/>
  <c r="BX77" i="15" s="1"/>
  <c r="BX79" i="15"/>
  <c r="BT80" i="15"/>
  <c r="BX80" i="15" s="1"/>
  <c r="BT87" i="15"/>
  <c r="BX87" i="15" s="1"/>
  <c r="BT91" i="15"/>
  <c r="BX91" i="15" s="1"/>
  <c r="BT106" i="15"/>
  <c r="BX106" i="15" s="1"/>
  <c r="BT107" i="15"/>
  <c r="BX107" i="15" s="1"/>
  <c r="BT113" i="15"/>
  <c r="BX113" i="15" s="1"/>
  <c r="B123" i="15"/>
  <c r="D123" i="15"/>
  <c r="BT74" i="15"/>
  <c r="BX74" i="15" s="1"/>
  <c r="BT76" i="15"/>
  <c r="BX76" i="15" s="1"/>
  <c r="BT86" i="15"/>
  <c r="BX86" i="15" s="1"/>
  <c r="BT90" i="15"/>
  <c r="BX90" i="15" s="1"/>
  <c r="BT93" i="15"/>
  <c r="BX93" i="15" s="1"/>
  <c r="BT97" i="15"/>
  <c r="BX97" i="15" s="1"/>
  <c r="BT99" i="15"/>
  <c r="BX99" i="15" s="1"/>
  <c r="BT103" i="15"/>
  <c r="BX103" i="15" s="1"/>
  <c r="BT108" i="15"/>
  <c r="BX108" i="15" s="1"/>
  <c r="BT112" i="15"/>
  <c r="BX112" i="15" s="1"/>
  <c r="BT114" i="15"/>
  <c r="BX114" i="15" s="1"/>
  <c r="BT116" i="15"/>
  <c r="BX116" i="15" s="1"/>
  <c r="BT119" i="15"/>
  <c r="BX119" i="15" s="1"/>
  <c r="BT62" i="15"/>
  <c r="BX62" i="15" s="1"/>
  <c r="BT66" i="15"/>
  <c r="BX66" i="15" s="1"/>
  <c r="BT70" i="15"/>
  <c r="BX70" i="15" s="1"/>
  <c r="BT72" i="15"/>
  <c r="BX72" i="15" s="1"/>
  <c r="BT75" i="15"/>
  <c r="BX75" i="15" s="1"/>
  <c r="BT95" i="15"/>
  <c r="BX95" i="15" s="1"/>
  <c r="BT98" i="15"/>
  <c r="BX98" i="15" s="1"/>
  <c r="BT102" i="15"/>
  <c r="BX102" i="15" s="1"/>
  <c r="BT115" i="15"/>
  <c r="BX115" i="15" s="1"/>
  <c r="BT118" i="15"/>
  <c r="BX118" i="15" s="1"/>
  <c r="BX50" i="15" l="1"/>
  <c r="BQ123" i="15"/>
  <c r="B128" i="15"/>
  <c r="BP123" i="15"/>
  <c r="BV123" i="13" l="1"/>
  <c r="BU123" i="13"/>
  <c r="BR123" i="13"/>
  <c r="BO123" i="13"/>
  <c r="BN123" i="13"/>
  <c r="BM123" i="13"/>
  <c r="BL123" i="13"/>
  <c r="BK123" i="13"/>
  <c r="BJ123" i="13"/>
  <c r="BI123" i="13"/>
  <c r="BH123" i="13"/>
  <c r="BG123" i="13"/>
  <c r="BF123" i="13"/>
  <c r="BE123" i="13"/>
  <c r="BD123" i="13"/>
  <c r="BC123" i="13"/>
  <c r="BB123" i="13"/>
  <c r="BA123" i="13"/>
  <c r="AZ123" i="13"/>
  <c r="AY123" i="13"/>
  <c r="AX123" i="13"/>
  <c r="AW123" i="13"/>
  <c r="AV123" i="13"/>
  <c r="AU123" i="13"/>
  <c r="AS123" i="13"/>
  <c r="AR123" i="13"/>
  <c r="AQ123" i="13"/>
  <c r="AP123" i="13"/>
  <c r="AO123" i="13"/>
  <c r="AN123" i="13"/>
  <c r="AM123" i="13"/>
  <c r="AJ123" i="13"/>
  <c r="AI123" i="13"/>
  <c r="AH123" i="13"/>
  <c r="AG123" i="13"/>
  <c r="AF123" i="13"/>
  <c r="AE123" i="13"/>
  <c r="AD123" i="13"/>
  <c r="AC123" i="13"/>
  <c r="AB123" i="13"/>
  <c r="AA123" i="13"/>
  <c r="Z123" i="13"/>
  <c r="Y123" i="13"/>
  <c r="X123" i="13"/>
  <c r="W123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CA121" i="13"/>
  <c r="BZ121" i="13"/>
  <c r="BY121" i="13"/>
  <c r="BW121" i="13"/>
  <c r="CA120" i="13"/>
  <c r="BZ120" i="13"/>
  <c r="BY120" i="13"/>
  <c r="CB120" i="13" s="1"/>
  <c r="BW120" i="13"/>
  <c r="CA119" i="13"/>
  <c r="BW119" i="13"/>
  <c r="AL119" i="13"/>
  <c r="BZ119" i="13" s="1"/>
  <c r="AK119" i="13"/>
  <c r="BY119" i="13" s="1"/>
  <c r="CB119" i="13" s="1"/>
  <c r="CA118" i="13"/>
  <c r="BZ118" i="13"/>
  <c r="BY118" i="13"/>
  <c r="CB118" i="13" s="1"/>
  <c r="BW118" i="13"/>
  <c r="CA117" i="13"/>
  <c r="BZ117" i="13"/>
  <c r="BY117" i="13"/>
  <c r="BW117" i="13"/>
  <c r="CA116" i="13"/>
  <c r="BZ116" i="13"/>
  <c r="BY116" i="13"/>
  <c r="CB116" i="13" s="1"/>
  <c r="BW116" i="13"/>
  <c r="CA115" i="13"/>
  <c r="BY115" i="13"/>
  <c r="BW115" i="13"/>
  <c r="AT115" i="13"/>
  <c r="AL115" i="13"/>
  <c r="BZ115" i="13" s="1"/>
  <c r="CA114" i="13"/>
  <c r="BZ114" i="13"/>
  <c r="BY114" i="13"/>
  <c r="BW114" i="13"/>
  <c r="AT114" i="13"/>
  <c r="CA113" i="13"/>
  <c r="BZ113" i="13"/>
  <c r="BY113" i="13"/>
  <c r="BW113" i="13"/>
  <c r="CA112" i="13"/>
  <c r="BZ112" i="13"/>
  <c r="BY112" i="13"/>
  <c r="BW112" i="13"/>
  <c r="CA111" i="13"/>
  <c r="BZ111" i="13"/>
  <c r="BY111" i="13"/>
  <c r="BT111" i="13"/>
  <c r="BW111" i="13" s="1"/>
  <c r="CA110" i="13"/>
  <c r="BY110" i="13"/>
  <c r="BW110" i="13"/>
  <c r="AL110" i="13"/>
  <c r="BZ110" i="13" s="1"/>
  <c r="CB110" i="13" s="1"/>
  <c r="CA109" i="13"/>
  <c r="BZ109" i="13"/>
  <c r="BY109" i="13"/>
  <c r="BW109" i="13"/>
  <c r="CA108" i="13"/>
  <c r="BZ108" i="13"/>
  <c r="BY108" i="13"/>
  <c r="BW108" i="13"/>
  <c r="CA107" i="13"/>
  <c r="BZ107" i="13"/>
  <c r="BY107" i="13"/>
  <c r="BW107" i="13"/>
  <c r="CA106" i="13"/>
  <c r="BZ106" i="13"/>
  <c r="BY106" i="13"/>
  <c r="BW106" i="13"/>
  <c r="AT106" i="13"/>
  <c r="CA105" i="13"/>
  <c r="BZ105" i="13"/>
  <c r="BY105" i="13"/>
  <c r="BW105" i="13"/>
  <c r="CA104" i="13"/>
  <c r="BZ104" i="13"/>
  <c r="BY104" i="13"/>
  <c r="BT104" i="13"/>
  <c r="BW104" i="13" s="1"/>
  <c r="CA103" i="13"/>
  <c r="BZ103" i="13"/>
  <c r="BY103" i="13"/>
  <c r="BW103" i="13"/>
  <c r="CA102" i="13"/>
  <c r="BZ102" i="13"/>
  <c r="BY102" i="13"/>
  <c r="BW102" i="13"/>
  <c r="CA101" i="13"/>
  <c r="BY101" i="13"/>
  <c r="BW101" i="13"/>
  <c r="AT101" i="13"/>
  <c r="AL101" i="13"/>
  <c r="BZ101" i="13" s="1"/>
  <c r="CA100" i="13"/>
  <c r="BZ100" i="13"/>
  <c r="BY100" i="13"/>
  <c r="BW100" i="13"/>
  <c r="CA99" i="13"/>
  <c r="BY99" i="13"/>
  <c r="BW99" i="13"/>
  <c r="AL99" i="13"/>
  <c r="BZ99" i="13" s="1"/>
  <c r="CA98" i="13"/>
  <c r="BY98" i="13"/>
  <c r="BW98" i="13"/>
  <c r="AL98" i="13"/>
  <c r="BZ98" i="13" s="1"/>
  <c r="CA97" i="13"/>
  <c r="BZ97" i="13"/>
  <c r="BY97" i="13"/>
  <c r="BW97" i="13"/>
  <c r="CA96" i="13"/>
  <c r="BZ96" i="13"/>
  <c r="BY96" i="13"/>
  <c r="BW96" i="13"/>
  <c r="CA95" i="13"/>
  <c r="BZ95" i="13"/>
  <c r="BY95" i="13"/>
  <c r="BW95" i="13"/>
  <c r="CA94" i="13"/>
  <c r="BZ94" i="13"/>
  <c r="BY94" i="13"/>
  <c r="BW94" i="13"/>
  <c r="CA93" i="13"/>
  <c r="BZ93" i="13"/>
  <c r="BY93" i="13"/>
  <c r="BW93" i="13"/>
  <c r="AT93" i="13"/>
  <c r="CA92" i="13"/>
  <c r="BZ92" i="13"/>
  <c r="BY92" i="13"/>
  <c r="BW92" i="13"/>
  <c r="CA91" i="13"/>
  <c r="BY91" i="13"/>
  <c r="BW91" i="13"/>
  <c r="AL91" i="13"/>
  <c r="BZ91" i="13" s="1"/>
  <c r="CA90" i="13"/>
  <c r="BZ90" i="13"/>
  <c r="BY90" i="13"/>
  <c r="BW90" i="13"/>
  <c r="CA89" i="13"/>
  <c r="BZ89" i="13"/>
  <c r="BY89" i="13"/>
  <c r="BW89" i="13"/>
  <c r="CA88" i="13"/>
  <c r="BZ88" i="13"/>
  <c r="BY88" i="13"/>
  <c r="BW88" i="13"/>
  <c r="CA87" i="13"/>
  <c r="BZ87" i="13"/>
  <c r="BY87" i="13"/>
  <c r="BW87" i="13"/>
  <c r="CA86" i="13"/>
  <c r="BZ86" i="13"/>
  <c r="BY86" i="13"/>
  <c r="BT86" i="13"/>
  <c r="BW86" i="13" s="1"/>
  <c r="CA85" i="13"/>
  <c r="BY85" i="13"/>
  <c r="BW85" i="13"/>
  <c r="AT85" i="13"/>
  <c r="AL85" i="13"/>
  <c r="BZ85" i="13" s="1"/>
  <c r="CA84" i="13"/>
  <c r="BZ84" i="13"/>
  <c r="BY84" i="13"/>
  <c r="CB84" i="13" s="1"/>
  <c r="BW84" i="13"/>
  <c r="CA83" i="13"/>
  <c r="BZ83" i="13"/>
  <c r="BY83" i="13"/>
  <c r="BW83" i="13"/>
  <c r="CA82" i="13"/>
  <c r="BZ82" i="13"/>
  <c r="BY82" i="13"/>
  <c r="BW82" i="13"/>
  <c r="CA81" i="13"/>
  <c r="BZ81" i="13"/>
  <c r="BY81" i="13"/>
  <c r="BW81" i="13"/>
  <c r="CA80" i="13"/>
  <c r="BZ80" i="13"/>
  <c r="BY80" i="13"/>
  <c r="BT80" i="13"/>
  <c r="BW80" i="13" s="1"/>
  <c r="CA79" i="13"/>
  <c r="BZ79" i="13"/>
  <c r="BY79" i="13"/>
  <c r="BW79" i="13"/>
  <c r="CA78" i="13"/>
  <c r="BZ78" i="13"/>
  <c r="BY78" i="13"/>
  <c r="BW78" i="13"/>
  <c r="CA77" i="13"/>
  <c r="BY77" i="13"/>
  <c r="BW77" i="13"/>
  <c r="AT77" i="13"/>
  <c r="AL77" i="13"/>
  <c r="BZ77" i="13" s="1"/>
  <c r="CA76" i="13"/>
  <c r="BZ76" i="13"/>
  <c r="BY76" i="13"/>
  <c r="BW76" i="13"/>
  <c r="CA75" i="13"/>
  <c r="BZ75" i="13"/>
  <c r="BY75" i="13"/>
  <c r="BW75" i="13"/>
  <c r="CA74" i="13"/>
  <c r="BY74" i="13"/>
  <c r="BW74" i="13"/>
  <c r="AL74" i="13"/>
  <c r="BZ74" i="13" s="1"/>
  <c r="CA73" i="13"/>
  <c r="BZ73" i="13"/>
  <c r="BY73" i="13"/>
  <c r="CB73" i="13" s="1"/>
  <c r="BW73" i="13"/>
  <c r="CA72" i="13"/>
  <c r="BY72" i="13"/>
  <c r="BW72" i="13"/>
  <c r="AL72" i="13"/>
  <c r="BZ72" i="13" s="1"/>
  <c r="CA71" i="13"/>
  <c r="BZ71" i="13"/>
  <c r="BY71" i="13"/>
  <c r="CB71" i="13" s="1"/>
  <c r="BW71" i="13"/>
  <c r="CA70" i="13"/>
  <c r="BZ70" i="13"/>
  <c r="BY70" i="13"/>
  <c r="BW70" i="13"/>
  <c r="AT70" i="13"/>
  <c r="CA69" i="13"/>
  <c r="BZ69" i="13"/>
  <c r="BY69" i="13"/>
  <c r="BW69" i="13"/>
  <c r="CA68" i="13"/>
  <c r="BZ68" i="13"/>
  <c r="BY68" i="13"/>
  <c r="BW68" i="13"/>
  <c r="CA67" i="13"/>
  <c r="BZ67" i="13"/>
  <c r="BY67" i="13"/>
  <c r="BW67" i="13"/>
  <c r="CA66" i="13"/>
  <c r="BZ66" i="13"/>
  <c r="BY66" i="13"/>
  <c r="BW66" i="13"/>
  <c r="CA65" i="13"/>
  <c r="BZ65" i="13"/>
  <c r="CB65" i="13" s="1"/>
  <c r="BY65" i="13"/>
  <c r="BW65" i="13"/>
  <c r="CA64" i="13"/>
  <c r="BY64" i="13"/>
  <c r="BW64" i="13"/>
  <c r="AL64" i="13"/>
  <c r="BZ64" i="13" s="1"/>
  <c r="CA63" i="13"/>
  <c r="BZ63" i="13"/>
  <c r="BY63" i="13"/>
  <c r="BW63" i="13"/>
  <c r="CA62" i="13"/>
  <c r="BW62" i="13"/>
  <c r="AL62" i="13"/>
  <c r="BZ62" i="13" s="1"/>
  <c r="AK62" i="13"/>
  <c r="BY62" i="13" s="1"/>
  <c r="CA61" i="13"/>
  <c r="BZ61" i="13"/>
  <c r="BY61" i="13"/>
  <c r="BW61" i="13"/>
  <c r="CA60" i="13"/>
  <c r="BW60" i="13"/>
  <c r="AT60" i="13"/>
  <c r="AL60" i="13"/>
  <c r="BZ60" i="13" s="1"/>
  <c r="AK60" i="13"/>
  <c r="BY60" i="13" s="1"/>
  <c r="CA59" i="13"/>
  <c r="BZ59" i="13"/>
  <c r="BY59" i="13"/>
  <c r="BW59" i="13"/>
  <c r="CA58" i="13"/>
  <c r="BZ58" i="13"/>
  <c r="BY58" i="13"/>
  <c r="BW58" i="13"/>
  <c r="AT58" i="13"/>
  <c r="CA57" i="13"/>
  <c r="BW57" i="13"/>
  <c r="AT57" i="13"/>
  <c r="AL57" i="13"/>
  <c r="BZ57" i="13" s="1"/>
  <c r="AK57" i="13"/>
  <c r="BY57" i="13" s="1"/>
  <c r="CA56" i="13"/>
  <c r="BZ56" i="13"/>
  <c r="BY56" i="13"/>
  <c r="BW56" i="13"/>
  <c r="AT56" i="13"/>
  <c r="CA55" i="13"/>
  <c r="BZ55" i="13"/>
  <c r="BY55" i="13"/>
  <c r="BW55" i="13"/>
  <c r="CA54" i="13"/>
  <c r="BZ54" i="13"/>
  <c r="BY54" i="13"/>
  <c r="BW54" i="13"/>
  <c r="CA53" i="13"/>
  <c r="BZ53" i="13"/>
  <c r="BY53" i="13"/>
  <c r="BW53" i="13"/>
  <c r="CA52" i="13"/>
  <c r="BZ52" i="13"/>
  <c r="BY52" i="13"/>
  <c r="BW52" i="13"/>
  <c r="CA51" i="13"/>
  <c r="BW51" i="13"/>
  <c r="AL51" i="13"/>
  <c r="BZ51" i="13" s="1"/>
  <c r="AK51" i="13"/>
  <c r="BY51" i="13" s="1"/>
  <c r="CA50" i="13"/>
  <c r="BZ50" i="13"/>
  <c r="BY50" i="13"/>
  <c r="BW50" i="13"/>
  <c r="CA49" i="13"/>
  <c r="BZ49" i="13"/>
  <c r="BY49" i="13"/>
  <c r="BW49" i="13"/>
  <c r="CA48" i="13"/>
  <c r="BZ48" i="13"/>
  <c r="BY48" i="13"/>
  <c r="BW48" i="13"/>
  <c r="CA47" i="13"/>
  <c r="BZ47" i="13"/>
  <c r="BY47" i="13"/>
  <c r="BW47" i="13"/>
  <c r="AT47" i="13"/>
  <c r="CA46" i="13"/>
  <c r="BZ46" i="13"/>
  <c r="BW46" i="13"/>
  <c r="AK46" i="13"/>
  <c r="BY46" i="13" s="1"/>
  <c r="CA45" i="13"/>
  <c r="BZ45" i="13"/>
  <c r="BY45" i="13"/>
  <c r="BT45" i="13"/>
  <c r="BW45" i="13" s="1"/>
  <c r="CA44" i="13"/>
  <c r="BZ44" i="13"/>
  <c r="BY44" i="13"/>
  <c r="BW44" i="13"/>
  <c r="CA43" i="13"/>
  <c r="BZ43" i="13"/>
  <c r="BY43" i="13"/>
  <c r="BW43" i="13"/>
  <c r="CA42" i="13"/>
  <c r="BZ42" i="13"/>
  <c r="BY42" i="13"/>
  <c r="BW42" i="13"/>
  <c r="CA41" i="13"/>
  <c r="BZ41" i="13"/>
  <c r="BY41" i="13"/>
  <c r="BW41" i="13"/>
  <c r="CA40" i="13"/>
  <c r="BZ40" i="13"/>
  <c r="BY40" i="13"/>
  <c r="BW40" i="13"/>
  <c r="CA39" i="13"/>
  <c r="BZ39" i="13"/>
  <c r="BW39" i="13"/>
  <c r="AK39" i="13"/>
  <c r="BY39" i="13" s="1"/>
  <c r="CB39" i="13" s="1"/>
  <c r="CA38" i="13"/>
  <c r="BW38" i="13"/>
  <c r="AL38" i="13"/>
  <c r="BZ38" i="13" s="1"/>
  <c r="AK38" i="13"/>
  <c r="BY38" i="13" s="1"/>
  <c r="CA37" i="13"/>
  <c r="BZ37" i="13"/>
  <c r="BY37" i="13"/>
  <c r="BW37" i="13"/>
  <c r="CA36" i="13"/>
  <c r="BZ36" i="13"/>
  <c r="BY36" i="13"/>
  <c r="BW36" i="13"/>
  <c r="CA35" i="13"/>
  <c r="BZ35" i="13"/>
  <c r="BY35" i="13"/>
  <c r="BW35" i="13"/>
  <c r="AT35" i="13"/>
  <c r="CA34" i="13"/>
  <c r="BZ34" i="13"/>
  <c r="BY34" i="13"/>
  <c r="BW34" i="13"/>
  <c r="CA33" i="13"/>
  <c r="BZ33" i="13"/>
  <c r="BY33" i="13"/>
  <c r="BT33" i="13"/>
  <c r="BW33" i="13" s="1"/>
  <c r="CA32" i="13"/>
  <c r="BZ32" i="13"/>
  <c r="BY32" i="13"/>
  <c r="BW32" i="13"/>
  <c r="CA31" i="13"/>
  <c r="BZ31" i="13"/>
  <c r="BW31" i="13"/>
  <c r="AT31" i="13"/>
  <c r="AK31" i="13"/>
  <c r="BY31" i="13" s="1"/>
  <c r="CA30" i="13"/>
  <c r="CB30" i="13" s="1"/>
  <c r="BZ30" i="13"/>
  <c r="BY30" i="13"/>
  <c r="BW30" i="13"/>
  <c r="CA29" i="13"/>
  <c r="BZ29" i="13"/>
  <c r="BY29" i="13"/>
  <c r="BT29" i="13"/>
  <c r="BW29" i="13" s="1"/>
  <c r="AT29" i="13"/>
  <c r="CA28" i="13"/>
  <c r="BZ28" i="13"/>
  <c r="BY28" i="13"/>
  <c r="BW28" i="13"/>
  <c r="CA27" i="13"/>
  <c r="BZ27" i="13"/>
  <c r="BY27" i="13"/>
  <c r="BW27" i="13"/>
  <c r="CA26" i="13"/>
  <c r="BZ26" i="13"/>
  <c r="BY26" i="13"/>
  <c r="BW26" i="13"/>
  <c r="CA25" i="13"/>
  <c r="BZ25" i="13"/>
  <c r="BY25" i="13"/>
  <c r="BT25" i="13"/>
  <c r="CA24" i="13"/>
  <c r="BZ24" i="13"/>
  <c r="BY24" i="13"/>
  <c r="BW24" i="13"/>
  <c r="CA23" i="13"/>
  <c r="BZ23" i="13"/>
  <c r="BY23" i="13"/>
  <c r="BW23" i="13"/>
  <c r="CA22" i="13"/>
  <c r="BZ22" i="13"/>
  <c r="BY22" i="13"/>
  <c r="BW22" i="13"/>
  <c r="AT22" i="13"/>
  <c r="CA21" i="13"/>
  <c r="BZ21" i="13"/>
  <c r="BY21" i="13"/>
  <c r="BW21" i="13"/>
  <c r="CA20" i="13"/>
  <c r="BZ20" i="13"/>
  <c r="BW20" i="13"/>
  <c r="AK20" i="13"/>
  <c r="BY20" i="13" s="1"/>
  <c r="CA19" i="13"/>
  <c r="BZ19" i="13"/>
  <c r="BW19" i="13"/>
  <c r="AT19" i="13"/>
  <c r="AK19" i="13"/>
  <c r="BY19" i="13" s="1"/>
  <c r="CA18" i="13"/>
  <c r="BZ18" i="13"/>
  <c r="BY18" i="13"/>
  <c r="CB18" i="13" s="1"/>
  <c r="BW18" i="13"/>
  <c r="CA17" i="13"/>
  <c r="BZ17" i="13"/>
  <c r="BY17" i="13"/>
  <c r="BW17" i="13"/>
  <c r="CA16" i="13"/>
  <c r="BZ16" i="13"/>
  <c r="BY16" i="13"/>
  <c r="BW16" i="13"/>
  <c r="AT16" i="13"/>
  <c r="CA15" i="13"/>
  <c r="BZ15" i="13"/>
  <c r="BW15" i="13"/>
  <c r="AK15" i="13"/>
  <c r="BY15" i="13" s="1"/>
  <c r="CA14" i="13"/>
  <c r="BZ14" i="13"/>
  <c r="BW14" i="13"/>
  <c r="AK14" i="13"/>
  <c r="BY14" i="13" s="1"/>
  <c r="CA13" i="13"/>
  <c r="BZ13" i="13"/>
  <c r="BW13" i="13"/>
  <c r="AK13" i="13"/>
  <c r="BY13" i="13" s="1"/>
  <c r="CA12" i="13"/>
  <c r="BZ12" i="13"/>
  <c r="BW12" i="13"/>
  <c r="AK12" i="13"/>
  <c r="BY12" i="13" s="1"/>
  <c r="CA11" i="13"/>
  <c r="BW11" i="13"/>
  <c r="AT11" i="13"/>
  <c r="AL11" i="13"/>
  <c r="BZ11" i="13" s="1"/>
  <c r="AK11" i="13"/>
  <c r="BY11" i="13" s="1"/>
  <c r="CA10" i="13"/>
  <c r="BZ10" i="13"/>
  <c r="BW10" i="13"/>
  <c r="AT10" i="13"/>
  <c r="AK10" i="13"/>
  <c r="BY10" i="13" s="1"/>
  <c r="CA9" i="13"/>
  <c r="BW9" i="13"/>
  <c r="AT9" i="13"/>
  <c r="AL9" i="13"/>
  <c r="BZ9" i="13" s="1"/>
  <c r="AK9" i="13"/>
  <c r="BY9" i="13" s="1"/>
  <c r="CA8" i="13"/>
  <c r="BZ8" i="13"/>
  <c r="BW8" i="13"/>
  <c r="AK8" i="13"/>
  <c r="CA7" i="13"/>
  <c r="BZ7" i="13"/>
  <c r="BY7" i="13"/>
  <c r="BT7" i="13"/>
  <c r="BW7" i="13" s="1"/>
  <c r="AT7" i="13"/>
  <c r="CA6" i="13"/>
  <c r="BW6" i="13"/>
  <c r="AL6" i="13"/>
  <c r="AK6" i="13"/>
  <c r="BY6" i="13" s="1"/>
  <c r="CA5" i="13"/>
  <c r="BZ5" i="13"/>
  <c r="BY5" i="13"/>
  <c r="BW5" i="13"/>
  <c r="CA4" i="13"/>
  <c r="BZ4" i="13"/>
  <c r="BY4" i="13"/>
  <c r="BW4" i="13"/>
  <c r="CA3" i="13"/>
  <c r="BZ3" i="13"/>
  <c r="BY3" i="13"/>
  <c r="BW3" i="13"/>
  <c r="CA2" i="13"/>
  <c r="BZ2" i="13"/>
  <c r="BY2" i="13"/>
  <c r="BW2" i="13"/>
  <c r="AJ1" i="13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A1" i="13"/>
  <c r="CB46" i="13" l="1"/>
  <c r="CB31" i="13"/>
  <c r="CB85" i="13"/>
  <c r="CB5" i="13"/>
  <c r="CB81" i="13"/>
  <c r="CB10" i="13"/>
  <c r="CB17" i="13"/>
  <c r="CB32" i="13"/>
  <c r="CB86" i="13"/>
  <c r="CB90" i="13"/>
  <c r="CB48" i="13"/>
  <c r="CB67" i="13"/>
  <c r="CB23" i="13"/>
  <c r="CB76" i="13"/>
  <c r="CB99" i="13"/>
  <c r="CB28" i="13"/>
  <c r="CB54" i="13"/>
  <c r="CB107" i="13"/>
  <c r="CB43" i="13"/>
  <c r="CB70" i="13"/>
  <c r="CB112" i="13"/>
  <c r="CB74" i="13"/>
  <c r="CB96" i="13"/>
  <c r="CB55" i="13"/>
  <c r="CB101" i="13"/>
  <c r="CB104" i="13"/>
  <c r="CB59" i="13"/>
  <c r="CB82" i="13"/>
  <c r="CB19" i="13"/>
  <c r="CB44" i="13"/>
  <c r="CB105" i="13"/>
  <c r="CB41" i="13"/>
  <c r="CB79" i="13"/>
  <c r="CB4" i="13"/>
  <c r="CB7" i="13"/>
  <c r="CB9" i="13"/>
  <c r="CB12" i="13"/>
  <c r="CB26" i="13"/>
  <c r="CB49" i="13"/>
  <c r="CB57" i="13"/>
  <c r="CB62" i="13"/>
  <c r="CB69" i="13"/>
  <c r="CB88" i="13"/>
  <c r="CB93" i="13"/>
  <c r="CB22" i="13"/>
  <c r="CB33" i="13"/>
  <c r="CB40" i="13"/>
  <c r="CB58" i="13"/>
  <c r="CB64" i="13"/>
  <c r="CB97" i="13"/>
  <c r="CB114" i="13"/>
  <c r="BT123" i="13"/>
  <c r="CB78" i="13"/>
  <c r="CB11" i="13"/>
  <c r="CB16" i="13"/>
  <c r="CB35" i="13"/>
  <c r="CB50" i="13"/>
  <c r="CB80" i="13"/>
  <c r="CB94" i="13"/>
  <c r="CB109" i="13"/>
  <c r="CB13" i="13"/>
  <c r="CB52" i="13"/>
  <c r="CB98" i="13"/>
  <c r="CB115" i="13"/>
  <c r="CB3" i="13"/>
  <c r="CB15" i="13"/>
  <c r="CB20" i="13"/>
  <c r="CB25" i="13"/>
  <c r="CB56" i="13"/>
  <c r="CB68" i="13"/>
  <c r="CB87" i="13"/>
  <c r="CB100" i="13"/>
  <c r="CB36" i="13"/>
  <c r="CB51" i="13"/>
  <c r="CB60" i="13"/>
  <c r="CB63" i="13"/>
  <c r="CB91" i="13"/>
  <c r="CB102" i="13"/>
  <c r="CB106" i="13"/>
  <c r="CB113" i="13"/>
  <c r="CB117" i="13"/>
  <c r="AL123" i="13"/>
  <c r="BZ6" i="13"/>
  <c r="CB6" i="13" s="1"/>
  <c r="BY8" i="13"/>
  <c r="CB8" i="13" s="1"/>
  <c r="AK123" i="13"/>
  <c r="CB2" i="13"/>
  <c r="AT123" i="13"/>
  <c r="CB24" i="13"/>
  <c r="BW25" i="13"/>
  <c r="BW123" i="13" s="1"/>
  <c r="CB29" i="13"/>
  <c r="CB34" i="13"/>
  <c r="CB45" i="13"/>
  <c r="CB61" i="13"/>
  <c r="CB72" i="13"/>
  <c r="CB92" i="13"/>
  <c r="CB103" i="13"/>
  <c r="AI129" i="13"/>
  <c r="CB38" i="13"/>
  <c r="CB77" i="13"/>
  <c r="CB14" i="13"/>
  <c r="CB21" i="13"/>
  <c r="CB27" i="13"/>
  <c r="CB37" i="13"/>
  <c r="CB42" i="13"/>
  <c r="CB47" i="13"/>
  <c r="CB53" i="13"/>
  <c r="CB66" i="13"/>
  <c r="CB75" i="13"/>
  <c r="CB83" i="13"/>
  <c r="CB89" i="13"/>
  <c r="CB95" i="13"/>
  <c r="CB108" i="13"/>
  <c r="CB111" i="13"/>
  <c r="CB121" i="13"/>
  <c r="P129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Moore</author>
    <author>COT</author>
  </authors>
  <commentList>
    <comment ref="AI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Nancy Moore:</t>
        </r>
        <r>
          <rPr>
            <sz val="8"/>
            <color indexed="81"/>
            <rFont val="Tahoma"/>
            <family val="2"/>
          </rPr>
          <t xml:space="preserve">
add limestone,clay,sand gravel florspar</t>
        </r>
      </text>
    </comment>
    <comment ref="BI1" authorId="1" shapeId="0" xr:uid="{00000000-0006-0000-0900-000002000000}">
      <text>
        <r>
          <rPr>
            <b/>
            <sz val="8"/>
            <color indexed="81"/>
            <rFont val="Tahoma"/>
            <family val="2"/>
          </rPr>
          <t>COT:when pasting information from PSC worksheet: Edit, Go To, Special, Visible Cells only; then copy &amp; paste to workrecap.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Moore</author>
    <author>COT</author>
  </authors>
  <commentList>
    <comment ref="AI1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Nancy Moore:</t>
        </r>
        <r>
          <rPr>
            <sz val="8"/>
            <color indexed="81"/>
            <rFont val="Tahoma"/>
            <family val="2"/>
          </rPr>
          <t xml:space="preserve">
add limestone,clay,sand gravel florspar</t>
        </r>
      </text>
    </comment>
    <comment ref="BI1" authorId="1" shapeId="0" xr:uid="{00000000-0006-0000-0A00-000002000000}">
      <text>
        <r>
          <rPr>
            <b/>
            <sz val="8"/>
            <color indexed="81"/>
            <rFont val="Tahoma"/>
            <family val="2"/>
          </rPr>
          <t>COT:when pasting information from PSC worksheet: Edit, Go To, Special, Visible Cells only; then copy &amp; paste to workrecap.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Moore</author>
    <author>COT</author>
  </authors>
  <commentList>
    <comment ref="AI1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Nancy Moore:</t>
        </r>
        <r>
          <rPr>
            <sz val="8"/>
            <color indexed="81"/>
            <rFont val="Tahoma"/>
            <family val="2"/>
          </rPr>
          <t xml:space="preserve">
add limestone,clay,sand gravel florspar</t>
        </r>
      </text>
    </comment>
    <comment ref="BI1" authorId="1" shapeId="0" xr:uid="{00000000-0006-0000-0B00-000002000000}">
      <text>
        <r>
          <rPr>
            <b/>
            <sz val="8"/>
            <color indexed="81"/>
            <rFont val="Tahoma"/>
            <family val="2"/>
          </rPr>
          <t>COT:when pasting information from PSC worksheet: Edit, Go To, Special, Visible Cells only; then copy &amp; paste to workrecap.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Moore</author>
    <author>COT</author>
  </authors>
  <commentList>
    <comment ref="AI1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Nancy Moore:</t>
        </r>
        <r>
          <rPr>
            <sz val="8"/>
            <color indexed="81"/>
            <rFont val="Tahoma"/>
            <family val="2"/>
          </rPr>
          <t xml:space="preserve">
add limestone,clay,sand gravel florspar</t>
        </r>
      </text>
    </comment>
    <comment ref="BI1" authorId="1" shapeId="0" xr:uid="{00000000-0006-0000-0C00-000002000000}">
      <text>
        <r>
          <rPr>
            <b/>
            <sz val="8"/>
            <color indexed="81"/>
            <rFont val="Tahoma"/>
            <family val="2"/>
          </rPr>
          <t>COT:when pasting information from PSC worksheet: Edit, Go To, Special, Visible Cells only; then copy &amp; paste to workrecap.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Moore</author>
    <author>COT</author>
  </authors>
  <commentList>
    <comment ref="AI1" authorId="0" shapeId="0" xr:uid="{9134C477-23D2-4667-8192-E3CDD22BD509}">
      <text>
        <r>
          <rPr>
            <b/>
            <sz val="8"/>
            <color indexed="81"/>
            <rFont val="Tahoma"/>
            <family val="2"/>
          </rPr>
          <t>Nancy Moore:</t>
        </r>
        <r>
          <rPr>
            <sz val="8"/>
            <color indexed="81"/>
            <rFont val="Tahoma"/>
            <family val="2"/>
          </rPr>
          <t xml:space="preserve">
add limestone,clay,sand gravel florspar</t>
        </r>
      </text>
    </comment>
    <comment ref="BM1" authorId="1" shapeId="0" xr:uid="{F18D6205-21A8-4361-BAF5-F70EFC55CA6F}">
      <text>
        <r>
          <rPr>
            <b/>
            <sz val="8"/>
            <color indexed="81"/>
            <rFont val="Tahoma"/>
            <family val="2"/>
          </rPr>
          <t>COT:when pasting information from PSC worksheet: Edit, Go To, Special, Visible Cells only; then copy &amp; paste to workrecap.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Moore</author>
    <author>COT</author>
  </authors>
  <commentList>
    <comment ref="AI1" authorId="0" shapeId="0" xr:uid="{C8635813-A58A-4B76-8A4D-EBD98E610DE5}">
      <text>
        <r>
          <rPr>
            <b/>
            <sz val="8"/>
            <color indexed="81"/>
            <rFont val="Tahoma"/>
            <family val="2"/>
          </rPr>
          <t>Nancy Moore:</t>
        </r>
        <r>
          <rPr>
            <sz val="8"/>
            <color indexed="81"/>
            <rFont val="Tahoma"/>
            <family val="2"/>
          </rPr>
          <t xml:space="preserve">
add limestone,clay,sand gravel florspar</t>
        </r>
      </text>
    </comment>
    <comment ref="BE1" authorId="1" shapeId="0" xr:uid="{91C276D0-90DC-48A5-B90F-7CD02365A1C3}">
      <text>
        <r>
          <rPr>
            <b/>
            <sz val="8"/>
            <color indexed="81"/>
            <rFont val="Tahoma"/>
            <family val="2"/>
          </rPr>
          <t>COT:when pasting information from PSC worksheet: Edit, Go To, Special, Visible Cells only; then copy &amp; paste to workrecap.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Moore</author>
    <author>COT</author>
    <author>rev3569</author>
  </authors>
  <commentList>
    <comment ref="AI1" authorId="0" shapeId="0" xr:uid="{CC97B675-8E1D-45CD-B1A4-AD3F0A1C2134}">
      <text>
        <r>
          <rPr>
            <b/>
            <sz val="8"/>
            <color indexed="81"/>
            <rFont val="Tahoma"/>
            <family val="2"/>
          </rPr>
          <t>Nancy Moore:</t>
        </r>
        <r>
          <rPr>
            <sz val="8"/>
            <color indexed="81"/>
            <rFont val="Tahoma"/>
            <family val="2"/>
          </rPr>
          <t xml:space="preserve">
add limestone,clay,sand gravel florspar</t>
        </r>
      </text>
    </comment>
    <comment ref="BE1" authorId="1" shapeId="0" xr:uid="{3EF42327-53B3-4A77-8B1E-8BE4EAEE7D55}">
      <text>
        <r>
          <rPr>
            <b/>
            <sz val="8"/>
            <color indexed="81"/>
            <rFont val="Tahoma"/>
            <family val="2"/>
          </rPr>
          <t>COT:when pasting information from PSC worksheet: Edit, Go To, Special, Visible Cells only; then copy &amp; paste to workrecap.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E42" authorId="2" shapeId="0" xr:uid="{65ADA914-0414-435C-A81D-6D9FD501781D}">
      <text>
        <r>
          <rPr>
            <b/>
            <sz val="9"/>
            <color indexed="81"/>
            <rFont val="Tahoma"/>
            <family val="2"/>
          </rPr>
          <t>rev3569:</t>
        </r>
        <r>
          <rPr>
            <sz val="9"/>
            <color indexed="81"/>
            <rFont val="Tahoma"/>
            <family val="2"/>
          </rPr>
          <t xml:space="preserve">
LF value added. reference to new columns L&amp;M for amount
</t>
        </r>
      </text>
    </comment>
    <comment ref="BF42" authorId="2" shapeId="0" xr:uid="{BA3A576D-62B9-4998-BCCA-B96BC2C15A91}">
      <text>
        <r>
          <rPr>
            <b/>
            <sz val="9"/>
            <color indexed="81"/>
            <rFont val="Tahoma"/>
            <family val="2"/>
          </rPr>
          <t>rev3569:</t>
        </r>
        <r>
          <rPr>
            <sz val="9"/>
            <color indexed="81"/>
            <rFont val="Tahoma"/>
            <family val="2"/>
          </rPr>
          <t xml:space="preserve">
LF value added. reference to new columns L&amp;M for amount
</t>
        </r>
      </text>
    </comment>
    <comment ref="BG42" authorId="2" shapeId="0" xr:uid="{886DDF1B-5C85-4347-A45D-7361ACCEE1DD}">
      <text>
        <r>
          <rPr>
            <b/>
            <sz val="9"/>
            <color indexed="81"/>
            <rFont val="Tahoma"/>
            <family val="2"/>
          </rPr>
          <t>rev3569:</t>
        </r>
        <r>
          <rPr>
            <sz val="9"/>
            <color indexed="81"/>
            <rFont val="Tahoma"/>
            <family val="2"/>
          </rPr>
          <t xml:space="preserve">
LF value added. reference to new columns L&amp;M for amount
</t>
        </r>
      </text>
    </comment>
    <comment ref="BH42" authorId="2" shapeId="0" xr:uid="{2D7549F6-8A04-4809-A608-7F3656B34289}">
      <text>
        <r>
          <rPr>
            <b/>
            <sz val="9"/>
            <color indexed="81"/>
            <rFont val="Tahoma"/>
            <family val="2"/>
          </rPr>
          <t>rev3569:</t>
        </r>
        <r>
          <rPr>
            <sz val="9"/>
            <color indexed="81"/>
            <rFont val="Tahoma"/>
            <family val="2"/>
          </rPr>
          <t xml:space="preserve">
LF value added. reference to new columns L&amp;M for amount
</t>
        </r>
      </text>
    </comment>
  </commentList>
</comments>
</file>

<file path=xl/sharedStrings.xml><?xml version="1.0" encoding="utf-8"?>
<sst xmlns="http://schemas.openxmlformats.org/spreadsheetml/2006/main" count="3141" uniqueCount="362">
  <si>
    <t>RESIDENTIAL LOTS</t>
  </si>
  <si>
    <t>FARM-LAND &amp; OTHER IMPRV.</t>
  </si>
  <si>
    <t xml:space="preserve"> COMM., IND.&amp; LEASEHOLD INT.</t>
  </si>
  <si>
    <t>R E LEASE 1 1/2 CENT</t>
  </si>
  <si>
    <t>RESIDENTIAL    HEX</t>
  </si>
  <si>
    <t>RESIDENTIAL DISABILITY HEX</t>
  </si>
  <si>
    <t>FARM HEX</t>
  </si>
  <si>
    <t xml:space="preserve">    FARM   DISAB. HEX</t>
  </si>
  <si>
    <t>COMMERCIAL HEX</t>
  </si>
  <si>
    <t>COMMERCIAL DISAB. HEX</t>
  </si>
  <si>
    <t xml:space="preserve">  AMOUNT   DEFERRED</t>
  </si>
  <si>
    <t>FCV FARM RESIDENCES</t>
  </si>
  <si>
    <t>NO. HEX EXEMPTIONS</t>
  </si>
  <si>
    <t>NO. DIS. HEX EXEMPTIONS</t>
  </si>
  <si>
    <t>ACRES FIRE PROT.</t>
  </si>
  <si>
    <t>WATERSHED ACREAGE</t>
  </si>
  <si>
    <t>ASSESSED VALUE WATERSHED ACREAGE</t>
  </si>
  <si>
    <t>FARMLAND ACRES</t>
  </si>
  <si>
    <t>VALUE OIL RIGHTS</t>
  </si>
  <si>
    <t>MINERAL(GAS)RTS. &amp; UNDEVEL.</t>
  </si>
  <si>
    <t>2006  TOTAL UNMINED COAL</t>
  </si>
  <si>
    <t>MOTOR VEHICLES (MOTAX)</t>
  </si>
  <si>
    <t xml:space="preserve">  WATERCRAFT (BOATAX) </t>
  </si>
  <si>
    <t>ITEM 41 WATERCRAFT@1 1/2 CENTS</t>
  </si>
  <si>
    <t>ITEM 17&amp; 82  PROF TRADE TOOLS/ DRILL MINING CONST</t>
  </si>
  <si>
    <t>ITEM 60 OTHER TANG @ .45</t>
  </si>
  <si>
    <t>ITEM 27 &amp; 81 MANUFACTURING MACH.@15 CENTS</t>
  </si>
  <si>
    <t>ITEM 31, 32, &amp; 35 MER INV &amp; MANF FIN.GOODS@.05</t>
  </si>
  <si>
    <t>ITEM 33 &amp; 34 MFG INVENTORY @ .05</t>
  </si>
  <si>
    <t>ITEM 36        PROP. IN PUBLIC WAREHOUSE @1/10</t>
  </si>
  <si>
    <t>ITEM 50 &amp; 70        OTHER TP @ 1/10 CENT</t>
  </si>
  <si>
    <t xml:space="preserve">TOBACCO  (ITEM 37)             </t>
  </si>
  <si>
    <t>AG OTHER (ITEM 38)</t>
  </si>
  <si>
    <t>UNMFG.AG.PROD. AT MFG. PLANT (ITEM 39)</t>
  </si>
  <si>
    <t>ITEM 90 RECYCLING MACH &amp; EQUIP</t>
  </si>
  <si>
    <t>ITEM 40 AIRCRAFT  @ 1 1/2 CENT</t>
  </si>
  <si>
    <t xml:space="preserve">  STOCKS,BONDS &amp;   OTHER INTANG.</t>
  </si>
  <si>
    <t xml:space="preserve">  OTHER INTANG.  1 1/2 CENT RATE</t>
  </si>
  <si>
    <t>ANNUITIES @ 1/10 cent</t>
  </si>
  <si>
    <t>BROKERS' ACCT. @ .10</t>
  </si>
  <si>
    <t>APPOR VEH 100 %</t>
  </si>
  <si>
    <t>APPOR. VEH. EFFECTIVE</t>
  </si>
  <si>
    <t>NON-RESIDENT WATERCRAFT</t>
  </si>
  <si>
    <t>CARLINES  100%</t>
  </si>
  <si>
    <t>P.S. REAL ESTATE</t>
  </si>
  <si>
    <t>P.S. TANGIBLE PERSONALTY</t>
  </si>
  <si>
    <t>DISTILLED SPIRITS @.05</t>
  </si>
  <si>
    <t>ELECTRIC PLANT BOARD</t>
  </si>
  <si>
    <t>ENTERPRISE ZONE (Mer. Inv &amp; Mfg fin goods only)</t>
  </si>
  <si>
    <t>FULL VALUE PROPERTY SUBJECT TO LOCAL TAXES</t>
  </si>
  <si>
    <t>FULL VALUE PROP SUBJECT TO LOCAL TAXES (S O COLLECTIONS)</t>
  </si>
  <si>
    <t>PVA ASSESSED TELECOM</t>
  </si>
  <si>
    <t>RESIDENTIAL PARCELS</t>
  </si>
  <si>
    <t>FARM PARCELS</t>
  </si>
  <si>
    <t>COMMERCIAL PARCELS</t>
  </si>
  <si>
    <t>TOTAL PARCELS</t>
  </si>
  <si>
    <t>ADAIR</t>
  </si>
  <si>
    <t>ALLEN</t>
  </si>
  <si>
    <t>ANDERSON</t>
  </si>
  <si>
    <t>BALLARD</t>
  </si>
  <si>
    <t>BARREN</t>
  </si>
  <si>
    <t>BATH</t>
  </si>
  <si>
    <t>BELL</t>
  </si>
  <si>
    <t>BOONE</t>
  </si>
  <si>
    <t>BOURBON</t>
  </si>
  <si>
    <t>BOYD</t>
  </si>
  <si>
    <t>BOYLE</t>
  </si>
  <si>
    <t>BRACKEN</t>
  </si>
  <si>
    <t>BREATHITT</t>
  </si>
  <si>
    <t>BRECKINRIDGE</t>
  </si>
  <si>
    <t>BULLITT</t>
  </si>
  <si>
    <t>BUTLER</t>
  </si>
  <si>
    <t>CALDWELL</t>
  </si>
  <si>
    <t>CALLOWAY</t>
  </si>
  <si>
    <t>CAMPBELL</t>
  </si>
  <si>
    <t>CARLISLE</t>
  </si>
  <si>
    <t>CARROLL</t>
  </si>
  <si>
    <t>CARTER</t>
  </si>
  <si>
    <t>CASEY</t>
  </si>
  <si>
    <t>CHRISTIAN</t>
  </si>
  <si>
    <t>CLARK</t>
  </si>
  <si>
    <t>CLAY</t>
  </si>
  <si>
    <t>CLINTON</t>
  </si>
  <si>
    <t>CRITTENDEN</t>
  </si>
  <si>
    <t>CUMBERLAND</t>
  </si>
  <si>
    <t>DAVIESS</t>
  </si>
  <si>
    <t>EDMONSON</t>
  </si>
  <si>
    <t>ELLIOTT</t>
  </si>
  <si>
    <t>ESTILL</t>
  </si>
  <si>
    <t>FAYETTE</t>
  </si>
  <si>
    <t>FLEMING</t>
  </si>
  <si>
    <t>FLOYD</t>
  </si>
  <si>
    <t>FRANKLIN</t>
  </si>
  <si>
    <t>FULTON</t>
  </si>
  <si>
    <t>GALLATIN</t>
  </si>
  <si>
    <t>GARRARD</t>
  </si>
  <si>
    <t>GRANT</t>
  </si>
  <si>
    <t>GRAVES</t>
  </si>
  <si>
    <t>GRAYSON</t>
  </si>
  <si>
    <t>GREEN</t>
  </si>
  <si>
    <t>GREENUP</t>
  </si>
  <si>
    <t>HANCOCK</t>
  </si>
  <si>
    <t>HARDIN</t>
  </si>
  <si>
    <t>HARLAN</t>
  </si>
  <si>
    <t>HARRISON</t>
  </si>
  <si>
    <t>HART</t>
  </si>
  <si>
    <t>HENDERSON</t>
  </si>
  <si>
    <t>HENRY</t>
  </si>
  <si>
    <t>HICKMAN</t>
  </si>
  <si>
    <t>HOPKINS</t>
  </si>
  <si>
    <t>JACKSON</t>
  </si>
  <si>
    <t>JEFFERSON</t>
  </si>
  <si>
    <t>JESSAMINE</t>
  </si>
  <si>
    <t>JOHNSON</t>
  </si>
  <si>
    <t>KENTON</t>
  </si>
  <si>
    <t>KNOTT</t>
  </si>
  <si>
    <t>KNOX</t>
  </si>
  <si>
    <t>LARUE</t>
  </si>
  <si>
    <t>LAUREL</t>
  </si>
  <si>
    <t>LAWRENCE</t>
  </si>
  <si>
    <t>LEE</t>
  </si>
  <si>
    <t>LESLIE</t>
  </si>
  <si>
    <t>LETCHER</t>
  </si>
  <si>
    <t>LEWIS</t>
  </si>
  <si>
    <t>LINCOLN</t>
  </si>
  <si>
    <t>LIVINGSTON</t>
  </si>
  <si>
    <t>LOGAN</t>
  </si>
  <si>
    <t>LYON</t>
  </si>
  <si>
    <t>MCCRACKEN</t>
  </si>
  <si>
    <t>MCCREARY</t>
  </si>
  <si>
    <t>MCLEAN</t>
  </si>
  <si>
    <t>MADISON</t>
  </si>
  <si>
    <t>MAGOFFIN</t>
  </si>
  <si>
    <t>MARION</t>
  </si>
  <si>
    <t>MARSHALL</t>
  </si>
  <si>
    <t>MARTIN</t>
  </si>
  <si>
    <t>MASON</t>
  </si>
  <si>
    <t>MEADE</t>
  </si>
  <si>
    <t>MENIFEE</t>
  </si>
  <si>
    <t>MERCER</t>
  </si>
  <si>
    <t>METCALFE</t>
  </si>
  <si>
    <t>MONROE</t>
  </si>
  <si>
    <t>MONTGOMERY</t>
  </si>
  <si>
    <t>MORGAN</t>
  </si>
  <si>
    <t>MUHLENBERG</t>
  </si>
  <si>
    <t>NELSON</t>
  </si>
  <si>
    <t>NICHOLAS</t>
  </si>
  <si>
    <t>OHIO</t>
  </si>
  <si>
    <t>OLDHAM</t>
  </si>
  <si>
    <t>OWEN</t>
  </si>
  <si>
    <t>OWSLEY</t>
  </si>
  <si>
    <t>PENDLETON</t>
  </si>
  <si>
    <t>PERRY</t>
  </si>
  <si>
    <t>PIKE</t>
  </si>
  <si>
    <t>POWELL</t>
  </si>
  <si>
    <t>PULASKI</t>
  </si>
  <si>
    <t>ROBERTSON</t>
  </si>
  <si>
    <t>ROCKCASTLE</t>
  </si>
  <si>
    <t>ROWAN</t>
  </si>
  <si>
    <t>RUSSELL</t>
  </si>
  <si>
    <t>SCOTT</t>
  </si>
  <si>
    <t>SHELBY</t>
  </si>
  <si>
    <t>SIMPSON</t>
  </si>
  <si>
    <t>SPENCER</t>
  </si>
  <si>
    <t>TAYLOR</t>
  </si>
  <si>
    <t>TODD</t>
  </si>
  <si>
    <t>TRIGG</t>
  </si>
  <si>
    <t>TRIMBLE</t>
  </si>
  <si>
    <t>UNION</t>
  </si>
  <si>
    <t>WARREN</t>
  </si>
  <si>
    <t>WASHINGTON</t>
  </si>
  <si>
    <t>WAYNE</t>
  </si>
  <si>
    <t>WEBSTER</t>
  </si>
  <si>
    <t>WHITLEY</t>
  </si>
  <si>
    <t>WOLFE</t>
  </si>
  <si>
    <t>WOODFORD</t>
  </si>
  <si>
    <t>2007 COUNTY</t>
  </si>
  <si>
    <t>2007 RES ADD TAX</t>
  </si>
  <si>
    <t>2007 FARM ADD TAX</t>
  </si>
  <si>
    <t>2007 COMM ADD TAX</t>
  </si>
  <si>
    <t>2006 RES.DEL TAX</t>
  </si>
  <si>
    <t>2006 FARM DEL TAX</t>
  </si>
  <si>
    <t>2006 COMM.DEL. TAX</t>
  </si>
  <si>
    <t>2007 RES ADD FAIR CASH</t>
  </si>
  <si>
    <t>2007 FARM ADD FAIR CASH</t>
  </si>
  <si>
    <t>2007 COMM ADD FAIR CASH</t>
  </si>
  <si>
    <t>2006 RES DEL FAIR CASH</t>
  </si>
  <si>
    <t>2006 FARM DEL FAIR CASH</t>
  </si>
  <si>
    <t>2006 COMM DEL FAIR CASH</t>
  </si>
  <si>
    <t>2006 AMT. REAL EXONERATIONS</t>
  </si>
  <si>
    <t>2006 AMT. TANG. EXONERATIONS</t>
  </si>
  <si>
    <t>2007 TOTAL UNMINED C0AL</t>
  </si>
  <si>
    <t>CARLINES 2007 EFFECT</t>
  </si>
  <si>
    <t>PS REAL 2007 EFFECT</t>
  </si>
  <si>
    <t>PS TANGIBLE 2007 EFFECT</t>
  </si>
  <si>
    <t xml:space="preserve"> </t>
  </si>
  <si>
    <t>2008 COUNTY</t>
  </si>
  <si>
    <t>2008 RES ADD TAX</t>
  </si>
  <si>
    <t>2008 FARM ADD TAX</t>
  </si>
  <si>
    <t>2008 COMM ADD TAX</t>
  </si>
  <si>
    <t>2007 RES.DEL TAX</t>
  </si>
  <si>
    <t>2007 FARM DEL TAX</t>
  </si>
  <si>
    <t>2007 COMM.DEL. TAX</t>
  </si>
  <si>
    <t>2008 RES ADD FAIR CASH</t>
  </si>
  <si>
    <t>2008 FARM ADD FAIR CASH</t>
  </si>
  <si>
    <t>2008 COMM ADD FAIR CASH</t>
  </si>
  <si>
    <t>2007 RES DEL FAIR CASH</t>
  </si>
  <si>
    <t>2007 FARM DEL FAIR CASH</t>
  </si>
  <si>
    <t>2007 COMM DEL FAIR CASH</t>
  </si>
  <si>
    <t>2007 AMT. REAL EXONERATIONS</t>
  </si>
  <si>
    <t>2007 AMT. TANG. EXONERATIONS</t>
  </si>
  <si>
    <t>2008 TOTAL UNMINED C0AL</t>
  </si>
  <si>
    <t>CARLINES 2008 EFFECT</t>
  </si>
  <si>
    <t>PS REAL 2008 EFFECT</t>
  </si>
  <si>
    <t>PS TANGIBLE 2008 EFFECT</t>
  </si>
  <si>
    <t>2009 COUNTY</t>
  </si>
  <si>
    <t>2009 RES ADD TAX</t>
  </si>
  <si>
    <t>2009 FARM ADD TAX</t>
  </si>
  <si>
    <t>2009 COMM ADD TAX</t>
  </si>
  <si>
    <t>2008 RES.DEL TAX</t>
  </si>
  <si>
    <t>2008 FARM DEL TAX</t>
  </si>
  <si>
    <t>2008 COMM.DEL. TAX</t>
  </si>
  <si>
    <t>2009 RES ADD FAIR CASH</t>
  </si>
  <si>
    <t>2009 FARM ADD FAIR CASH</t>
  </si>
  <si>
    <t>2009 COMM ADD FAIR CASH</t>
  </si>
  <si>
    <t>2008 RES DEL FAIR CASH</t>
  </si>
  <si>
    <t>2008 FARM DEL FAIR CASH</t>
  </si>
  <si>
    <t>2008 COMM DEL FAIR CASH</t>
  </si>
  <si>
    <t>2008 AMT. REAL EXONERATIONS</t>
  </si>
  <si>
    <t>2008 AMT. TANG. EXONERATIONS</t>
  </si>
  <si>
    <t>2009 TOTAL UNMINED C0AL</t>
  </si>
  <si>
    <t>CARLINES 2009 EFFECT</t>
  </si>
  <si>
    <t>PS REAL 2009 EFFECT</t>
  </si>
  <si>
    <t>PS TANGIBLE 2009 EFFECT</t>
  </si>
  <si>
    <t>2014 COUNTY</t>
  </si>
  <si>
    <t>2011 COUNTY</t>
  </si>
  <si>
    <t>2011 RES ADD TAX</t>
  </si>
  <si>
    <t>2011 FARM ADD TAX</t>
  </si>
  <si>
    <t>2011 COMM ADD TAX</t>
  </si>
  <si>
    <t>2010 RES.DEL TAX</t>
  </si>
  <si>
    <t>2010 FARM DEL TAX</t>
  </si>
  <si>
    <t>2010 COMM.DEL. TAX</t>
  </si>
  <si>
    <t>2011 RES ADD FAIR CASH</t>
  </si>
  <si>
    <t>2011 FARM ADD FAIR CASH</t>
  </si>
  <si>
    <t>2011 COMM ADD FAIR CASH</t>
  </si>
  <si>
    <t>2010 RES DEL FAIR CASH</t>
  </si>
  <si>
    <t>2010 FARM DEL FAIR CASH</t>
  </si>
  <si>
    <t>2010 COMM DEL FAIR CASH</t>
  </si>
  <si>
    <t>2010 AMT. REAL EXONERATIONS</t>
  </si>
  <si>
    <t>2010 AMT. TANG. EXONERATIONS</t>
  </si>
  <si>
    <t>2011 TOTAL UNMINED C0AL</t>
  </si>
  <si>
    <t>CARLINES 2010 EFFECT</t>
  </si>
  <si>
    <t>PS REAL 2011 EFFECT</t>
  </si>
  <si>
    <t>PS TANGIBLE 2011 EFFECT</t>
  </si>
  <si>
    <t>2012 COUNTY</t>
  </si>
  <si>
    <t>2012 RES ADD TAX</t>
  </si>
  <si>
    <t>2012 FARM ADD TAX</t>
  </si>
  <si>
    <t>2012 COMM ADD TAX</t>
  </si>
  <si>
    <t>2011 RES.DEL TAX</t>
  </si>
  <si>
    <t>2011 FARM DEL TAX</t>
  </si>
  <si>
    <t>2011 COMM.DEL. TAX</t>
  </si>
  <si>
    <t>2012 RES ADD FAIR CASH</t>
  </si>
  <si>
    <t>2012 FARM ADD FAIR CASH</t>
  </si>
  <si>
    <t>2012 COMM ADD FAIR CASH</t>
  </si>
  <si>
    <t>2011 RES DEL FAIR CASH</t>
  </si>
  <si>
    <t>2011 FARM DEL FAIR CASH</t>
  </si>
  <si>
    <t>2011 COMM DEL FAIR CASH</t>
  </si>
  <si>
    <t>2011 AMT. REAL EXONERATIONS</t>
  </si>
  <si>
    <t>2011 AMT. TANG. EXONERATIONS</t>
  </si>
  <si>
    <t>2012 TOTAL UNMINED C0AL</t>
  </si>
  <si>
    <t>CARLINES 2012 EFFECT</t>
  </si>
  <si>
    <t>PS REAL 2012 EFFECT</t>
  </si>
  <si>
    <t>PS TANGIBLE 2012 EFFECT</t>
  </si>
  <si>
    <t>2013 COUNTY</t>
  </si>
  <si>
    <t>2013 RES ADD TAX</t>
  </si>
  <si>
    <t>2013 FARM ADD TAX</t>
  </si>
  <si>
    <t>2013 COMM ADD TAX</t>
  </si>
  <si>
    <t>2012 RES.DEL TAX</t>
  </si>
  <si>
    <t>2012 FARM DEL TAX</t>
  </si>
  <si>
    <t>2012 COMM.DEL. TAX</t>
  </si>
  <si>
    <t>2013 RES ADD FAIR CASH</t>
  </si>
  <si>
    <t>2013 FARM ADD FAIR CASH</t>
  </si>
  <si>
    <t>2013 COMM ADD FAIR CASH</t>
  </si>
  <si>
    <t>2012 RES DEL FAIR CASH</t>
  </si>
  <si>
    <t>2012 FARM DEL FAIR CASH</t>
  </si>
  <si>
    <t>2012 COMM DEL FAIR CASH</t>
  </si>
  <si>
    <t>2012 AMT. REAL EXONERATIONS</t>
  </si>
  <si>
    <t>2012 AMT. TANG. EXONERATIONS</t>
  </si>
  <si>
    <t>2013 TOTAL UNMINED C0AL</t>
  </si>
  <si>
    <t>CARLINES 2013 EFFECT</t>
  </si>
  <si>
    <t>PS REAL 2013 EFFECT</t>
  </si>
  <si>
    <t>PS TANGIBLE 2013 EFFECT</t>
  </si>
  <si>
    <t>2014 RES ADD TAX</t>
  </si>
  <si>
    <t>2014 FARM ADD TAX</t>
  </si>
  <si>
    <t>2014 COMM ADD TAX</t>
  </si>
  <si>
    <t>2013 RES.DEL TAX</t>
  </si>
  <si>
    <t>2013 FARM DEL TAX</t>
  </si>
  <si>
    <t>2013 COMM.DEL. TAX</t>
  </si>
  <si>
    <t>2014 RES ADD FAIR CASH</t>
  </si>
  <si>
    <t>2014 FARM ADD FAIR CASH</t>
  </si>
  <si>
    <t>2014 COMM ADD FAIR CASH</t>
  </si>
  <si>
    <t>2013 RES DEL FAIR CASH</t>
  </si>
  <si>
    <t>2013 FARM DEL FAIR CASH</t>
  </si>
  <si>
    <t>2013 COMM DEL FAIR CASH</t>
  </si>
  <si>
    <t>2013 AMT. REAL EXONERATIONS</t>
  </si>
  <si>
    <t>2013 AMT. TANG. EXONERATIONS</t>
  </si>
  <si>
    <t>2014 TOTAL UNMINED C0AL</t>
  </si>
  <si>
    <t>CARLINES 2014 EFFECT</t>
  </si>
  <si>
    <t>PS REAL 2014 EFFECT</t>
  </si>
  <si>
    <t>PS TANGIBLE 2014 EFFECT</t>
  </si>
  <si>
    <t>2015 COUNTY</t>
  </si>
  <si>
    <t>2015 RES ADD TAX</t>
  </si>
  <si>
    <t>2015 FARM ADD TAX</t>
  </si>
  <si>
    <t>2015 COMM ADD TAX</t>
  </si>
  <si>
    <t>2014 RES.DEL TAX</t>
  </si>
  <si>
    <t>2014 FARM DEL TAX</t>
  </si>
  <si>
    <t>2014 COMM.DEL. TAX</t>
  </si>
  <si>
    <t>2015 RES ADD FAIR CASH</t>
  </si>
  <si>
    <t>2015 FARM ADD FAIR CASH</t>
  </si>
  <si>
    <t>2015 COMM ADD FAIR CASH</t>
  </si>
  <si>
    <t>2014 RES DEL FAIR CASH</t>
  </si>
  <si>
    <t>2014 FARM DEL FAIR CASH</t>
  </si>
  <si>
    <t>2014 COMM DEL FAIR CASH</t>
  </si>
  <si>
    <t>2014 AMT. REAL EXONERATIONS</t>
  </si>
  <si>
    <t>2014 AMT. TANG. EXONERATIONS</t>
  </si>
  <si>
    <t>2015 TOTAL UNMINED C0AL</t>
  </si>
  <si>
    <t>Real</t>
  </si>
  <si>
    <t>Motor Vehicles</t>
  </si>
  <si>
    <t>Boats</t>
  </si>
  <si>
    <t>Tangible</t>
  </si>
  <si>
    <t>Totals</t>
  </si>
  <si>
    <t>.</t>
  </si>
  <si>
    <t>TOTALS</t>
  </si>
  <si>
    <t>CARLINES 2017 EFFECT</t>
  </si>
  <si>
    <t>PS REAL 2017 EFFECT</t>
  </si>
  <si>
    <t>PS TANGIBLE 2017 EFFECT</t>
  </si>
  <si>
    <t>CARLINES 2018 EFFECT</t>
  </si>
  <si>
    <t>PS REAL 2018 EFFECT</t>
  </si>
  <si>
    <t>PS TANGIBLE 2018 EFFECT</t>
  </si>
  <si>
    <t>CARLINES 2020 EFFECT</t>
  </si>
  <si>
    <t>PS REAL 2020 EFFECT</t>
  </si>
  <si>
    <t>PS TANGIBLE 2020 EFFECT</t>
  </si>
  <si>
    <t>CARLINES 2021 EFFECT</t>
  </si>
  <si>
    <t>PS REAL 2021 EFFECT</t>
  </si>
  <si>
    <t>PS TANGIBLE 2021 EFFECT</t>
  </si>
  <si>
    <t>146.256.9118</t>
  </si>
  <si>
    <t>2022 COUNTY</t>
  </si>
  <si>
    <t>2022 RES ADD TAX</t>
  </si>
  <si>
    <t>2022 FARM ADD TAX</t>
  </si>
  <si>
    <t>2022 COMM ADD TAX</t>
  </si>
  <si>
    <t>2021 RES.DEL TAX</t>
  </si>
  <si>
    <t>2021 FARM DEL TAX</t>
  </si>
  <si>
    <t>2021 COMM.DEL. TAX</t>
  </si>
  <si>
    <t>2022 RES ADD FAIR CASH</t>
  </si>
  <si>
    <t>2022 FARM ADD FAIR CASH</t>
  </si>
  <si>
    <t>2022 COMM ADD FAIR CASH</t>
  </si>
  <si>
    <t>2021 RES DEL FAIR CASH</t>
  </si>
  <si>
    <t>2021 FARM DEL FAIR CASH</t>
  </si>
  <si>
    <t>2021 COMM DEL FAIR CASH</t>
  </si>
  <si>
    <t>2021 AMT. REAL EXONERATIONS</t>
  </si>
  <si>
    <t>2021 AMT. TANG. EXONERATIONS</t>
  </si>
  <si>
    <t>2022 TOTAL UNMINED C0AL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</si>
</sst>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#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name val="Arial"/>
      <family val="2"/>
    </font>
    <font>
      <sz val="10"/>
      <name val="Arial"/>
    </font>
    <font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8">
    <xf numFmtId="0" fontId="0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/>
    <xf numFmtId="0" fontId="6" fillId="0" borderId="0"/>
    <xf numFmtId="43" fontId="1" fillId="0" borderId="0" applyFont="0" applyFill="0" applyBorder="0" applyAlignment="0" applyProtection="0"/>
    <xf numFmtId="0" fontId="10" fillId="0" borderId="0"/>
  </cellStyleXfs>
  <cellXfs count="197">
    <xf numFmtId="0" fontId="0" fillId="0" borderId="0" xfId="0"/>
    <xf numFmtId="37" fontId="2" fillId="0" borderId="0" xfId="10" applyNumberFormat="1"/>
    <xf numFmtId="0" fontId="3" fillId="0" borderId="0" xfId="10" applyFont="1" applyAlignment="1">
      <alignment horizontal="center" wrapText="1"/>
    </xf>
    <xf numFmtId="0" fontId="2" fillId="0" borderId="0" xfId="10"/>
    <xf numFmtId="164" fontId="3" fillId="0" borderId="0" xfId="2" applyNumberFormat="1" applyFont="1" applyFill="1"/>
    <xf numFmtId="164" fontId="2" fillId="0" borderId="0" xfId="10" applyNumberFormat="1"/>
    <xf numFmtId="37" fontId="3" fillId="0" borderId="4" xfId="10" applyNumberFormat="1" applyFont="1" applyBorder="1"/>
    <xf numFmtId="0" fontId="3" fillId="0" borderId="2" xfId="10" applyFont="1" applyBorder="1" applyAlignment="1">
      <alignment wrapText="1"/>
    </xf>
    <xf numFmtId="37" fontId="3" fillId="0" borderId="3" xfId="10" applyNumberFormat="1" applyFont="1" applyBorder="1"/>
    <xf numFmtId="37" fontId="3" fillId="0" borderId="5" xfId="10" applyNumberFormat="1" applyFont="1" applyBorder="1"/>
    <xf numFmtId="164" fontId="2" fillId="0" borderId="0" xfId="12" applyNumberFormat="1" applyFont="1"/>
    <xf numFmtId="164" fontId="2" fillId="0" borderId="1" xfId="12" applyNumberFormat="1" applyFont="1" applyBorder="1"/>
    <xf numFmtId="164" fontId="3" fillId="0" borderId="2" xfId="12" applyNumberFormat="1" applyFont="1" applyBorder="1" applyAlignment="1">
      <alignment horizontal="center" wrapText="1"/>
    </xf>
    <xf numFmtId="164" fontId="3" fillId="0" borderId="0" xfId="12" applyNumberFormat="1" applyFont="1"/>
    <xf numFmtId="0" fontId="3" fillId="0" borderId="0" xfId="10" applyFont="1"/>
    <xf numFmtId="3" fontId="2" fillId="0" borderId="0" xfId="10" applyNumberFormat="1"/>
    <xf numFmtId="0" fontId="2" fillId="0" borderId="1" xfId="10" applyBorder="1"/>
    <xf numFmtId="0" fontId="3" fillId="0" borderId="2" xfId="10" applyFont="1" applyBorder="1" applyAlignment="1">
      <alignment horizontal="center" wrapText="1"/>
    </xf>
    <xf numFmtId="164" fontId="3" fillId="0" borderId="2" xfId="12" applyNumberFormat="1" applyFont="1" applyBorder="1" applyAlignment="1">
      <alignment wrapText="1"/>
    </xf>
    <xf numFmtId="164" fontId="2" fillId="0" borderId="0" xfId="12" applyNumberFormat="1" applyFont="1" applyProtection="1"/>
    <xf numFmtId="165" fontId="2" fillId="0" borderId="0" xfId="10" applyNumberFormat="1"/>
    <xf numFmtId="37" fontId="2" fillId="0" borderId="1" xfId="10" applyNumberFormat="1" applyBorder="1"/>
    <xf numFmtId="164" fontId="2" fillId="0" borderId="1" xfId="12" applyNumberFormat="1" applyFont="1" applyBorder="1" applyProtection="1"/>
    <xf numFmtId="3" fontId="2" fillId="0" borderId="1" xfId="10" applyNumberFormat="1" applyBorder="1"/>
    <xf numFmtId="165" fontId="2" fillId="0" borderId="1" xfId="10" applyNumberFormat="1" applyBorder="1"/>
    <xf numFmtId="164" fontId="2" fillId="0" borderId="1" xfId="10" applyNumberFormat="1" applyBorder="1"/>
    <xf numFmtId="37" fontId="2" fillId="0" borderId="0" xfId="10" quotePrefix="1" applyNumberFormat="1"/>
    <xf numFmtId="0" fontId="4" fillId="0" borderId="0" xfId="10" applyFont="1"/>
    <xf numFmtId="164" fontId="3" fillId="0" borderId="0" xfId="12" applyNumberFormat="1" applyFont="1" applyProtection="1"/>
    <xf numFmtId="37" fontId="3" fillId="0" borderId="0" xfId="10" applyNumberFormat="1" applyFont="1"/>
    <xf numFmtId="164" fontId="3" fillId="0" borderId="0" xfId="10" applyNumberFormat="1" applyFont="1"/>
    <xf numFmtId="4" fontId="2" fillId="0" borderId="0" xfId="12" applyNumberFormat="1" applyFont="1"/>
    <xf numFmtId="3" fontId="2" fillId="0" borderId="0" xfId="12" applyNumberFormat="1" applyFont="1"/>
    <xf numFmtId="164" fontId="2" fillId="0" borderId="0" xfId="12" applyNumberFormat="1" applyFont="1" applyFill="1" applyBorder="1"/>
    <xf numFmtId="3" fontId="2" fillId="0" borderId="0" xfId="12" applyNumberFormat="1" applyFont="1" applyFill="1" applyBorder="1"/>
    <xf numFmtId="3" fontId="2" fillId="0" borderId="0" xfId="12" applyNumberFormat="1" applyFont="1" applyBorder="1"/>
    <xf numFmtId="164" fontId="2" fillId="0" borderId="0" xfId="12" applyNumberFormat="1" applyFont="1" applyBorder="1"/>
    <xf numFmtId="37" fontId="2" fillId="0" borderId="2" xfId="10" applyNumberFormat="1" applyBorder="1"/>
    <xf numFmtId="164" fontId="3" fillId="0" borderId="2" xfId="2" applyNumberFormat="1" applyFont="1" applyBorder="1" applyAlignment="1">
      <alignment horizontal="center" wrapText="1"/>
    </xf>
    <xf numFmtId="164" fontId="3" fillId="0" borderId="2" xfId="2" applyNumberFormat="1" applyFont="1" applyBorder="1" applyAlignment="1">
      <alignment wrapText="1"/>
    </xf>
    <xf numFmtId="164" fontId="2" fillId="0" borderId="0" xfId="2" applyNumberFormat="1" applyFont="1"/>
    <xf numFmtId="4" fontId="2" fillId="0" borderId="0" xfId="2" applyNumberFormat="1" applyFont="1"/>
    <xf numFmtId="37" fontId="2" fillId="0" borderId="0" xfId="2" applyNumberFormat="1" applyFont="1"/>
    <xf numFmtId="37" fontId="2" fillId="0" borderId="0" xfId="2" applyNumberFormat="1" applyFont="1" applyProtection="1"/>
    <xf numFmtId="164" fontId="2" fillId="0" borderId="0" xfId="2" applyNumberFormat="1" applyFont="1" applyProtection="1"/>
    <xf numFmtId="165" fontId="2" fillId="0" borderId="0" xfId="2" applyNumberFormat="1" applyFont="1" applyProtection="1"/>
    <xf numFmtId="3" fontId="2" fillId="0" borderId="0" xfId="2" applyNumberFormat="1" applyFont="1"/>
    <xf numFmtId="3" fontId="2" fillId="0" borderId="0" xfId="2" applyNumberFormat="1" applyFont="1" applyProtection="1"/>
    <xf numFmtId="164" fontId="2" fillId="0" borderId="1" xfId="2" applyNumberFormat="1" applyFont="1" applyBorder="1"/>
    <xf numFmtId="37" fontId="2" fillId="0" borderId="1" xfId="2" applyNumberFormat="1" applyFont="1" applyBorder="1"/>
    <xf numFmtId="37" fontId="2" fillId="0" borderId="1" xfId="2" applyNumberFormat="1" applyFont="1" applyBorder="1" applyProtection="1"/>
    <xf numFmtId="164" fontId="2" fillId="0" borderId="1" xfId="2" applyNumberFormat="1" applyFont="1" applyBorder="1" applyProtection="1"/>
    <xf numFmtId="164" fontId="3" fillId="0" borderId="0" xfId="2" applyNumberFormat="1" applyFont="1"/>
    <xf numFmtId="164" fontId="3" fillId="0" borderId="0" xfId="2" applyNumberFormat="1" applyFont="1" applyProtection="1"/>
    <xf numFmtId="164" fontId="2" fillId="0" borderId="0" xfId="2" applyNumberFormat="1" applyFont="1" applyFill="1" applyBorder="1"/>
    <xf numFmtId="3" fontId="2" fillId="0" borderId="0" xfId="2" applyNumberFormat="1" applyFont="1" applyFill="1" applyBorder="1"/>
    <xf numFmtId="164" fontId="2" fillId="0" borderId="0" xfId="2" applyNumberFormat="1" applyFont="1" applyFill="1"/>
    <xf numFmtId="3" fontId="2" fillId="0" borderId="0" xfId="2" applyNumberFormat="1" applyFont="1" applyBorder="1"/>
    <xf numFmtId="164" fontId="2" fillId="0" borderId="0" xfId="2" applyNumberFormat="1" applyFont="1" applyBorder="1"/>
    <xf numFmtId="164" fontId="2" fillId="2" borderId="0" xfId="2" applyNumberFormat="1" applyFont="1" applyFill="1"/>
    <xf numFmtId="3" fontId="3" fillId="0" borderId="2" xfId="2" applyNumberFormat="1" applyFont="1" applyBorder="1" applyAlignment="1">
      <alignment horizontal="center" wrapText="1"/>
    </xf>
    <xf numFmtId="3" fontId="2" fillId="0" borderId="1" xfId="2" applyNumberFormat="1" applyFont="1" applyBorder="1"/>
    <xf numFmtId="164" fontId="3" fillId="0" borderId="2" xfId="2" applyNumberFormat="1" applyFont="1" applyFill="1" applyBorder="1" applyAlignment="1">
      <alignment horizontal="center" wrapText="1"/>
    </xf>
    <xf numFmtId="164" fontId="2" fillId="0" borderId="0" xfId="2" applyNumberFormat="1" applyFont="1" applyFill="1" applyProtection="1"/>
    <xf numFmtId="3" fontId="2" fillId="0" borderId="0" xfId="2" applyNumberFormat="1" applyFont="1" applyFill="1"/>
    <xf numFmtId="41" fontId="2" fillId="0" borderId="0" xfId="2" applyNumberFormat="1" applyFont="1" applyFill="1"/>
    <xf numFmtId="164" fontId="2" fillId="0" borderId="1" xfId="2" applyNumberFormat="1" applyFont="1" applyFill="1" applyBorder="1"/>
    <xf numFmtId="164" fontId="2" fillId="0" borderId="1" xfId="2" applyNumberFormat="1" applyFont="1" applyFill="1" applyBorder="1" applyProtection="1"/>
    <xf numFmtId="0" fontId="2" fillId="0" borderId="6" xfId="10" applyBorder="1"/>
    <xf numFmtId="37" fontId="5" fillId="0" borderId="0" xfId="10" applyNumberFormat="1" applyFont="1" applyAlignment="1">
      <alignment vertical="center"/>
    </xf>
    <xf numFmtId="0" fontId="2" fillId="0" borderId="7" xfId="10" applyBorder="1"/>
    <xf numFmtId="37" fontId="2" fillId="0" borderId="7" xfId="9" applyNumberFormat="1" applyFont="1" applyBorder="1"/>
    <xf numFmtId="3" fontId="2" fillId="0" borderId="7" xfId="10" applyNumberFormat="1" applyBorder="1"/>
    <xf numFmtId="37" fontId="3" fillId="0" borderId="1" xfId="10" applyNumberFormat="1" applyFont="1" applyBorder="1"/>
    <xf numFmtId="3" fontId="3" fillId="0" borderId="0" xfId="2" applyNumberFormat="1" applyFont="1"/>
    <xf numFmtId="0" fontId="3" fillId="0" borderId="2" xfId="1" applyFont="1" applyBorder="1" applyAlignment="1">
      <alignment wrapText="1"/>
    </xf>
    <xf numFmtId="0" fontId="3" fillId="0" borderId="2" xfId="1" applyFont="1" applyBorder="1" applyAlignment="1">
      <alignment horizontal="center" wrapText="1"/>
    </xf>
    <xf numFmtId="0" fontId="3" fillId="3" borderId="2" xfId="1" applyFont="1" applyFill="1" applyBorder="1" applyAlignment="1">
      <alignment horizontal="center" wrapText="1"/>
    </xf>
    <xf numFmtId="0" fontId="3" fillId="3" borderId="0" xfId="1" applyFont="1" applyFill="1" applyAlignment="1">
      <alignment horizontal="center" wrapText="1"/>
    </xf>
    <xf numFmtId="37" fontId="3" fillId="0" borderId="3" xfId="1" applyNumberFormat="1" applyFont="1" applyBorder="1"/>
    <xf numFmtId="164" fontId="1" fillId="0" borderId="0" xfId="2" applyNumberFormat="1" applyFont="1" applyFill="1"/>
    <xf numFmtId="42" fontId="1" fillId="0" borderId="0" xfId="2" applyNumberFormat="1" applyFont="1"/>
    <xf numFmtId="37" fontId="1" fillId="0" borderId="0" xfId="1" applyNumberFormat="1"/>
    <xf numFmtId="37" fontId="2" fillId="0" borderId="0" xfId="1" applyNumberFormat="1" applyFont="1"/>
    <xf numFmtId="37" fontId="3" fillId="0" borderId="0" xfId="1" applyNumberFormat="1" applyFont="1" applyAlignment="1">
      <alignment vertical="center"/>
    </xf>
    <xf numFmtId="164" fontId="1" fillId="0" borderId="0" xfId="2" applyNumberFormat="1" applyFont="1" applyFill="1" applyProtection="1"/>
    <xf numFmtId="164" fontId="1" fillId="0" borderId="0" xfId="1" applyNumberFormat="1"/>
    <xf numFmtId="3" fontId="1" fillId="0" borderId="0" xfId="1" applyNumberFormat="1"/>
    <xf numFmtId="0" fontId="1" fillId="0" borderId="0" xfId="1"/>
    <xf numFmtId="164" fontId="1" fillId="3" borderId="0" xfId="1" applyNumberFormat="1" applyFill="1"/>
    <xf numFmtId="37" fontId="1" fillId="3" borderId="0" xfId="1" applyNumberFormat="1" applyFill="1"/>
    <xf numFmtId="37" fontId="3" fillId="0" borderId="4" xfId="1" applyNumberFormat="1" applyFont="1" applyBorder="1"/>
    <xf numFmtId="164" fontId="1" fillId="0" borderId="0" xfId="2" applyNumberFormat="1" applyFont="1" applyBorder="1"/>
    <xf numFmtId="164" fontId="1" fillId="0" borderId="0" xfId="2" applyNumberFormat="1" applyFont="1" applyFill="1" applyBorder="1"/>
    <xf numFmtId="164" fontId="1" fillId="0" borderId="0" xfId="2" applyNumberFormat="1" applyFont="1"/>
    <xf numFmtId="164" fontId="1" fillId="0" borderId="0" xfId="2" applyNumberFormat="1" applyFont="1" applyProtection="1"/>
    <xf numFmtId="164" fontId="2" fillId="0" borderId="0" xfId="1" applyNumberFormat="1" applyFont="1"/>
    <xf numFmtId="3" fontId="2" fillId="0" borderId="0" xfId="1" applyNumberFormat="1" applyFont="1"/>
    <xf numFmtId="0" fontId="2" fillId="0" borderId="0" xfId="1" applyFont="1"/>
    <xf numFmtId="37" fontId="3" fillId="0" borderId="5" xfId="1" applyNumberFormat="1" applyFont="1" applyBorder="1"/>
    <xf numFmtId="164" fontId="1" fillId="0" borderId="1" xfId="2" applyNumberFormat="1" applyFont="1" applyFill="1" applyBorder="1"/>
    <xf numFmtId="37" fontId="1" fillId="0" borderId="1" xfId="1" applyNumberFormat="1" applyBorder="1"/>
    <xf numFmtId="37" fontId="2" fillId="0" borderId="1" xfId="1" applyNumberFormat="1" applyFont="1" applyBorder="1"/>
    <xf numFmtId="37" fontId="3" fillId="0" borderId="7" xfId="1" applyNumberFormat="1" applyFont="1" applyBorder="1" applyAlignment="1">
      <alignment vertical="center"/>
    </xf>
    <xf numFmtId="37" fontId="3" fillId="0" borderId="1" xfId="1" applyNumberFormat="1" applyFont="1" applyBorder="1"/>
    <xf numFmtId="164" fontId="1" fillId="0" borderId="1" xfId="2" applyNumberFormat="1" applyFont="1" applyFill="1" applyBorder="1" applyProtection="1"/>
    <xf numFmtId="164" fontId="1" fillId="0" borderId="1" xfId="1" applyNumberFormat="1" applyBorder="1"/>
    <xf numFmtId="3" fontId="1" fillId="0" borderId="1" xfId="1" applyNumberFormat="1" applyBorder="1"/>
    <xf numFmtId="0" fontId="1" fillId="0" borderId="1" xfId="1" applyBorder="1"/>
    <xf numFmtId="37" fontId="1" fillId="0" borderId="0" xfId="1" quotePrefix="1" applyNumberFormat="1"/>
    <xf numFmtId="0" fontId="4" fillId="0" borderId="0" xfId="1" applyFont="1"/>
    <xf numFmtId="37" fontId="3" fillId="0" borderId="0" xfId="1" applyNumberFormat="1" applyFont="1"/>
    <xf numFmtId="164" fontId="3" fillId="0" borderId="0" xfId="1" applyNumberFormat="1" applyFont="1"/>
    <xf numFmtId="0" fontId="3" fillId="0" borderId="0" xfId="1" applyFont="1"/>
    <xf numFmtId="164" fontId="0" fillId="0" borderId="0" xfId="2" applyNumberFormat="1" applyFont="1" applyFill="1"/>
    <xf numFmtId="0" fontId="3" fillId="0" borderId="0" xfId="1" applyFont="1" applyAlignment="1">
      <alignment wrapText="1"/>
    </xf>
    <xf numFmtId="42" fontId="0" fillId="0" borderId="0" xfId="2" applyNumberFormat="1" applyFont="1"/>
    <xf numFmtId="37" fontId="3" fillId="0" borderId="0" xfId="15" applyNumberFormat="1" applyFont="1" applyAlignment="1">
      <alignment vertical="center"/>
    </xf>
    <xf numFmtId="3" fontId="6" fillId="0" borderId="0" xfId="15" applyNumberFormat="1"/>
    <xf numFmtId="164" fontId="0" fillId="0" borderId="0" xfId="2" applyNumberFormat="1" applyFont="1" applyFill="1" applyProtection="1"/>
    <xf numFmtId="164" fontId="0" fillId="0" borderId="0" xfId="2" applyNumberFormat="1" applyFont="1" applyBorder="1"/>
    <xf numFmtId="164" fontId="0" fillId="0" borderId="0" xfId="2" applyNumberFormat="1" applyFont="1" applyFill="1" applyBorder="1"/>
    <xf numFmtId="164" fontId="0" fillId="0" borderId="0" xfId="2" applyNumberFormat="1" applyFont="1"/>
    <xf numFmtId="164" fontId="0" fillId="0" borderId="0" xfId="2" applyNumberFormat="1" applyFont="1" applyProtection="1"/>
    <xf numFmtId="164" fontId="0" fillId="0" borderId="1" xfId="2" applyNumberFormat="1" applyFont="1" applyFill="1" applyBorder="1"/>
    <xf numFmtId="37" fontId="3" fillId="0" borderId="1" xfId="15" applyNumberFormat="1" applyFont="1" applyBorder="1" applyAlignment="1">
      <alignment vertical="center"/>
    </xf>
    <xf numFmtId="3" fontId="6" fillId="0" borderId="1" xfId="15" applyNumberFormat="1" applyBorder="1"/>
    <xf numFmtId="37" fontId="3" fillId="0" borderId="8" xfId="15" applyNumberFormat="1" applyFont="1" applyBorder="1" applyAlignment="1">
      <alignment vertical="center"/>
    </xf>
    <xf numFmtId="164" fontId="0" fillId="0" borderId="1" xfId="2" applyNumberFormat="1" applyFont="1" applyFill="1" applyBorder="1" applyProtection="1"/>
    <xf numFmtId="0" fontId="3" fillId="0" borderId="4" xfId="1" applyFont="1" applyBorder="1"/>
    <xf numFmtId="0" fontId="1" fillId="3" borderId="0" xfId="1" applyFill="1"/>
    <xf numFmtId="39" fontId="1" fillId="0" borderId="0" xfId="1" applyNumberFormat="1"/>
    <xf numFmtId="164" fontId="3" fillId="0" borderId="2" xfId="2" applyNumberFormat="1" applyFont="1" applyFill="1" applyBorder="1" applyAlignment="1">
      <alignment wrapText="1"/>
    </xf>
    <xf numFmtId="0" fontId="3" fillId="0" borderId="0" xfId="1" applyFont="1" applyAlignment="1">
      <alignment horizontal="center" wrapText="1"/>
    </xf>
    <xf numFmtId="164" fontId="3" fillId="0" borderId="0" xfId="2" applyNumberFormat="1" applyFont="1" applyFill="1" applyProtection="1"/>
    <xf numFmtId="164" fontId="0" fillId="0" borderId="0" xfId="16" applyNumberFormat="1" applyFont="1" applyFill="1"/>
    <xf numFmtId="164" fontId="3" fillId="0" borderId="2" xfId="16" applyNumberFormat="1" applyFont="1" applyFill="1" applyBorder="1" applyAlignment="1">
      <alignment horizontal="center" wrapText="1"/>
    </xf>
    <xf numFmtId="164" fontId="3" fillId="0" borderId="2" xfId="16" applyNumberFormat="1" applyFont="1" applyFill="1" applyBorder="1" applyAlignment="1">
      <alignment wrapText="1"/>
    </xf>
    <xf numFmtId="164" fontId="0" fillId="0" borderId="0" xfId="16" applyNumberFormat="1" applyFont="1" applyFill="1" applyProtection="1"/>
    <xf numFmtId="164" fontId="0" fillId="0" borderId="0" xfId="16" applyNumberFormat="1" applyFont="1" applyFill="1" applyBorder="1"/>
    <xf numFmtId="164" fontId="1" fillId="0" borderId="0" xfId="16" applyNumberFormat="1" applyFont="1" applyFill="1"/>
    <xf numFmtId="164" fontId="1" fillId="0" borderId="0" xfId="16" applyNumberFormat="1" applyFont="1" applyFill="1" applyProtection="1"/>
    <xf numFmtId="164" fontId="0" fillId="0" borderId="1" xfId="16" applyNumberFormat="1" applyFont="1" applyFill="1" applyBorder="1"/>
    <xf numFmtId="164" fontId="0" fillId="0" borderId="1" xfId="16" applyNumberFormat="1" applyFont="1" applyFill="1" applyBorder="1" applyProtection="1"/>
    <xf numFmtId="164" fontId="3" fillId="0" borderId="0" xfId="16" applyNumberFormat="1" applyFont="1" applyFill="1"/>
    <xf numFmtId="164" fontId="3" fillId="0" borderId="0" xfId="16" applyNumberFormat="1" applyFont="1" applyFill="1" applyProtection="1"/>
    <xf numFmtId="164" fontId="0" fillId="0" borderId="0" xfId="16" applyNumberFormat="1" applyFont="1" applyFill="1" applyAlignment="1"/>
    <xf numFmtId="0" fontId="9" fillId="0" borderId="9" xfId="1" applyFont="1" applyBorder="1" applyAlignment="1">
      <alignment horizontal="center" wrapText="1"/>
    </xf>
    <xf numFmtId="0" fontId="9" fillId="0" borderId="2" xfId="1" applyFont="1" applyBorder="1" applyAlignment="1">
      <alignment horizontal="center" wrapText="1"/>
    </xf>
    <xf numFmtId="37" fontId="3" fillId="0" borderId="4" xfId="0" applyNumberFormat="1" applyFont="1" applyBorder="1"/>
    <xf numFmtId="164" fontId="0" fillId="0" borderId="0" xfId="0" applyNumberFormat="1"/>
    <xf numFmtId="37" fontId="3" fillId="0" borderId="5" xfId="0" applyNumberFormat="1" applyFont="1" applyBorder="1"/>
    <xf numFmtId="0" fontId="3" fillId="0" borderId="2" xfId="17" applyFont="1" applyBorder="1" applyAlignment="1">
      <alignment wrapText="1"/>
    </xf>
    <xf numFmtId="164" fontId="3" fillId="0" borderId="2" xfId="16" applyNumberFormat="1" applyFont="1" applyBorder="1" applyAlignment="1">
      <alignment horizontal="center" wrapText="1"/>
    </xf>
    <xf numFmtId="164" fontId="3" fillId="0" borderId="2" xfId="16" applyNumberFormat="1" applyFont="1" applyBorder="1" applyAlignment="1">
      <alignment wrapText="1"/>
    </xf>
    <xf numFmtId="0" fontId="3" fillId="0" borderId="2" xfId="17" applyFont="1" applyBorder="1" applyAlignment="1">
      <alignment horizontal="center" wrapText="1"/>
    </xf>
    <xf numFmtId="0" fontId="3" fillId="3" borderId="2" xfId="17" applyFont="1" applyFill="1" applyBorder="1" applyAlignment="1">
      <alignment horizontal="center" wrapText="1"/>
    </xf>
    <xf numFmtId="0" fontId="3" fillId="3" borderId="0" xfId="17" applyFont="1" applyFill="1" applyAlignment="1">
      <alignment horizontal="center" wrapText="1"/>
    </xf>
    <xf numFmtId="0" fontId="3" fillId="0" borderId="0" xfId="17" applyFont="1" applyAlignment="1">
      <alignment wrapText="1"/>
    </xf>
    <xf numFmtId="37" fontId="3" fillId="0" borderId="3" xfId="17" applyNumberFormat="1" applyFont="1" applyBorder="1"/>
    <xf numFmtId="37" fontId="10" fillId="0" borderId="0" xfId="17" applyNumberFormat="1"/>
    <xf numFmtId="37" fontId="1" fillId="0" borderId="0" xfId="17" applyNumberFormat="1" applyFont="1"/>
    <xf numFmtId="3" fontId="5" fillId="0" borderId="0" xfId="17" applyNumberFormat="1" applyFont="1" applyAlignment="1">
      <alignment vertical="center"/>
    </xf>
    <xf numFmtId="164" fontId="10" fillId="0" borderId="0" xfId="17" applyNumberFormat="1"/>
    <xf numFmtId="3" fontId="10" fillId="0" borderId="0" xfId="17" applyNumberFormat="1"/>
    <xf numFmtId="0" fontId="10" fillId="0" borderId="0" xfId="17"/>
    <xf numFmtId="164" fontId="10" fillId="3" borderId="0" xfId="17" applyNumberFormat="1" applyFill="1"/>
    <xf numFmtId="37" fontId="10" fillId="3" borderId="0" xfId="17" applyNumberFormat="1" applyFill="1"/>
    <xf numFmtId="37" fontId="3" fillId="0" borderId="4" xfId="17" applyNumberFormat="1" applyFont="1" applyBorder="1"/>
    <xf numFmtId="164" fontId="0" fillId="0" borderId="0" xfId="16" applyNumberFormat="1" applyFont="1" applyBorder="1"/>
    <xf numFmtId="37" fontId="3" fillId="0" borderId="0" xfId="17" applyNumberFormat="1" applyFont="1" applyAlignment="1">
      <alignment horizontal="right" vertical="center"/>
    </xf>
    <xf numFmtId="164" fontId="0" fillId="0" borderId="0" xfId="16" applyNumberFormat="1" applyFont="1"/>
    <xf numFmtId="164" fontId="0" fillId="0" borderId="0" xfId="16" applyNumberFormat="1" applyFont="1" applyProtection="1"/>
    <xf numFmtId="164" fontId="1" fillId="0" borderId="0" xfId="16" applyNumberFormat="1" applyFont="1"/>
    <xf numFmtId="37" fontId="3" fillId="0" borderId="0" xfId="17" applyNumberFormat="1" applyFont="1" applyAlignment="1">
      <alignment vertical="center"/>
    </xf>
    <xf numFmtId="3" fontId="11" fillId="0" borderId="0" xfId="17" applyNumberFormat="1" applyFont="1" applyAlignment="1">
      <alignment vertical="center"/>
    </xf>
    <xf numFmtId="3" fontId="11" fillId="4" borderId="0" xfId="17" applyNumberFormat="1" applyFont="1" applyFill="1" applyAlignment="1">
      <alignment vertical="center"/>
    </xf>
    <xf numFmtId="164" fontId="1" fillId="0" borderId="0" xfId="17" applyNumberFormat="1" applyFont="1"/>
    <xf numFmtId="3" fontId="1" fillId="0" borderId="0" xfId="17" applyNumberFormat="1" applyFont="1"/>
    <xf numFmtId="0" fontId="1" fillId="0" borderId="0" xfId="17" applyFont="1"/>
    <xf numFmtId="39" fontId="10" fillId="0" borderId="0" xfId="17" applyNumberFormat="1"/>
    <xf numFmtId="37" fontId="3" fillId="0" borderId="0" xfId="17" applyNumberFormat="1" applyFont="1"/>
    <xf numFmtId="37" fontId="3" fillId="0" borderId="1" xfId="17" applyNumberFormat="1" applyFont="1" applyBorder="1"/>
    <xf numFmtId="37" fontId="10" fillId="0" borderId="1" xfId="17" applyNumberFormat="1" applyBorder="1"/>
    <xf numFmtId="37" fontId="1" fillId="0" borderId="1" xfId="17" applyNumberFormat="1" applyFont="1" applyBorder="1"/>
    <xf numFmtId="3" fontId="5" fillId="0" borderId="1" xfId="17" applyNumberFormat="1" applyFont="1" applyBorder="1" applyAlignment="1">
      <alignment vertical="center"/>
    </xf>
    <xf numFmtId="164" fontId="10" fillId="0" borderId="1" xfId="17" applyNumberFormat="1" applyBorder="1"/>
    <xf numFmtId="3" fontId="10" fillId="0" borderId="1" xfId="17" applyNumberFormat="1" applyBorder="1"/>
    <xf numFmtId="0" fontId="10" fillId="0" borderId="1" xfId="17" applyBorder="1"/>
    <xf numFmtId="0" fontId="3" fillId="0" borderId="4" xfId="17" applyFont="1" applyBorder="1"/>
    <xf numFmtId="37" fontId="10" fillId="0" borderId="0" xfId="17" quotePrefix="1" applyNumberFormat="1"/>
    <xf numFmtId="0" fontId="4" fillId="0" borderId="0" xfId="17" applyFont="1"/>
    <xf numFmtId="0" fontId="10" fillId="3" borderId="0" xfId="17" applyFill="1"/>
    <xf numFmtId="164" fontId="3" fillId="0" borderId="0" xfId="16" applyNumberFormat="1" applyFont="1"/>
    <xf numFmtId="164" fontId="3" fillId="0" borderId="0" xfId="16" applyNumberFormat="1" applyFont="1" applyProtection="1"/>
    <xf numFmtId="164" fontId="3" fillId="0" borderId="0" xfId="17" applyNumberFormat="1" applyFont="1"/>
    <xf numFmtId="0" fontId="3" fillId="0" borderId="0" xfId="17" applyFont="1"/>
  </cellXfs>
  <cellStyles count="18">
    <cellStyle name="Comma 2" xfId="2" xr:uid="{00000000-0005-0000-0000-000000000000}"/>
    <cellStyle name="Comma 3" xfId="12" xr:uid="{00000000-0005-0000-0000-000001000000}"/>
    <cellStyle name="Comma 4" xfId="16" xr:uid="{00000000-0005-0000-0000-000002000000}"/>
    <cellStyle name="County" xfId="3" xr:uid="{00000000-0005-0000-0000-000003000000}"/>
    <cellStyle name="County 2" xfId="14" xr:uid="{00000000-0005-0000-0000-000004000000}"/>
    <cellStyle name="Currency 2" xfId="4" xr:uid="{00000000-0005-0000-0000-000005000000}"/>
    <cellStyle name="Currency 3" xfId="11" xr:uid="{00000000-0005-0000-0000-000006000000}"/>
    <cellStyle name="Currency 4" xfId="9" xr:uid="{00000000-0005-0000-0000-000007000000}"/>
    <cellStyle name="Normal" xfId="0" builtinId="0"/>
    <cellStyle name="Normal 2" xfId="6" xr:uid="{00000000-0005-0000-0000-000009000000}"/>
    <cellStyle name="Normal 2 2" xfId="8" xr:uid="{00000000-0005-0000-0000-00000A000000}"/>
    <cellStyle name="Normal 3" xfId="7" xr:uid="{00000000-0005-0000-0000-00000B000000}"/>
    <cellStyle name="Normal 4" xfId="1" xr:uid="{00000000-0005-0000-0000-00000C000000}"/>
    <cellStyle name="Normal 4 2" xfId="10" xr:uid="{00000000-0005-0000-0000-00000D000000}"/>
    <cellStyle name="Normal 4 3" xfId="15" xr:uid="{00000000-0005-0000-0000-00000E000000}"/>
    <cellStyle name="Normal 5" xfId="17" xr:uid="{F96FCF29-1A89-4A2A-94A1-4DD6B66BD91E}"/>
    <cellStyle name="Percent 2" xfId="5" xr:uid="{00000000-0005-0000-0000-00000F000000}"/>
    <cellStyle name="Percent 3" xfId="13" xr:uid="{00000000-0005-0000-0000-000010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roperty%20Tax%20Assessments\WRKRECAP16.xlsx" TargetMode="External"/><Relationship Id="rId1" Type="http://schemas.openxmlformats.org/officeDocument/2006/relationships/externalLinkPath" Target="/Property%20Tax%20Assessments/WRKRECAP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perty%20Tax%20Assessments/WRKRECAP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perty%20Tax%20Assessments/WRKRECAP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perty%20Tax%20Assessments/WRKRECAP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perty%20Tax%20Assessments/WRKRECAP20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ev4427\AppData\Roaming\Microsoft\Excel\WRKRECAP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ev4427\AppData\Roaming\Microsoft\Excel\WRKRECAP05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roperty%20Tax%20Assessments\WRKRECAP2021.xlsx" TargetMode="External"/><Relationship Id="rId1" Type="http://schemas.openxmlformats.org/officeDocument/2006/relationships/externalLinkPath" Target="/Property%20Tax%20Assessments/WRKRECAP2021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roperty%20Tax%20Assessments\WRKRECAP2023.xlsx" TargetMode="External"/><Relationship Id="rId1" Type="http://schemas.openxmlformats.org/officeDocument/2006/relationships/externalLinkPath" Target="/Property%20Tax%20Assessments/WRKRECAP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TUS"/>
      <sheetName val="CO CODE"/>
      <sheetName val="PRIOR"/>
      <sheetName val="CURRENT"/>
      <sheetName val="WORKSHEET"/>
      <sheetName val="CERTIFICATION"/>
      <sheetName val="LEVEL"/>
      <sheetName val="PVA BUDGET"/>
      <sheetName val="LOCAL GOVT"/>
      <sheetName val="SCHOOL CO ONLY"/>
      <sheetName val="IND-CURRENT"/>
      <sheetName val="IND-CERTIFICATION"/>
      <sheetName val="IND-PRIOR"/>
      <sheetName val="DBF For Education"/>
      <sheetName val="IND-TAX EXEMPT"/>
      <sheetName val="OMITTED PERSONAL PROPERTY"/>
    </sheetNames>
    <sheetDataSet>
      <sheetData sheetId="0"/>
      <sheetData sheetId="1">
        <row r="1">
          <cell r="E1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CO CODE"/>
      <sheetName val="PRIOR"/>
      <sheetName val="CURRENT"/>
      <sheetName val="WORKSHEET"/>
      <sheetName val="CERTIFICATION"/>
      <sheetName val="LEVEL"/>
      <sheetName val="PVA BUDGET"/>
      <sheetName val="LOCAL GOVT"/>
      <sheetName val="SCHOOL CO ONLY"/>
      <sheetName val="IND-CURRENT"/>
      <sheetName val="IND-CERTIFICATION"/>
      <sheetName val="IND-PRIOR"/>
      <sheetName val="DBF For Education"/>
      <sheetName val="IND-TAX EXEMPT"/>
      <sheetName val="OMITTED PERSONAL PROPERTY"/>
    </sheetNames>
    <sheetDataSet>
      <sheetData sheetId="0"/>
      <sheetData sheetId="1">
        <row r="1">
          <cell r="E1">
            <v>2017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CO CODE"/>
      <sheetName val="PRIOR"/>
      <sheetName val="CURRENT"/>
      <sheetName val="WORKSHEET"/>
      <sheetName val="CERTIFICATION"/>
      <sheetName val="LEVEL"/>
      <sheetName val="PVA BUDGET"/>
      <sheetName val="LOCAL GOVT"/>
      <sheetName val="SCHOOL CO ONLY"/>
      <sheetName val="IND-CURRENT"/>
      <sheetName val="IND-CERTIFICATION"/>
      <sheetName val="IND-PRIOR"/>
      <sheetName val="DBF For Education"/>
      <sheetName val="IND-TAX EXEMPT"/>
      <sheetName val="OMITTED PERSONAL PROPERTY"/>
    </sheetNames>
    <sheetDataSet>
      <sheetData sheetId="0"/>
      <sheetData sheetId="1">
        <row r="1">
          <cell r="E1">
            <v>2018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CO CODE"/>
      <sheetName val="PRIOR"/>
      <sheetName val="CURRENT"/>
      <sheetName val="WORKSHEET"/>
      <sheetName val="CERTIFICATION"/>
      <sheetName val="LEVEL"/>
      <sheetName val="PVA BUDGET"/>
      <sheetName val="LOCAL GOVT"/>
      <sheetName val="SCHOOL CO ONLY"/>
      <sheetName val="IND-CURRENT"/>
      <sheetName val="IND-CERTIFICATION"/>
      <sheetName val="IND-PRIOR"/>
      <sheetName val="DBF For Education"/>
      <sheetName val="IND-TAX EXEMPT"/>
      <sheetName val="OMITTED PERSONAL PROPERTY"/>
    </sheetNames>
    <sheetDataSet>
      <sheetData sheetId="0"/>
      <sheetData sheetId="1">
        <row r="1">
          <cell r="E1">
            <v>2019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CO CODE"/>
      <sheetName val="PRIOR"/>
      <sheetName val="CURRENT"/>
      <sheetName val="WORKSHEET"/>
      <sheetName val="CERTIFICATION"/>
      <sheetName val="LEVEL"/>
      <sheetName val="PVA BUDGET"/>
      <sheetName val="LOCAL GOVT"/>
      <sheetName val="SCHOOL CO ONLY"/>
      <sheetName val="IND-CURRENT"/>
      <sheetName val="IND-CERTIFICATION"/>
      <sheetName val="DBF For Education"/>
      <sheetName val="IND-PRIOR"/>
      <sheetName val="IND-TAX EXEMPT"/>
      <sheetName val="OMITTED PERSONAL PROPERTY"/>
    </sheetNames>
    <sheetDataSet>
      <sheetData sheetId="0"/>
      <sheetData sheetId="1">
        <row r="1">
          <cell r="E1">
            <v>2020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CO CODE"/>
      <sheetName val="PRIOR"/>
      <sheetName val="CURRENT"/>
      <sheetName val="WORKSHEET"/>
      <sheetName val="LEVEL"/>
      <sheetName val="CERTIFICATION"/>
      <sheetName val="PVA BUDGET"/>
      <sheetName val="LOCAL GOVT"/>
      <sheetName val="SCHOOL CO ONLY"/>
      <sheetName val="IND-CURRENT"/>
      <sheetName val="IND-CERTIFICATION"/>
      <sheetName val="IND-PRIOR"/>
      <sheetName val="WORKSHEET-DAVIESS"/>
      <sheetName val="CERTIFICATION-DAVIESS"/>
      <sheetName val="LOCAL GOVT-DAVIESS"/>
      <sheetName val="TAXCERT.DBF.2007"/>
      <sheetName val="IND-TAX EXEMPT"/>
      <sheetName val="OMITTED PERSONAL PROPERTY"/>
    </sheetNames>
    <sheetDataSet>
      <sheetData sheetId="0" refreshError="1"/>
      <sheetData sheetId="1">
        <row r="1">
          <cell r="E1">
            <v>2007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CO CODE"/>
      <sheetName val="PRIOR"/>
      <sheetName val="CURRENT"/>
      <sheetName val="WORKSHEET"/>
      <sheetName val="LEVEL"/>
      <sheetName val="CERTIFICATION"/>
      <sheetName val="PVA BUDGET"/>
      <sheetName val="LOCAL GOVT"/>
      <sheetName val="SCHOOL CO ONLY"/>
      <sheetName val="IND-CURRENT"/>
      <sheetName val="IND CERT"/>
      <sheetName val="IND-PRIOR"/>
      <sheetName val="WORKSHEET-DAVIESS"/>
      <sheetName val="CERTIFICATION-DAVIESS"/>
      <sheetName val="LOCAL-DAVIESS"/>
      <sheetName val="TAXCERT.DBF 2005"/>
      <sheetName val="IND-TAX EXEMPT"/>
    </sheetNames>
    <sheetDataSet>
      <sheetData sheetId="0" refreshError="1"/>
      <sheetData sheetId="1">
        <row r="1">
          <cell r="E1">
            <v>2005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TUS"/>
      <sheetName val="CO CODE"/>
      <sheetName val="PRIOR"/>
      <sheetName val="CURRENT"/>
      <sheetName val="WORKSHEET"/>
      <sheetName val="LEVEL"/>
      <sheetName val="CERTIFICATION"/>
      <sheetName val="PVA BUDGET"/>
      <sheetName val="LOCAL GOVT"/>
      <sheetName val="SCHOOL CO ONLY"/>
      <sheetName val="IND-CURRENT"/>
      <sheetName val="IND-CERTIFICATION"/>
      <sheetName val="DBF For Education"/>
      <sheetName val="IND-PRIOR"/>
      <sheetName val="IND-TAX EXEMPT"/>
      <sheetName val="OMITTED PERSONAL PROPERTY"/>
    </sheetNames>
    <sheetDataSet>
      <sheetData sheetId="0"/>
      <sheetData sheetId="1">
        <row r="1">
          <cell r="E1">
            <v>2021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TUS"/>
      <sheetName val="CO CODE"/>
      <sheetName val="PRIOR"/>
      <sheetName val="CURRENT"/>
      <sheetName val="WORKSHEET"/>
      <sheetName val="LEVEL"/>
      <sheetName val="CERTIFICATION"/>
      <sheetName val="PVA BUDGET"/>
      <sheetName val="LOCAL GOVT"/>
      <sheetName val="SCHOOL CO ONLY"/>
      <sheetName val="IND-CURRENT"/>
      <sheetName val="IND-CERTIFICATION"/>
      <sheetName val="DBF For Education"/>
      <sheetName val="IND-PRIOR"/>
      <sheetName val="IND-TAX EXEMPT"/>
      <sheetName val="OMITTED PERSONAL PROPERTY"/>
    </sheetNames>
    <sheetDataSet>
      <sheetData sheetId="0"/>
      <sheetData sheetId="1">
        <row r="1">
          <cell r="E1">
            <v>2023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S123"/>
  <sheetViews>
    <sheetView zoomScaleNormal="100" workbookViewId="0"/>
  </sheetViews>
  <sheetFormatPr defaultRowHeight="15" x14ac:dyDescent="0.25"/>
  <cols>
    <col min="1" max="1" width="19.85546875" bestFit="1" customWidth="1"/>
    <col min="2" max="2" width="19.5703125" bestFit="1" customWidth="1"/>
    <col min="3" max="3" width="15" bestFit="1" customWidth="1"/>
    <col min="4" max="4" width="16.42578125" bestFit="1" customWidth="1"/>
    <col min="5" max="5" width="16" bestFit="1" customWidth="1"/>
    <col min="6" max="6" width="14" bestFit="1" customWidth="1"/>
    <col min="7" max="7" width="15.7109375" bestFit="1" customWidth="1"/>
    <col min="8" max="8" width="14" bestFit="1" customWidth="1"/>
    <col min="9" max="9" width="12.28515625" bestFit="1" customWidth="1"/>
    <col min="10" max="10" width="14.28515625" bestFit="1" customWidth="1"/>
    <col min="11" max="11" width="13.7109375" bestFit="1" customWidth="1"/>
    <col min="12" max="12" width="15" bestFit="1" customWidth="1"/>
    <col min="13" max="13" width="14" bestFit="1" customWidth="1"/>
    <col min="14" max="14" width="13.28515625" customWidth="1"/>
    <col min="15" max="15" width="13.42578125" customWidth="1"/>
    <col min="16" max="16" width="18" bestFit="1" customWidth="1"/>
    <col min="17" max="17" width="16.42578125" bestFit="1" customWidth="1"/>
    <col min="18" max="19" width="17.7109375" bestFit="1" customWidth="1"/>
    <col min="20" max="21" width="16" bestFit="1" customWidth="1"/>
    <col min="22" max="22" width="18.42578125" bestFit="1" customWidth="1"/>
    <col min="23" max="23" width="16.42578125" bestFit="1" customWidth="1"/>
    <col min="24" max="24" width="17.7109375" bestFit="1" customWidth="1"/>
    <col min="25" max="25" width="16.42578125" bestFit="1" customWidth="1"/>
    <col min="26" max="27" width="15.7109375" bestFit="1" customWidth="1"/>
    <col min="28" max="28" width="17" bestFit="1" customWidth="1"/>
    <col min="29" max="29" width="17.28515625" bestFit="1" customWidth="1"/>
    <col min="30" max="30" width="13.28515625" bestFit="1" customWidth="1"/>
    <col min="31" max="31" width="14.28515625" bestFit="1" customWidth="1"/>
    <col min="32" max="32" width="21.7109375" customWidth="1"/>
    <col min="33" max="33" width="15.140625" bestFit="1" customWidth="1"/>
    <col min="34" max="34" width="16" bestFit="1" customWidth="1"/>
    <col min="35" max="35" width="17.28515625" bestFit="1" customWidth="1"/>
    <col min="36" max="36" width="18" bestFit="1" customWidth="1"/>
    <col min="37" max="37" width="19.42578125" bestFit="1" customWidth="1"/>
    <col min="38" max="38" width="15.7109375" bestFit="1" customWidth="1"/>
    <col min="39" max="39" width="16" bestFit="1" customWidth="1"/>
    <col min="40" max="40" width="21" customWidth="1"/>
    <col min="41" max="41" width="16.42578125" bestFit="1" customWidth="1"/>
    <col min="42" max="42" width="19.140625" bestFit="1" customWidth="1"/>
    <col min="43" max="43" width="18.42578125" bestFit="1" customWidth="1"/>
    <col min="44" max="44" width="18" bestFit="1" customWidth="1"/>
    <col min="45" max="45" width="18.140625" customWidth="1"/>
    <col min="46" max="46" width="17" bestFit="1" customWidth="1"/>
    <col min="47" max="47" width="11.28515625" bestFit="1" customWidth="1"/>
    <col min="48" max="48" width="11.140625" bestFit="1" customWidth="1"/>
    <col min="49" max="49" width="16" bestFit="1" customWidth="1"/>
    <col min="50" max="50" width="14.7109375" bestFit="1" customWidth="1"/>
    <col min="51" max="51" width="15" bestFit="1" customWidth="1"/>
    <col min="52" max="52" width="16.140625" bestFit="1" customWidth="1"/>
    <col min="53" max="53" width="13.7109375" bestFit="1" customWidth="1"/>
    <col min="54" max="54" width="15.42578125" bestFit="1" customWidth="1"/>
    <col min="55" max="55" width="15.5703125" bestFit="1" customWidth="1"/>
    <col min="56" max="56" width="12.28515625" bestFit="1" customWidth="1"/>
    <col min="57" max="57" width="13.42578125" bestFit="1" customWidth="1"/>
    <col min="58" max="58" width="14.28515625" bestFit="1" customWidth="1"/>
    <col min="59" max="59" width="15.28515625" bestFit="1" customWidth="1"/>
    <col min="60" max="60" width="14.140625" bestFit="1" customWidth="1"/>
    <col min="61" max="61" width="13.5703125" bestFit="1" customWidth="1"/>
    <col min="62" max="62" width="14.42578125" bestFit="1" customWidth="1"/>
    <col min="63" max="63" width="18.5703125" customWidth="1"/>
    <col min="64" max="64" width="20.28515625" bestFit="1" customWidth="1"/>
    <col min="65" max="65" width="19.7109375" bestFit="1" customWidth="1"/>
    <col min="66" max="66" width="15.5703125" bestFit="1" customWidth="1"/>
    <col min="67" max="67" width="15" bestFit="1" customWidth="1"/>
    <col min="68" max="68" width="13.42578125" bestFit="1" customWidth="1"/>
    <col min="69" max="69" width="15" bestFit="1" customWidth="1"/>
    <col min="70" max="70" width="16" bestFit="1" customWidth="1"/>
    <col min="71" max="71" width="15" bestFit="1" customWidth="1"/>
  </cols>
  <sheetData>
    <row r="1" spans="1:71" ht="57" customHeight="1" thickBot="1" x14ac:dyDescent="0.3">
      <c r="A1" s="7" t="s">
        <v>176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2" t="s">
        <v>5</v>
      </c>
      <c r="H1" s="12" t="s">
        <v>6</v>
      </c>
      <c r="I1" s="18" t="s">
        <v>7</v>
      </c>
      <c r="J1" s="12" t="s">
        <v>8</v>
      </c>
      <c r="K1" s="12" t="s">
        <v>9</v>
      </c>
      <c r="L1" s="12" t="s">
        <v>10</v>
      </c>
      <c r="M1" s="12" t="s">
        <v>11</v>
      </c>
      <c r="N1" s="12" t="s">
        <v>12</v>
      </c>
      <c r="O1" s="12" t="s">
        <v>13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14</v>
      </c>
      <c r="AE1" s="12" t="s">
        <v>15</v>
      </c>
      <c r="AF1" s="12" t="s">
        <v>16</v>
      </c>
      <c r="AG1" s="12" t="s">
        <v>17</v>
      </c>
      <c r="AH1" s="12" t="s">
        <v>18</v>
      </c>
      <c r="AI1" s="12" t="s">
        <v>19</v>
      </c>
      <c r="AJ1" s="12" t="s">
        <v>191</v>
      </c>
      <c r="AK1" s="12" t="s">
        <v>21</v>
      </c>
      <c r="AL1" s="12" t="s">
        <v>22</v>
      </c>
      <c r="AM1" s="12" t="s">
        <v>23</v>
      </c>
      <c r="AN1" s="12" t="s">
        <v>24</v>
      </c>
      <c r="AO1" s="12" t="s">
        <v>25</v>
      </c>
      <c r="AP1" s="12" t="s">
        <v>26</v>
      </c>
      <c r="AQ1" s="12" t="s">
        <v>27</v>
      </c>
      <c r="AR1" s="12" t="s">
        <v>28</v>
      </c>
      <c r="AS1" s="12" t="s">
        <v>29</v>
      </c>
      <c r="AT1" s="12" t="s">
        <v>30</v>
      </c>
      <c r="AU1" s="12" t="s">
        <v>31</v>
      </c>
      <c r="AV1" s="12" t="s">
        <v>32</v>
      </c>
      <c r="AW1" s="12" t="s">
        <v>33</v>
      </c>
      <c r="AX1" s="12" t="s">
        <v>34</v>
      </c>
      <c r="AY1" s="12" t="s">
        <v>35</v>
      </c>
      <c r="AZ1" s="12" t="s">
        <v>40</v>
      </c>
      <c r="BA1" s="12" t="s">
        <v>41</v>
      </c>
      <c r="BB1" s="12" t="s">
        <v>42</v>
      </c>
      <c r="BC1" s="12" t="s">
        <v>192</v>
      </c>
      <c r="BD1" s="12" t="s">
        <v>43</v>
      </c>
      <c r="BE1" s="12" t="s">
        <v>44</v>
      </c>
      <c r="BF1" s="12" t="s">
        <v>193</v>
      </c>
      <c r="BG1" s="12" t="s">
        <v>45</v>
      </c>
      <c r="BH1" s="12" t="s">
        <v>194</v>
      </c>
      <c r="BI1" s="12" t="s">
        <v>46</v>
      </c>
      <c r="BJ1" s="12" t="s">
        <v>47</v>
      </c>
      <c r="BK1" s="12" t="s">
        <v>48</v>
      </c>
      <c r="BL1" s="17" t="s">
        <v>49</v>
      </c>
      <c r="BM1" s="17" t="s">
        <v>50</v>
      </c>
      <c r="BN1" s="17" t="s">
        <v>51</v>
      </c>
      <c r="BO1" s="2"/>
      <c r="BP1" s="2"/>
      <c r="BQ1" s="2"/>
      <c r="BR1" s="2"/>
      <c r="BS1" s="2"/>
    </row>
    <row r="2" spans="1:71" x14ac:dyDescent="0.25">
      <c r="A2" s="8" t="s">
        <v>56</v>
      </c>
      <c r="B2" s="10">
        <v>254508800</v>
      </c>
      <c r="C2" s="10">
        <v>138493755</v>
      </c>
      <c r="D2" s="10">
        <v>74645800</v>
      </c>
      <c r="E2" s="10">
        <v>0</v>
      </c>
      <c r="F2" s="10">
        <v>32001500</v>
      </c>
      <c r="G2" s="10">
        <v>10309400</v>
      </c>
      <c r="H2" s="10">
        <v>16093700</v>
      </c>
      <c r="I2" s="10">
        <v>2318400</v>
      </c>
      <c r="J2" s="10">
        <v>62800</v>
      </c>
      <c r="K2" s="10">
        <v>0</v>
      </c>
      <c r="L2" s="10">
        <v>289294900</v>
      </c>
      <c r="M2" s="10">
        <v>0</v>
      </c>
      <c r="N2" s="10">
        <v>1569</v>
      </c>
      <c r="O2" s="10">
        <v>548</v>
      </c>
      <c r="P2" s="10">
        <v>6906800</v>
      </c>
      <c r="Q2" s="10">
        <v>2785000</v>
      </c>
      <c r="R2" s="10">
        <v>905100</v>
      </c>
      <c r="S2" s="10">
        <v>98500</v>
      </c>
      <c r="T2" s="10">
        <v>280000</v>
      </c>
      <c r="U2" s="10">
        <v>15000</v>
      </c>
      <c r="V2" s="10">
        <v>6906800</v>
      </c>
      <c r="W2" s="10">
        <v>2785000</v>
      </c>
      <c r="X2" s="10">
        <v>905100</v>
      </c>
      <c r="Y2" s="10">
        <v>98500</v>
      </c>
      <c r="Z2" s="10">
        <v>280000</v>
      </c>
      <c r="AA2" s="10">
        <v>15000</v>
      </c>
      <c r="AB2" s="10">
        <v>-2002050</v>
      </c>
      <c r="AC2" s="10">
        <v>-175575</v>
      </c>
      <c r="AD2" s="10">
        <v>111167</v>
      </c>
      <c r="AE2" s="10">
        <v>0</v>
      </c>
      <c r="AF2" s="10">
        <v>0</v>
      </c>
      <c r="AG2" s="10">
        <v>225385</v>
      </c>
      <c r="AH2" s="10">
        <v>1251063</v>
      </c>
      <c r="AI2" s="10">
        <v>209148</v>
      </c>
      <c r="AJ2" s="3"/>
      <c r="AK2" s="10">
        <v>91472769</v>
      </c>
      <c r="AL2" s="10">
        <v>2340859</v>
      </c>
      <c r="AM2" s="10">
        <v>2069600</v>
      </c>
      <c r="AN2" s="10">
        <v>12458793</v>
      </c>
      <c r="AO2" s="10">
        <v>85024</v>
      </c>
      <c r="AP2" s="10">
        <v>12689238</v>
      </c>
      <c r="AQ2" s="10">
        <v>13145828</v>
      </c>
      <c r="AR2" s="10">
        <v>18245454</v>
      </c>
      <c r="AS2" s="3"/>
      <c r="AT2" s="10">
        <v>156757</v>
      </c>
      <c r="AU2" s="3"/>
      <c r="AV2" s="3"/>
      <c r="AW2" s="10">
        <v>9298</v>
      </c>
      <c r="AX2" s="10">
        <v>447</v>
      </c>
      <c r="AY2" s="10">
        <v>173000</v>
      </c>
      <c r="AZ2" s="1">
        <v>6664394.2199999997</v>
      </c>
      <c r="BA2" s="1">
        <v>3332197</v>
      </c>
      <c r="BB2" s="19"/>
      <c r="BC2" s="15">
        <v>0</v>
      </c>
      <c r="BD2" s="15">
        <v>0</v>
      </c>
      <c r="BE2" s="20">
        <v>13760674</v>
      </c>
      <c r="BF2" s="20">
        <v>13760674</v>
      </c>
      <c r="BG2" s="20">
        <v>22718824</v>
      </c>
      <c r="BH2" s="20">
        <v>22718824</v>
      </c>
      <c r="BI2" s="19"/>
      <c r="BJ2" s="19"/>
      <c r="BK2" s="19"/>
      <c r="BL2" s="5">
        <v>628423534</v>
      </c>
      <c r="BM2" s="5">
        <v>494798211</v>
      </c>
      <c r="BN2" s="15">
        <v>280500</v>
      </c>
      <c r="BO2" s="1"/>
      <c r="BP2" s="1"/>
      <c r="BQ2" s="5"/>
      <c r="BR2" s="5"/>
      <c r="BS2" s="5"/>
    </row>
    <row r="3" spans="1:71" x14ac:dyDescent="0.25">
      <c r="A3" s="6" t="s">
        <v>57</v>
      </c>
      <c r="B3" s="10">
        <v>337596488</v>
      </c>
      <c r="C3" s="10">
        <v>130466046</v>
      </c>
      <c r="D3" s="10">
        <v>83897005</v>
      </c>
      <c r="E3" s="10">
        <v>7250000</v>
      </c>
      <c r="F3" s="10">
        <v>31701068</v>
      </c>
      <c r="G3" s="10">
        <v>9675293</v>
      </c>
      <c r="H3" s="10">
        <v>13990880</v>
      </c>
      <c r="I3" s="10">
        <v>1762945</v>
      </c>
      <c r="J3" s="10">
        <v>85800</v>
      </c>
      <c r="K3" s="10">
        <v>0</v>
      </c>
      <c r="L3" s="10">
        <v>188548367</v>
      </c>
      <c r="M3" s="10">
        <v>81937881</v>
      </c>
      <c r="N3" s="10">
        <v>1554</v>
      </c>
      <c r="O3" s="10">
        <v>406</v>
      </c>
      <c r="P3" s="10">
        <v>12899091</v>
      </c>
      <c r="Q3" s="10">
        <v>3030248</v>
      </c>
      <c r="R3" s="10">
        <v>1605687</v>
      </c>
      <c r="S3" s="10">
        <v>748505</v>
      </c>
      <c r="T3" s="10">
        <v>1002573</v>
      </c>
      <c r="U3" s="10">
        <v>7000</v>
      </c>
      <c r="V3" s="10">
        <v>12899091</v>
      </c>
      <c r="W3" s="10">
        <v>3197022</v>
      </c>
      <c r="X3" s="10">
        <v>1605687</v>
      </c>
      <c r="Y3" s="10">
        <v>748505</v>
      </c>
      <c r="Z3" s="10">
        <v>1563531</v>
      </c>
      <c r="AA3" s="10">
        <v>7000</v>
      </c>
      <c r="AB3" s="10">
        <v>-3353039</v>
      </c>
      <c r="AC3" s="10">
        <v>-208071</v>
      </c>
      <c r="AD3" s="10">
        <v>188363</v>
      </c>
      <c r="AE3" s="10">
        <v>0</v>
      </c>
      <c r="AF3" s="10">
        <v>0</v>
      </c>
      <c r="AG3" s="10">
        <v>0</v>
      </c>
      <c r="AH3" s="10">
        <v>418867</v>
      </c>
      <c r="AI3" s="10">
        <v>158906</v>
      </c>
      <c r="AJ3" s="3"/>
      <c r="AK3" s="10">
        <v>88870370</v>
      </c>
      <c r="AL3" s="10">
        <v>4749136</v>
      </c>
      <c r="AM3" s="3"/>
      <c r="AN3" s="10">
        <v>28571924</v>
      </c>
      <c r="AO3" s="10">
        <v>1727065</v>
      </c>
      <c r="AP3" s="10">
        <v>97560051</v>
      </c>
      <c r="AQ3" s="10">
        <v>21065181</v>
      </c>
      <c r="AR3" s="10">
        <v>15310322</v>
      </c>
      <c r="AS3" s="10">
        <v>25539143</v>
      </c>
      <c r="AT3" s="3"/>
      <c r="AU3" s="3"/>
      <c r="AV3" s="3"/>
      <c r="AW3" s="3"/>
      <c r="AX3" s="10">
        <v>5703</v>
      </c>
      <c r="AY3" s="3"/>
      <c r="AZ3" s="1">
        <v>6474792.2999999998</v>
      </c>
      <c r="BA3" s="1">
        <v>3237396</v>
      </c>
      <c r="BB3" s="19"/>
      <c r="BC3" s="15">
        <v>0</v>
      </c>
      <c r="BD3" s="15">
        <v>0</v>
      </c>
      <c r="BE3" s="20">
        <v>7815846</v>
      </c>
      <c r="BF3" s="20">
        <v>7815846</v>
      </c>
      <c r="BG3" s="20">
        <v>25673529</v>
      </c>
      <c r="BH3" s="20">
        <v>25673529</v>
      </c>
      <c r="BI3" s="19"/>
      <c r="BJ3" s="19"/>
      <c r="BK3" s="19"/>
      <c r="BL3" s="5">
        <v>734247759</v>
      </c>
      <c r="BM3" s="5">
        <v>603901482</v>
      </c>
      <c r="BN3" s="15">
        <v>1609964</v>
      </c>
      <c r="BO3" s="1"/>
      <c r="BP3" s="1"/>
      <c r="BQ3" s="5"/>
      <c r="BR3" s="5"/>
      <c r="BS3" s="5"/>
    </row>
    <row r="4" spans="1:71" x14ac:dyDescent="0.25">
      <c r="A4" s="6" t="s">
        <v>58</v>
      </c>
      <c r="B4" s="10">
        <v>841886818</v>
      </c>
      <c r="C4" s="10">
        <v>195537582</v>
      </c>
      <c r="D4" s="10">
        <v>160806273</v>
      </c>
      <c r="E4" s="10">
        <v>0</v>
      </c>
      <c r="F4" s="10">
        <v>37048400</v>
      </c>
      <c r="G4" s="10">
        <v>6800800</v>
      </c>
      <c r="H4" s="10">
        <v>7567400</v>
      </c>
      <c r="I4" s="10">
        <v>1238700</v>
      </c>
      <c r="J4" s="10">
        <v>62800</v>
      </c>
      <c r="K4" s="10">
        <v>0</v>
      </c>
      <c r="L4" s="10">
        <v>144763695</v>
      </c>
      <c r="M4" s="10">
        <v>112301648</v>
      </c>
      <c r="N4" s="10">
        <v>1446</v>
      </c>
      <c r="O4" s="10">
        <v>264</v>
      </c>
      <c r="P4" s="10">
        <v>34979500</v>
      </c>
      <c r="Q4" s="10">
        <v>2827500</v>
      </c>
      <c r="R4" s="10">
        <v>12939500</v>
      </c>
      <c r="S4" s="10">
        <v>42000</v>
      </c>
      <c r="T4" s="10">
        <v>120000</v>
      </c>
      <c r="U4" s="10">
        <v>0</v>
      </c>
      <c r="V4" s="10">
        <v>34979500</v>
      </c>
      <c r="W4" s="10">
        <v>1853000</v>
      </c>
      <c r="X4" s="10">
        <v>12939500</v>
      </c>
      <c r="Y4" s="10">
        <v>42000</v>
      </c>
      <c r="Z4" s="10">
        <v>50000</v>
      </c>
      <c r="AA4" s="10">
        <v>0</v>
      </c>
      <c r="AB4" s="10">
        <v>2531700</v>
      </c>
      <c r="AC4" s="10">
        <v>-61180</v>
      </c>
      <c r="AD4" s="3"/>
      <c r="AE4" s="3"/>
      <c r="AF4" s="3"/>
      <c r="AG4" s="10">
        <v>108000</v>
      </c>
      <c r="AH4" s="3"/>
      <c r="AI4" s="10">
        <v>175797</v>
      </c>
      <c r="AJ4" s="3"/>
      <c r="AK4" s="10">
        <v>129391859</v>
      </c>
      <c r="AL4" s="10">
        <v>3849918</v>
      </c>
      <c r="AM4" s="3"/>
      <c r="AN4" s="10">
        <v>23000638</v>
      </c>
      <c r="AO4" s="10">
        <v>4320942</v>
      </c>
      <c r="AP4" s="10">
        <v>74549379</v>
      </c>
      <c r="AQ4" s="10">
        <v>18288320</v>
      </c>
      <c r="AR4" s="10">
        <v>100680386</v>
      </c>
      <c r="AS4" s="10">
        <v>23579010</v>
      </c>
      <c r="AT4" s="10">
        <v>354897</v>
      </c>
      <c r="AU4" s="3"/>
      <c r="AV4" s="3"/>
      <c r="AW4" s="10">
        <v>409061</v>
      </c>
      <c r="AX4" s="10">
        <v>9595</v>
      </c>
      <c r="AY4" s="10">
        <v>51400</v>
      </c>
      <c r="AZ4" s="1">
        <v>9427049.9000000004</v>
      </c>
      <c r="BA4" s="1">
        <v>4713525</v>
      </c>
      <c r="BB4" s="19"/>
      <c r="BC4" s="15">
        <v>869748</v>
      </c>
      <c r="BD4" s="15">
        <v>1739496</v>
      </c>
      <c r="BE4" s="20">
        <v>9565554</v>
      </c>
      <c r="BF4" s="20">
        <v>9565554</v>
      </c>
      <c r="BG4" s="20">
        <v>28710439</v>
      </c>
      <c r="BH4" s="20">
        <v>26159293</v>
      </c>
      <c r="BI4" s="19">
        <v>38139207</v>
      </c>
      <c r="BJ4" s="19"/>
      <c r="BK4" s="19"/>
      <c r="BL4" s="5">
        <v>1456705474</v>
      </c>
      <c r="BM4" s="5">
        <v>1244016370</v>
      </c>
      <c r="BN4" s="15">
        <v>973848</v>
      </c>
      <c r="BO4" s="1"/>
      <c r="BP4" s="1"/>
      <c r="BQ4" s="5"/>
      <c r="BR4" s="5"/>
      <c r="BS4" s="5"/>
    </row>
    <row r="5" spans="1:71" x14ac:dyDescent="0.25">
      <c r="A5" s="6" t="s">
        <v>59</v>
      </c>
      <c r="B5" s="10">
        <v>128043803</v>
      </c>
      <c r="C5" s="10">
        <v>91403336</v>
      </c>
      <c r="D5" s="10">
        <v>79722210</v>
      </c>
      <c r="E5" s="10">
        <v>0</v>
      </c>
      <c r="F5" s="10">
        <v>17685600</v>
      </c>
      <c r="G5" s="10">
        <v>4246587</v>
      </c>
      <c r="H5" s="10">
        <v>5129604</v>
      </c>
      <c r="I5" s="10">
        <v>531400</v>
      </c>
      <c r="J5" s="10">
        <v>0</v>
      </c>
      <c r="K5" s="10">
        <v>0</v>
      </c>
      <c r="L5" s="10">
        <v>143788713</v>
      </c>
      <c r="M5" s="10">
        <v>33539601</v>
      </c>
      <c r="N5" s="10">
        <v>781</v>
      </c>
      <c r="O5" s="10">
        <v>176</v>
      </c>
      <c r="P5" s="10">
        <v>4043500</v>
      </c>
      <c r="Q5" s="10">
        <v>972500</v>
      </c>
      <c r="R5" s="10">
        <v>595000</v>
      </c>
      <c r="S5" s="10">
        <v>459500</v>
      </c>
      <c r="T5" s="10">
        <v>177750</v>
      </c>
      <c r="U5" s="10">
        <v>140000</v>
      </c>
      <c r="V5" s="10">
        <v>4043500</v>
      </c>
      <c r="W5" s="10">
        <v>972500</v>
      </c>
      <c r="X5" s="10">
        <v>595000</v>
      </c>
      <c r="Y5" s="10">
        <v>459500</v>
      </c>
      <c r="Z5" s="10">
        <v>177750</v>
      </c>
      <c r="AA5" s="10">
        <v>140000</v>
      </c>
      <c r="AB5" s="10">
        <v>-2069519</v>
      </c>
      <c r="AC5" s="10">
        <v>-6271768</v>
      </c>
      <c r="AD5" s="10">
        <v>33603</v>
      </c>
      <c r="AE5" s="10">
        <v>5968</v>
      </c>
      <c r="AF5" s="10">
        <v>7924</v>
      </c>
      <c r="AG5" s="10">
        <v>141109</v>
      </c>
      <c r="AH5" s="3"/>
      <c r="AI5" s="3"/>
      <c r="AJ5" s="3"/>
      <c r="AK5" s="10">
        <v>56576759</v>
      </c>
      <c r="AL5" s="10">
        <v>1837872</v>
      </c>
      <c r="AM5" s="3"/>
      <c r="AN5" s="10">
        <v>15564309</v>
      </c>
      <c r="AO5" s="10">
        <v>13695686</v>
      </c>
      <c r="AP5" s="10">
        <v>278554024</v>
      </c>
      <c r="AQ5" s="10">
        <v>6300913</v>
      </c>
      <c r="AR5" s="10">
        <v>5141394</v>
      </c>
      <c r="AS5" s="10">
        <v>8803660</v>
      </c>
      <c r="AT5" s="10">
        <v>364431</v>
      </c>
      <c r="AU5" s="3"/>
      <c r="AV5" s="3"/>
      <c r="AW5" s="3"/>
      <c r="AX5" s="3"/>
      <c r="AY5" s="3"/>
      <c r="AZ5" s="1">
        <v>4121989.86</v>
      </c>
      <c r="BA5" s="1">
        <v>2060995</v>
      </c>
      <c r="BB5" s="19">
        <v>14124936</v>
      </c>
      <c r="BC5" s="15">
        <v>354556</v>
      </c>
      <c r="BD5" s="15">
        <v>709112</v>
      </c>
      <c r="BE5" s="20">
        <v>14811327</v>
      </c>
      <c r="BF5" s="20">
        <v>14811327</v>
      </c>
      <c r="BG5" s="20">
        <v>27781797</v>
      </c>
      <c r="BH5" s="20">
        <v>25741159</v>
      </c>
      <c r="BI5" s="19"/>
      <c r="BJ5" s="19"/>
      <c r="BK5" s="19"/>
      <c r="BL5" s="5">
        <v>436112925</v>
      </c>
      <c r="BM5" s="5">
        <v>334730257</v>
      </c>
      <c r="BN5" s="15">
        <v>2421573</v>
      </c>
      <c r="BO5" s="1"/>
      <c r="BP5" s="1"/>
      <c r="BQ5" s="5"/>
      <c r="BR5" s="5"/>
      <c r="BS5" s="5"/>
    </row>
    <row r="6" spans="1:71" x14ac:dyDescent="0.25">
      <c r="A6" s="6" t="s">
        <v>60</v>
      </c>
      <c r="B6" s="10">
        <v>941346792</v>
      </c>
      <c r="C6" s="10">
        <v>285762544</v>
      </c>
      <c r="D6" s="10">
        <v>413168622</v>
      </c>
      <c r="E6" s="10">
        <v>0</v>
      </c>
      <c r="F6" s="10">
        <v>80669358</v>
      </c>
      <c r="G6" s="10">
        <v>13449310</v>
      </c>
      <c r="H6" s="10">
        <v>22414926</v>
      </c>
      <c r="I6" s="10">
        <v>1715950</v>
      </c>
      <c r="J6" s="10">
        <v>282600</v>
      </c>
      <c r="K6" s="10">
        <v>0</v>
      </c>
      <c r="L6" s="10">
        <v>264820540</v>
      </c>
      <c r="M6" s="10">
        <v>185519310</v>
      </c>
      <c r="N6" s="10">
        <v>3402</v>
      </c>
      <c r="O6" s="10">
        <v>529</v>
      </c>
      <c r="P6" s="10">
        <v>35210200</v>
      </c>
      <c r="Q6" s="10">
        <v>9318700</v>
      </c>
      <c r="R6" s="10">
        <v>22459600</v>
      </c>
      <c r="S6" s="10">
        <v>10032300</v>
      </c>
      <c r="T6" s="10">
        <v>3337750</v>
      </c>
      <c r="U6" s="10">
        <v>7527600</v>
      </c>
      <c r="V6" s="10">
        <v>35210200</v>
      </c>
      <c r="W6" s="10">
        <v>10504600</v>
      </c>
      <c r="X6" s="10">
        <v>22459600</v>
      </c>
      <c r="Y6" s="10">
        <v>10032300</v>
      </c>
      <c r="Z6" s="10">
        <v>4439100</v>
      </c>
      <c r="AA6" s="10">
        <v>7527600</v>
      </c>
      <c r="AB6" s="10">
        <v>-1211200</v>
      </c>
      <c r="AC6" s="10">
        <v>3640510</v>
      </c>
      <c r="AD6" s="10">
        <v>21</v>
      </c>
      <c r="AE6" s="10">
        <v>0</v>
      </c>
      <c r="AF6" s="10">
        <v>0</v>
      </c>
      <c r="AG6" s="10">
        <v>267054</v>
      </c>
      <c r="AH6" s="10">
        <v>746813</v>
      </c>
      <c r="AI6" s="10">
        <v>422688</v>
      </c>
      <c r="AJ6" s="3"/>
      <c r="AK6" s="10">
        <v>222197765</v>
      </c>
      <c r="AL6" s="10">
        <v>9808232</v>
      </c>
      <c r="AM6" s="10">
        <v>2846097</v>
      </c>
      <c r="AN6" s="10">
        <v>94642401</v>
      </c>
      <c r="AO6" s="10">
        <v>10631481</v>
      </c>
      <c r="AP6" s="10">
        <v>302791379</v>
      </c>
      <c r="AQ6" s="10">
        <v>93256269</v>
      </c>
      <c r="AR6" s="10">
        <v>88066573</v>
      </c>
      <c r="AS6" s="10">
        <v>23359259</v>
      </c>
      <c r="AT6" s="3"/>
      <c r="AU6" s="3"/>
      <c r="AV6" s="10">
        <v>574811</v>
      </c>
      <c r="AW6" s="10">
        <v>11706447</v>
      </c>
      <c r="AX6" s="10">
        <v>952548</v>
      </c>
      <c r="AY6" s="10">
        <v>1165988</v>
      </c>
      <c r="AZ6" s="1">
        <v>16188571.939999999</v>
      </c>
      <c r="BA6" s="1">
        <v>8094286</v>
      </c>
      <c r="BB6" s="19"/>
      <c r="BC6" s="15">
        <v>670401</v>
      </c>
      <c r="BD6" s="15">
        <v>1340801</v>
      </c>
      <c r="BE6" s="20">
        <v>21179148</v>
      </c>
      <c r="BF6" s="20">
        <v>20423594</v>
      </c>
      <c r="BG6" s="20">
        <v>64672845</v>
      </c>
      <c r="BH6" s="20">
        <v>63536174</v>
      </c>
      <c r="BI6" s="19"/>
      <c r="BJ6" s="19">
        <v>16831983</v>
      </c>
      <c r="BK6" s="19"/>
      <c r="BL6" s="5">
        <v>2181540045</v>
      </c>
      <c r="BM6" s="5">
        <v>1839977610</v>
      </c>
      <c r="BN6" s="15">
        <v>5912822</v>
      </c>
      <c r="BO6" s="1"/>
      <c r="BP6" s="1"/>
      <c r="BQ6" s="5"/>
      <c r="BR6" s="5"/>
      <c r="BS6" s="5"/>
    </row>
    <row r="7" spans="1:71" x14ac:dyDescent="0.25">
      <c r="A7" s="6" t="s">
        <v>61</v>
      </c>
      <c r="B7" s="10">
        <v>154055482</v>
      </c>
      <c r="C7" s="10">
        <v>77241550</v>
      </c>
      <c r="D7" s="10">
        <v>29984311</v>
      </c>
      <c r="E7" s="10">
        <v>0</v>
      </c>
      <c r="F7" s="10">
        <v>18085100</v>
      </c>
      <c r="G7" s="10">
        <v>11685600</v>
      </c>
      <c r="H7" s="10">
        <v>5525000</v>
      </c>
      <c r="I7" s="10">
        <v>2149400</v>
      </c>
      <c r="J7" s="10">
        <v>0</v>
      </c>
      <c r="K7" s="10">
        <v>0</v>
      </c>
      <c r="L7" s="10">
        <v>103448440</v>
      </c>
      <c r="M7" s="10">
        <v>45447000</v>
      </c>
      <c r="N7" s="10">
        <v>830</v>
      </c>
      <c r="O7" s="10">
        <v>533</v>
      </c>
      <c r="P7" s="10">
        <v>7017551</v>
      </c>
      <c r="Q7" s="10">
        <v>2424800</v>
      </c>
      <c r="R7" s="10">
        <v>1636700</v>
      </c>
      <c r="S7" s="10">
        <v>2089905</v>
      </c>
      <c r="T7" s="10">
        <v>1090800</v>
      </c>
      <c r="U7" s="10">
        <v>121983</v>
      </c>
      <c r="V7" s="10">
        <v>7017551</v>
      </c>
      <c r="W7" s="10">
        <v>1440500</v>
      </c>
      <c r="X7" s="10">
        <v>1636700</v>
      </c>
      <c r="Y7" s="10">
        <v>2089905</v>
      </c>
      <c r="Z7" s="10">
        <v>553800</v>
      </c>
      <c r="AA7" s="10">
        <v>121983</v>
      </c>
      <c r="AB7" s="10">
        <v>-2461800</v>
      </c>
      <c r="AC7" s="10">
        <v>-1534541</v>
      </c>
      <c r="AD7" s="10">
        <v>0</v>
      </c>
      <c r="AE7" s="10">
        <v>20854</v>
      </c>
      <c r="AF7" s="10">
        <v>16561000</v>
      </c>
      <c r="AG7" s="10">
        <v>145703</v>
      </c>
      <c r="AH7" s="3"/>
      <c r="AI7" s="3"/>
      <c r="AJ7" s="3"/>
      <c r="AK7" s="10">
        <v>48243620</v>
      </c>
      <c r="AL7" s="10">
        <v>1394949</v>
      </c>
      <c r="AM7" s="3"/>
      <c r="AN7" s="10">
        <v>7534751</v>
      </c>
      <c r="AO7" s="10">
        <v>657443</v>
      </c>
      <c r="AP7" s="10">
        <v>2871252</v>
      </c>
      <c r="AQ7" s="10">
        <v>2782676</v>
      </c>
      <c r="AR7" s="10">
        <v>4207998</v>
      </c>
      <c r="AS7" s="3"/>
      <c r="AT7" s="10">
        <v>710339</v>
      </c>
      <c r="AU7" s="3"/>
      <c r="AV7" s="3"/>
      <c r="AW7" s="10">
        <v>19291</v>
      </c>
      <c r="AX7" s="3"/>
      <c r="AY7" s="3"/>
      <c r="AZ7" s="1">
        <v>3514865.75</v>
      </c>
      <c r="BA7" s="1">
        <v>1757433</v>
      </c>
      <c r="BB7" s="19"/>
      <c r="BC7" s="15">
        <v>0</v>
      </c>
      <c r="BD7" s="15">
        <v>0</v>
      </c>
      <c r="BE7" s="20">
        <v>15409660</v>
      </c>
      <c r="BF7" s="20">
        <v>15409660</v>
      </c>
      <c r="BG7" s="20">
        <v>33555730</v>
      </c>
      <c r="BH7" s="20">
        <v>33555730</v>
      </c>
      <c r="BI7" s="19"/>
      <c r="BJ7" s="19"/>
      <c r="BK7" s="19"/>
      <c r="BL7" s="5">
        <v>372617605</v>
      </c>
      <c r="BM7" s="5">
        <v>272256213</v>
      </c>
      <c r="BN7" s="15">
        <v>693000</v>
      </c>
      <c r="BO7" s="1"/>
      <c r="BP7" s="1"/>
      <c r="BQ7" s="5"/>
      <c r="BR7" s="5"/>
      <c r="BS7" s="5"/>
    </row>
    <row r="8" spans="1:71" x14ac:dyDescent="0.25">
      <c r="A8" s="6" t="s">
        <v>62</v>
      </c>
      <c r="B8" s="10">
        <v>413824275</v>
      </c>
      <c r="C8" s="10">
        <v>19107321</v>
      </c>
      <c r="D8" s="10">
        <v>181101700</v>
      </c>
      <c r="E8" s="10">
        <v>0</v>
      </c>
      <c r="F8" s="10">
        <v>59500900</v>
      </c>
      <c r="G8" s="10">
        <v>22583700</v>
      </c>
      <c r="H8" s="10">
        <v>3836300</v>
      </c>
      <c r="I8" s="10">
        <v>701300</v>
      </c>
      <c r="J8" s="10">
        <v>0</v>
      </c>
      <c r="K8" s="10">
        <v>0</v>
      </c>
      <c r="L8" s="10">
        <v>8984625</v>
      </c>
      <c r="M8" s="10">
        <v>0</v>
      </c>
      <c r="N8" s="10">
        <v>2401</v>
      </c>
      <c r="O8" s="10">
        <v>948</v>
      </c>
      <c r="P8" s="10">
        <v>2746000</v>
      </c>
      <c r="Q8" s="10">
        <v>185000</v>
      </c>
      <c r="R8" s="10">
        <v>1924000</v>
      </c>
      <c r="S8" s="10">
        <v>3344900</v>
      </c>
      <c r="T8" s="10">
        <v>34100</v>
      </c>
      <c r="U8" s="10">
        <v>292550</v>
      </c>
      <c r="V8" s="10">
        <v>2746000</v>
      </c>
      <c r="W8" s="10">
        <v>185000</v>
      </c>
      <c r="X8" s="10">
        <v>1924000</v>
      </c>
      <c r="Y8" s="10">
        <v>3344900</v>
      </c>
      <c r="Z8" s="10">
        <v>44750</v>
      </c>
      <c r="AA8" s="10">
        <v>292550</v>
      </c>
      <c r="AB8" s="10">
        <v>-5957400</v>
      </c>
      <c r="AC8" s="10">
        <v>-594814</v>
      </c>
      <c r="AD8" s="10">
        <v>161042</v>
      </c>
      <c r="AE8" s="10">
        <v>0</v>
      </c>
      <c r="AF8" s="10">
        <v>0</v>
      </c>
      <c r="AG8" s="10">
        <v>0</v>
      </c>
      <c r="AH8" s="10">
        <v>2721375</v>
      </c>
      <c r="AI8" s="10">
        <v>60881596</v>
      </c>
      <c r="AJ8" s="10">
        <v>31171854</v>
      </c>
      <c r="AK8" s="10">
        <v>114860825</v>
      </c>
      <c r="AL8" s="10">
        <v>705341</v>
      </c>
      <c r="AM8" s="3"/>
      <c r="AN8" s="10">
        <v>81740514</v>
      </c>
      <c r="AO8" s="10">
        <v>2219503</v>
      </c>
      <c r="AP8" s="10">
        <v>29574502</v>
      </c>
      <c r="AQ8" s="10">
        <v>39886066</v>
      </c>
      <c r="AR8" s="10">
        <v>15996663</v>
      </c>
      <c r="AS8" s="10">
        <v>520004</v>
      </c>
      <c r="AT8" s="10">
        <v>118701</v>
      </c>
      <c r="AU8" s="3"/>
      <c r="AV8" s="3"/>
      <c r="AW8" s="3"/>
      <c r="AX8" s="10">
        <v>80772</v>
      </c>
      <c r="AY8" s="10">
        <v>631729</v>
      </c>
      <c r="AZ8" s="1">
        <v>8368368.2800000003</v>
      </c>
      <c r="BA8" s="1">
        <v>4184184</v>
      </c>
      <c r="BB8" s="19"/>
      <c r="BC8" s="15">
        <v>4184848</v>
      </c>
      <c r="BD8" s="15">
        <v>8369695</v>
      </c>
      <c r="BE8" s="20">
        <v>30263668</v>
      </c>
      <c r="BF8" s="20">
        <v>30263668</v>
      </c>
      <c r="BG8" s="20">
        <v>66339521</v>
      </c>
      <c r="BH8" s="20">
        <v>60786726</v>
      </c>
      <c r="BI8" s="19"/>
      <c r="BJ8" s="19"/>
      <c r="BK8" s="19"/>
      <c r="BL8" s="5">
        <v>1047639796</v>
      </c>
      <c r="BM8" s="5">
        <v>832654204</v>
      </c>
      <c r="BN8" s="15">
        <v>2496300</v>
      </c>
      <c r="BO8" s="1"/>
      <c r="BP8" s="1"/>
      <c r="BQ8" s="5"/>
      <c r="BR8" s="5"/>
      <c r="BS8" s="5"/>
    </row>
    <row r="9" spans="1:71" x14ac:dyDescent="0.25">
      <c r="A9" s="6" t="s">
        <v>63</v>
      </c>
      <c r="B9" s="10">
        <v>5472291953</v>
      </c>
      <c r="C9" s="10">
        <v>252197664</v>
      </c>
      <c r="D9" s="10">
        <v>3804551861</v>
      </c>
      <c r="E9" s="10">
        <v>112853777</v>
      </c>
      <c r="F9" s="10">
        <v>142220000</v>
      </c>
      <c r="G9" s="10">
        <v>15251600</v>
      </c>
      <c r="H9" s="10">
        <v>10330000</v>
      </c>
      <c r="I9" s="10">
        <v>439600</v>
      </c>
      <c r="J9" s="10">
        <v>565200</v>
      </c>
      <c r="K9" s="10">
        <v>62800</v>
      </c>
      <c r="L9" s="10">
        <v>824719123</v>
      </c>
      <c r="M9" s="10">
        <v>208588487</v>
      </c>
      <c r="N9" s="10">
        <v>5015</v>
      </c>
      <c r="O9" s="10">
        <v>535</v>
      </c>
      <c r="P9" s="10">
        <v>258928612</v>
      </c>
      <c r="Q9" s="10">
        <v>5721953</v>
      </c>
      <c r="R9" s="10">
        <v>236153313</v>
      </c>
      <c r="S9" s="10">
        <v>28858579</v>
      </c>
      <c r="T9" s="10">
        <v>19895508</v>
      </c>
      <c r="U9" s="10">
        <v>22096946</v>
      </c>
      <c r="V9" s="10">
        <v>258928612</v>
      </c>
      <c r="W9" s="10">
        <v>9435734</v>
      </c>
      <c r="X9" s="10">
        <v>236153313</v>
      </c>
      <c r="Y9" s="10">
        <v>28858579</v>
      </c>
      <c r="Z9" s="10">
        <v>21953533</v>
      </c>
      <c r="AA9" s="10">
        <v>22096946</v>
      </c>
      <c r="AB9" s="10">
        <v>22599956</v>
      </c>
      <c r="AC9" s="10">
        <v>-2694024</v>
      </c>
      <c r="AD9" s="10">
        <v>225</v>
      </c>
      <c r="AE9" s="10">
        <v>0</v>
      </c>
      <c r="AF9" s="10">
        <v>0</v>
      </c>
      <c r="AG9" s="10">
        <v>87740</v>
      </c>
      <c r="AH9" s="3"/>
      <c r="AI9" s="10">
        <v>1242141</v>
      </c>
      <c r="AJ9" s="3"/>
      <c r="AK9" s="10">
        <v>880496927</v>
      </c>
      <c r="AL9" s="10">
        <v>14642202</v>
      </c>
      <c r="AM9" s="10">
        <v>461110</v>
      </c>
      <c r="AN9" s="10">
        <v>547509131</v>
      </c>
      <c r="AO9" s="10">
        <v>23789506</v>
      </c>
      <c r="AP9" s="10">
        <v>744041337</v>
      </c>
      <c r="AQ9" s="10">
        <v>609215766</v>
      </c>
      <c r="AR9" s="10">
        <v>325857588</v>
      </c>
      <c r="AS9" s="10">
        <v>681964092</v>
      </c>
      <c r="AT9" s="10">
        <v>353143137</v>
      </c>
      <c r="AU9" s="10">
        <v>13353727</v>
      </c>
      <c r="AV9" s="3"/>
      <c r="AW9" s="10">
        <v>19213815</v>
      </c>
      <c r="AX9" s="10">
        <v>644593</v>
      </c>
      <c r="AY9" s="10">
        <v>29731000</v>
      </c>
      <c r="AZ9" s="1">
        <v>64150004.469999999</v>
      </c>
      <c r="BA9" s="1">
        <v>32075002</v>
      </c>
      <c r="BB9" s="19">
        <v>18228996</v>
      </c>
      <c r="BC9" s="15">
        <v>629156</v>
      </c>
      <c r="BD9" s="15">
        <v>1258312</v>
      </c>
      <c r="BE9" s="20">
        <v>205996251</v>
      </c>
      <c r="BF9" s="20">
        <v>205996251</v>
      </c>
      <c r="BG9" s="20">
        <v>771587455</v>
      </c>
      <c r="BH9" s="20">
        <v>472754007</v>
      </c>
      <c r="BI9" s="19"/>
      <c r="BJ9" s="19"/>
      <c r="BK9" s="19"/>
      <c r="BL9" s="5">
        <v>12317391567</v>
      </c>
      <c r="BM9" s="5">
        <v>10710798022</v>
      </c>
      <c r="BN9" s="15">
        <v>13215972</v>
      </c>
      <c r="BO9" s="1"/>
      <c r="BP9" s="1"/>
      <c r="BQ9" s="5"/>
      <c r="BR9" s="5"/>
      <c r="BS9" s="5"/>
    </row>
    <row r="10" spans="1:71" x14ac:dyDescent="0.25">
      <c r="A10" s="6" t="s">
        <v>64</v>
      </c>
      <c r="B10" s="10">
        <v>525053255</v>
      </c>
      <c r="C10" s="10">
        <v>281821840</v>
      </c>
      <c r="D10" s="10">
        <v>147059330</v>
      </c>
      <c r="E10" s="10">
        <v>0</v>
      </c>
      <c r="F10" s="10">
        <v>37487400</v>
      </c>
      <c r="G10" s="10">
        <v>5544300</v>
      </c>
      <c r="H10" s="10">
        <v>7495700</v>
      </c>
      <c r="I10" s="10">
        <v>502400</v>
      </c>
      <c r="J10" s="10">
        <v>188400</v>
      </c>
      <c r="K10" s="10">
        <v>0</v>
      </c>
      <c r="L10" s="10">
        <v>582936350</v>
      </c>
      <c r="M10" s="10">
        <v>158191050</v>
      </c>
      <c r="N10" s="10">
        <v>1463</v>
      </c>
      <c r="O10" s="10">
        <v>200</v>
      </c>
      <c r="P10" s="10">
        <v>17600775</v>
      </c>
      <c r="Q10" s="10">
        <v>26263320</v>
      </c>
      <c r="R10" s="10">
        <v>14223800</v>
      </c>
      <c r="S10" s="10">
        <v>1958800</v>
      </c>
      <c r="T10" s="10">
        <v>1223180</v>
      </c>
      <c r="U10" s="10">
        <v>131400</v>
      </c>
      <c r="V10" s="10">
        <v>17600775</v>
      </c>
      <c r="W10" s="10">
        <v>27503960</v>
      </c>
      <c r="X10" s="10">
        <v>14223800</v>
      </c>
      <c r="Y10" s="10">
        <v>1958800</v>
      </c>
      <c r="Z10" s="10">
        <v>1913030</v>
      </c>
      <c r="AA10" s="10">
        <v>131400</v>
      </c>
      <c r="AB10" s="10">
        <v>-1761140</v>
      </c>
      <c r="AC10" s="10">
        <v>2889118</v>
      </c>
      <c r="AD10" s="10">
        <v>0</v>
      </c>
      <c r="AE10" s="10">
        <v>0</v>
      </c>
      <c r="AF10" s="10">
        <v>0</v>
      </c>
      <c r="AG10" s="10">
        <v>176564</v>
      </c>
      <c r="AH10" s="3"/>
      <c r="AI10" s="10">
        <v>391633</v>
      </c>
      <c r="AJ10" s="3"/>
      <c r="AK10" s="10">
        <v>132453762</v>
      </c>
      <c r="AL10" s="10">
        <v>2469412</v>
      </c>
      <c r="AM10" s="3"/>
      <c r="AN10" s="10">
        <v>31808896</v>
      </c>
      <c r="AO10" s="10">
        <v>11860072</v>
      </c>
      <c r="AP10" s="10">
        <v>184634654</v>
      </c>
      <c r="AQ10" s="10">
        <v>29687888</v>
      </c>
      <c r="AR10" s="10">
        <v>42815770</v>
      </c>
      <c r="AS10" s="3"/>
      <c r="AT10" s="10">
        <v>91671137</v>
      </c>
      <c r="AU10" s="3"/>
      <c r="AV10" s="3"/>
      <c r="AW10" s="10">
        <v>181594</v>
      </c>
      <c r="AX10" s="10">
        <v>5194</v>
      </c>
      <c r="AY10" s="10">
        <v>10000</v>
      </c>
      <c r="AZ10" s="1">
        <v>9650129.7200000007</v>
      </c>
      <c r="BA10" s="1">
        <v>4825065</v>
      </c>
      <c r="BB10" s="19"/>
      <c r="BC10" s="15">
        <v>1214897</v>
      </c>
      <c r="BD10" s="15">
        <v>2429795</v>
      </c>
      <c r="BE10" s="20">
        <v>9604466</v>
      </c>
      <c r="BF10" s="20">
        <v>9604466</v>
      </c>
      <c r="BG10" s="20">
        <v>36303641</v>
      </c>
      <c r="BH10" s="20">
        <v>33017141</v>
      </c>
      <c r="BI10" s="19"/>
      <c r="BJ10" s="19"/>
      <c r="BK10" s="19"/>
      <c r="BL10" s="5">
        <v>1211267657</v>
      </c>
      <c r="BM10" s="5">
        <v>1027682914</v>
      </c>
      <c r="BN10" s="15">
        <v>1394630</v>
      </c>
      <c r="BO10" s="1"/>
      <c r="BP10" s="1"/>
      <c r="BQ10" s="5"/>
      <c r="BR10" s="5"/>
      <c r="BS10" s="5"/>
    </row>
    <row r="11" spans="1:71" x14ac:dyDescent="0.25">
      <c r="A11" s="6" t="s">
        <v>65</v>
      </c>
      <c r="B11" s="10">
        <v>1008694321</v>
      </c>
      <c r="C11" s="10">
        <v>67208010</v>
      </c>
      <c r="D11" s="10">
        <v>531853081</v>
      </c>
      <c r="E11" s="10">
        <v>0</v>
      </c>
      <c r="F11" s="10">
        <v>120915160</v>
      </c>
      <c r="G11" s="10">
        <v>23029600</v>
      </c>
      <c r="H11" s="10">
        <v>6187800</v>
      </c>
      <c r="I11" s="10">
        <v>1093600</v>
      </c>
      <c r="J11" s="10">
        <v>533800</v>
      </c>
      <c r="K11" s="10">
        <v>21100</v>
      </c>
      <c r="L11" s="10">
        <v>28149400</v>
      </c>
      <c r="M11" s="10">
        <v>56203800</v>
      </c>
      <c r="N11" s="10">
        <v>4372</v>
      </c>
      <c r="O11" s="10">
        <v>842</v>
      </c>
      <c r="P11" s="10">
        <v>12176400</v>
      </c>
      <c r="Q11" s="10">
        <v>1125700</v>
      </c>
      <c r="R11" s="10">
        <v>12040400</v>
      </c>
      <c r="S11" s="10">
        <v>1781500</v>
      </c>
      <c r="T11" s="10">
        <v>59500</v>
      </c>
      <c r="U11" s="10">
        <v>692700</v>
      </c>
      <c r="V11" s="10">
        <v>12176400</v>
      </c>
      <c r="W11" s="10">
        <v>1367000</v>
      </c>
      <c r="X11" s="10">
        <v>12040400</v>
      </c>
      <c r="Y11" s="10">
        <v>1790500</v>
      </c>
      <c r="Z11" s="10">
        <v>65500</v>
      </c>
      <c r="AA11" s="10">
        <v>692700</v>
      </c>
      <c r="AB11" s="10">
        <v>-14722100</v>
      </c>
      <c r="AC11" s="10">
        <v>-20283945</v>
      </c>
      <c r="AD11" s="10">
        <v>20597</v>
      </c>
      <c r="AE11" s="10">
        <v>0</v>
      </c>
      <c r="AF11" s="10">
        <v>0</v>
      </c>
      <c r="AG11" s="10">
        <v>6569</v>
      </c>
      <c r="AH11" s="10">
        <v>62289</v>
      </c>
      <c r="AI11" s="10">
        <v>7240819</v>
      </c>
      <c r="AJ11" s="10">
        <v>301000</v>
      </c>
      <c r="AK11" s="10">
        <v>303453475</v>
      </c>
      <c r="AL11" s="10">
        <v>6091789</v>
      </c>
      <c r="AM11" s="3"/>
      <c r="AN11" s="10">
        <v>140910524</v>
      </c>
      <c r="AO11" s="10">
        <v>7499518</v>
      </c>
      <c r="AP11" s="10">
        <v>359708857</v>
      </c>
      <c r="AQ11" s="10">
        <v>135858666</v>
      </c>
      <c r="AR11" s="10">
        <v>208368795</v>
      </c>
      <c r="AS11" s="10">
        <v>6497543</v>
      </c>
      <c r="AT11" s="10">
        <v>1095800981</v>
      </c>
      <c r="AU11" s="3"/>
      <c r="AV11" s="3"/>
      <c r="AW11" s="3"/>
      <c r="AX11" s="3"/>
      <c r="AY11" s="3"/>
      <c r="AZ11" s="1">
        <v>22108586.059999999</v>
      </c>
      <c r="BA11" s="1">
        <v>11054293</v>
      </c>
      <c r="BB11" s="19">
        <v>8314813</v>
      </c>
      <c r="BC11" s="15">
        <v>3419296</v>
      </c>
      <c r="BD11" s="15">
        <v>6838592</v>
      </c>
      <c r="BE11" s="20">
        <v>47945346</v>
      </c>
      <c r="BF11" s="20">
        <v>47945346</v>
      </c>
      <c r="BG11" s="20">
        <v>100534782</v>
      </c>
      <c r="BH11" s="20">
        <v>97319423</v>
      </c>
      <c r="BI11" s="19"/>
      <c r="BJ11" s="19"/>
      <c r="BK11" s="19"/>
      <c r="BL11" s="5">
        <v>2368911850</v>
      </c>
      <c r="BM11" s="5">
        <v>1899628228</v>
      </c>
      <c r="BN11" s="15">
        <v>5049500</v>
      </c>
      <c r="BO11" s="1"/>
      <c r="BP11" s="1"/>
      <c r="BQ11" s="5"/>
      <c r="BR11" s="5"/>
      <c r="BS11" s="5"/>
    </row>
    <row r="12" spans="1:71" x14ac:dyDescent="0.25">
      <c r="A12" s="6" t="s">
        <v>66</v>
      </c>
      <c r="B12" s="10">
        <v>903519766</v>
      </c>
      <c r="C12" s="10">
        <v>153595335</v>
      </c>
      <c r="D12" s="10">
        <v>379198750</v>
      </c>
      <c r="E12" s="10">
        <v>0</v>
      </c>
      <c r="F12" s="10">
        <v>65578100</v>
      </c>
      <c r="G12" s="10">
        <v>9628800</v>
      </c>
      <c r="H12" s="10">
        <v>7144800</v>
      </c>
      <c r="I12" s="10">
        <v>1004800</v>
      </c>
      <c r="J12" s="10">
        <v>166000</v>
      </c>
      <c r="K12" s="10">
        <v>0</v>
      </c>
      <c r="L12" s="10">
        <v>201442204</v>
      </c>
      <c r="M12" s="10">
        <v>125490200</v>
      </c>
      <c r="N12" s="10">
        <v>2385</v>
      </c>
      <c r="O12" s="10">
        <v>358</v>
      </c>
      <c r="P12" s="10">
        <v>13196000</v>
      </c>
      <c r="Q12" s="10">
        <v>2628000</v>
      </c>
      <c r="R12" s="10">
        <v>12095000</v>
      </c>
      <c r="S12" s="10">
        <v>2639600</v>
      </c>
      <c r="T12" s="10">
        <v>175000</v>
      </c>
      <c r="U12" s="10">
        <v>6979000</v>
      </c>
      <c r="V12" s="10">
        <v>13196000</v>
      </c>
      <c r="W12" s="10">
        <v>2628000</v>
      </c>
      <c r="X12" s="10">
        <v>12095000</v>
      </c>
      <c r="Y12" s="10">
        <v>2639600</v>
      </c>
      <c r="Z12" s="10">
        <v>275000</v>
      </c>
      <c r="AA12" s="10">
        <v>6979000</v>
      </c>
      <c r="AB12" s="10">
        <v>-3126200</v>
      </c>
      <c r="AC12" s="10">
        <v>-9508688</v>
      </c>
      <c r="AD12" s="10">
        <v>14843</v>
      </c>
      <c r="AE12" s="10">
        <v>0</v>
      </c>
      <c r="AF12" s="10">
        <v>0</v>
      </c>
      <c r="AG12" s="10">
        <v>99161</v>
      </c>
      <c r="AH12" s="3"/>
      <c r="AI12" s="10">
        <v>130369</v>
      </c>
      <c r="AJ12" s="3"/>
      <c r="AK12" s="10">
        <v>153008073</v>
      </c>
      <c r="AL12" s="10">
        <v>4387612</v>
      </c>
      <c r="AM12" s="3"/>
      <c r="AN12" s="10">
        <v>80936755</v>
      </c>
      <c r="AO12" s="10">
        <v>3298338</v>
      </c>
      <c r="AP12" s="10">
        <v>120879819</v>
      </c>
      <c r="AQ12" s="10">
        <v>47377293</v>
      </c>
      <c r="AR12" s="10">
        <v>68623259</v>
      </c>
      <c r="AS12" s="10">
        <v>27297306</v>
      </c>
      <c r="AT12" s="10">
        <v>371891</v>
      </c>
      <c r="AU12" s="3"/>
      <c r="AV12" s="10">
        <v>82685</v>
      </c>
      <c r="AW12" s="10">
        <v>465862</v>
      </c>
      <c r="AX12" s="10">
        <v>15486</v>
      </c>
      <c r="AY12" s="10">
        <v>4910257</v>
      </c>
      <c r="AZ12" s="1">
        <v>11147646.77</v>
      </c>
      <c r="BA12" s="1">
        <v>5573823</v>
      </c>
      <c r="BB12" s="19"/>
      <c r="BC12" s="15">
        <v>1612145</v>
      </c>
      <c r="BD12" s="15">
        <v>3224290</v>
      </c>
      <c r="BE12" s="20">
        <v>30114036</v>
      </c>
      <c r="BF12" s="20">
        <v>30114036</v>
      </c>
      <c r="BG12" s="20">
        <v>51457308</v>
      </c>
      <c r="BH12" s="20">
        <v>47644568</v>
      </c>
      <c r="BI12" s="19"/>
      <c r="BJ12" s="19"/>
      <c r="BK12" s="19"/>
      <c r="BL12" s="5">
        <v>1810396863</v>
      </c>
      <c r="BM12" s="5">
        <v>1568056606</v>
      </c>
      <c r="BN12" s="15">
        <v>2920000</v>
      </c>
      <c r="BO12" s="1"/>
      <c r="BP12" s="1"/>
      <c r="BQ12" s="5"/>
      <c r="BR12" s="5"/>
      <c r="BS12" s="5"/>
    </row>
    <row r="13" spans="1:71" x14ac:dyDescent="0.25">
      <c r="A13" s="6" t="s">
        <v>67</v>
      </c>
      <c r="B13" s="10">
        <v>129701963</v>
      </c>
      <c r="C13" s="10">
        <v>88028770</v>
      </c>
      <c r="D13" s="10">
        <v>24862381</v>
      </c>
      <c r="E13" s="10">
        <v>0</v>
      </c>
      <c r="F13" s="10">
        <v>12361400</v>
      </c>
      <c r="G13" s="10">
        <v>2956900</v>
      </c>
      <c r="H13" s="10">
        <v>5998100</v>
      </c>
      <c r="I13" s="10">
        <v>523000</v>
      </c>
      <c r="J13" s="10">
        <v>0</v>
      </c>
      <c r="K13" s="10">
        <v>0</v>
      </c>
      <c r="L13" s="10">
        <v>43015409</v>
      </c>
      <c r="M13" s="10">
        <v>42459615</v>
      </c>
      <c r="N13" s="10">
        <v>636</v>
      </c>
      <c r="O13" s="10">
        <v>132</v>
      </c>
      <c r="P13" s="10">
        <v>2364243</v>
      </c>
      <c r="Q13" s="10">
        <v>2359510</v>
      </c>
      <c r="R13" s="10">
        <v>350000</v>
      </c>
      <c r="S13" s="10">
        <v>370488</v>
      </c>
      <c r="T13" s="10">
        <v>11000</v>
      </c>
      <c r="U13" s="10">
        <v>5000</v>
      </c>
      <c r="V13" s="10">
        <v>2364243</v>
      </c>
      <c r="W13" s="10">
        <v>2359510</v>
      </c>
      <c r="X13" s="10">
        <v>350000</v>
      </c>
      <c r="Y13" s="10">
        <v>370488</v>
      </c>
      <c r="Z13" s="10">
        <v>11000</v>
      </c>
      <c r="AA13" s="10">
        <v>5000</v>
      </c>
      <c r="AB13" s="10">
        <v>-283730</v>
      </c>
      <c r="AC13" s="10">
        <v>0</v>
      </c>
      <c r="AD13" s="10">
        <v>0</v>
      </c>
      <c r="AE13" s="10">
        <v>0</v>
      </c>
      <c r="AF13" s="10">
        <v>0</v>
      </c>
      <c r="AG13" s="10">
        <v>117261</v>
      </c>
      <c r="AH13" s="3"/>
      <c r="AI13" s="3"/>
      <c r="AJ13" s="3"/>
      <c r="AK13" s="10">
        <v>46801358</v>
      </c>
      <c r="AL13" s="10">
        <v>812809</v>
      </c>
      <c r="AM13" s="3"/>
      <c r="AN13" s="10">
        <v>3495811</v>
      </c>
      <c r="AO13" s="10">
        <v>2777</v>
      </c>
      <c r="AP13" s="10">
        <v>25364155</v>
      </c>
      <c r="AQ13" s="10">
        <v>2765032</v>
      </c>
      <c r="AR13" s="10">
        <v>5461793</v>
      </c>
      <c r="AS13" s="10">
        <v>2250932</v>
      </c>
      <c r="AT13" s="10">
        <v>60398</v>
      </c>
      <c r="AU13" s="3"/>
      <c r="AV13" s="3"/>
      <c r="AW13" s="3"/>
      <c r="AX13" s="3"/>
      <c r="AY13" s="10">
        <v>6000</v>
      </c>
      <c r="AZ13" s="1">
        <v>3409787.45</v>
      </c>
      <c r="BA13" s="1">
        <v>1704894</v>
      </c>
      <c r="BB13" s="19">
        <v>8680469</v>
      </c>
      <c r="BC13" s="15">
        <v>788706</v>
      </c>
      <c r="BD13" s="15">
        <v>1577413</v>
      </c>
      <c r="BE13" s="20">
        <v>9100123</v>
      </c>
      <c r="BF13" s="20">
        <v>9100123</v>
      </c>
      <c r="BG13" s="20">
        <v>23484411</v>
      </c>
      <c r="BH13" s="20">
        <v>19102803</v>
      </c>
      <c r="BI13" s="19"/>
      <c r="BJ13" s="19"/>
      <c r="BK13" s="19"/>
      <c r="BL13" s="5">
        <v>327167427</v>
      </c>
      <c r="BM13" s="5">
        <v>248856734</v>
      </c>
      <c r="BN13" s="15">
        <v>259740</v>
      </c>
      <c r="BO13" s="1"/>
      <c r="BP13" s="1"/>
      <c r="BQ13" s="5"/>
      <c r="BR13" s="5"/>
      <c r="BS13" s="5"/>
    </row>
    <row r="14" spans="1:71" x14ac:dyDescent="0.25">
      <c r="A14" s="6" t="s">
        <v>68</v>
      </c>
      <c r="B14" s="10">
        <v>127886136</v>
      </c>
      <c r="C14" s="10">
        <v>73442711</v>
      </c>
      <c r="D14" s="10">
        <v>54434001</v>
      </c>
      <c r="E14" s="10">
        <v>0</v>
      </c>
      <c r="F14" s="10">
        <v>15868710</v>
      </c>
      <c r="G14" s="10">
        <v>24603030</v>
      </c>
      <c r="H14" s="10">
        <v>9350153</v>
      </c>
      <c r="I14" s="10">
        <v>9176724</v>
      </c>
      <c r="J14" s="10">
        <v>62800</v>
      </c>
      <c r="K14" s="10">
        <v>183800</v>
      </c>
      <c r="L14" s="10">
        <v>32270685</v>
      </c>
      <c r="M14" s="10">
        <v>48478329</v>
      </c>
      <c r="N14" s="10">
        <v>976</v>
      </c>
      <c r="O14" s="10">
        <v>1436</v>
      </c>
      <c r="P14" s="10">
        <v>3841175</v>
      </c>
      <c r="Q14" s="10">
        <v>0</v>
      </c>
      <c r="R14" s="10">
        <v>1943000</v>
      </c>
      <c r="S14" s="10">
        <v>1838739</v>
      </c>
      <c r="T14" s="10">
        <v>1054575</v>
      </c>
      <c r="U14" s="10">
        <v>123100</v>
      </c>
      <c r="V14" s="10">
        <v>3841175</v>
      </c>
      <c r="W14" s="10">
        <v>295400</v>
      </c>
      <c r="X14" s="10">
        <v>1943000</v>
      </c>
      <c r="Y14" s="10">
        <v>1838739</v>
      </c>
      <c r="Z14" s="10">
        <v>585874</v>
      </c>
      <c r="AA14" s="10">
        <v>123100</v>
      </c>
      <c r="AB14" s="10">
        <v>-2834055</v>
      </c>
      <c r="AC14" s="10">
        <v>0</v>
      </c>
      <c r="AD14" s="10">
        <v>242237</v>
      </c>
      <c r="AE14" s="10">
        <v>0</v>
      </c>
      <c r="AF14" s="10">
        <v>0</v>
      </c>
      <c r="AG14" s="10">
        <v>361175</v>
      </c>
      <c r="AH14" s="10">
        <v>846438</v>
      </c>
      <c r="AI14" s="10">
        <v>10129120</v>
      </c>
      <c r="AJ14" s="10">
        <v>58678372</v>
      </c>
      <c r="AK14" s="10">
        <v>63130878</v>
      </c>
      <c r="AL14" s="10">
        <v>871229</v>
      </c>
      <c r="AM14" s="3"/>
      <c r="AN14" s="10">
        <v>53929872</v>
      </c>
      <c r="AO14" s="10">
        <v>394991</v>
      </c>
      <c r="AP14" s="10">
        <v>13630254</v>
      </c>
      <c r="AQ14" s="10">
        <v>12310893</v>
      </c>
      <c r="AR14" s="10">
        <v>4079938</v>
      </c>
      <c r="AS14" s="3"/>
      <c r="AT14" s="10">
        <v>165000</v>
      </c>
      <c r="AU14" s="3"/>
      <c r="AV14" s="3"/>
      <c r="AW14" s="10">
        <v>5000</v>
      </c>
      <c r="AX14" s="10">
        <v>11609</v>
      </c>
      <c r="AY14" s="10">
        <v>30000</v>
      </c>
      <c r="AZ14" s="1">
        <v>4599500.63</v>
      </c>
      <c r="BA14" s="1">
        <v>2299750</v>
      </c>
      <c r="BB14" s="19"/>
      <c r="BC14" s="15">
        <v>1694995</v>
      </c>
      <c r="BD14" s="15">
        <v>3389991</v>
      </c>
      <c r="BE14" s="20">
        <v>5946351</v>
      </c>
      <c r="BF14" s="20">
        <v>5932201</v>
      </c>
      <c r="BG14" s="20">
        <v>36579825</v>
      </c>
      <c r="BH14" s="20">
        <v>30926051</v>
      </c>
      <c r="BI14" s="19"/>
      <c r="BJ14" s="19"/>
      <c r="BK14" s="19"/>
      <c r="BL14" s="5">
        <v>496907638</v>
      </c>
      <c r="BM14" s="5">
        <v>392052534</v>
      </c>
      <c r="BN14" s="15">
        <v>1301217</v>
      </c>
      <c r="BO14" s="1"/>
      <c r="BP14" s="1"/>
      <c r="BQ14" s="5"/>
      <c r="BR14" s="5"/>
      <c r="BS14" s="5"/>
    </row>
    <row r="15" spans="1:71" x14ac:dyDescent="0.25">
      <c r="A15" s="6" t="s">
        <v>69</v>
      </c>
      <c r="B15" s="10">
        <v>408484798</v>
      </c>
      <c r="C15" s="10">
        <v>185828138</v>
      </c>
      <c r="D15" s="10">
        <v>57707449</v>
      </c>
      <c r="E15" s="10">
        <v>0</v>
      </c>
      <c r="F15" s="10">
        <v>36796540</v>
      </c>
      <c r="G15" s="10">
        <v>8964800</v>
      </c>
      <c r="H15" s="10">
        <v>14686600</v>
      </c>
      <c r="I15" s="10">
        <v>2084800</v>
      </c>
      <c r="J15" s="10">
        <v>62800</v>
      </c>
      <c r="K15" s="10">
        <v>0</v>
      </c>
      <c r="L15" s="10">
        <v>270718072</v>
      </c>
      <c r="M15" s="10">
        <v>91874120</v>
      </c>
      <c r="N15" s="10">
        <v>1766</v>
      </c>
      <c r="O15" s="10">
        <v>409</v>
      </c>
      <c r="P15" s="10">
        <v>14549410</v>
      </c>
      <c r="Q15" s="10">
        <v>5780500</v>
      </c>
      <c r="R15" s="10">
        <v>1557000</v>
      </c>
      <c r="S15" s="10">
        <v>1247800</v>
      </c>
      <c r="T15" s="10">
        <v>232500</v>
      </c>
      <c r="U15" s="10">
        <v>98000</v>
      </c>
      <c r="V15" s="10">
        <v>14547910</v>
      </c>
      <c r="W15" s="10">
        <v>5785850</v>
      </c>
      <c r="X15" s="10">
        <v>1557000</v>
      </c>
      <c r="Y15" s="10">
        <v>1247800</v>
      </c>
      <c r="Z15" s="10">
        <v>232500</v>
      </c>
      <c r="AA15" s="10">
        <v>98000</v>
      </c>
      <c r="AB15" s="10">
        <v>-2412675</v>
      </c>
      <c r="AC15" s="10">
        <v>-26560</v>
      </c>
      <c r="AD15" s="10">
        <v>142948</v>
      </c>
      <c r="AE15" s="10">
        <v>0</v>
      </c>
      <c r="AF15" s="10">
        <v>0</v>
      </c>
      <c r="AG15" s="10">
        <v>344391</v>
      </c>
      <c r="AH15" s="10">
        <v>48078</v>
      </c>
      <c r="AI15" s="10">
        <v>453555</v>
      </c>
      <c r="AJ15" s="3"/>
      <c r="AK15" s="10">
        <v>101717376</v>
      </c>
      <c r="AL15" s="10">
        <v>10246577</v>
      </c>
      <c r="AM15" s="10">
        <v>593468</v>
      </c>
      <c r="AN15" s="10">
        <v>19095775</v>
      </c>
      <c r="AO15" s="10">
        <v>26974</v>
      </c>
      <c r="AP15" s="10">
        <v>5614444</v>
      </c>
      <c r="AQ15" s="10">
        <v>12232884</v>
      </c>
      <c r="AR15" s="10">
        <v>9850976</v>
      </c>
      <c r="AS15" s="3"/>
      <c r="AT15" s="10">
        <v>714344</v>
      </c>
      <c r="AU15" s="3"/>
      <c r="AV15" s="10">
        <v>21378</v>
      </c>
      <c r="AW15" s="10">
        <v>839975</v>
      </c>
      <c r="AX15" s="10">
        <v>40</v>
      </c>
      <c r="AY15" s="10">
        <v>84695</v>
      </c>
      <c r="AZ15" s="1">
        <v>7410781.3799999999</v>
      </c>
      <c r="BA15" s="1">
        <v>3705391</v>
      </c>
      <c r="BB15" s="19">
        <v>12678773</v>
      </c>
      <c r="BC15" s="15">
        <v>1074160</v>
      </c>
      <c r="BD15" s="15">
        <v>2148321</v>
      </c>
      <c r="BE15" s="20">
        <v>15019796</v>
      </c>
      <c r="BF15" s="20">
        <v>15019796</v>
      </c>
      <c r="BG15" s="20">
        <v>48915302</v>
      </c>
      <c r="BH15" s="20">
        <v>46791609</v>
      </c>
      <c r="BI15" s="19"/>
      <c r="BJ15" s="19"/>
      <c r="BK15" s="19"/>
      <c r="BL15" s="5">
        <v>862432560</v>
      </c>
      <c r="BM15" s="5">
        <v>683877651</v>
      </c>
      <c r="BN15" s="15">
        <v>2279829</v>
      </c>
      <c r="BO15" s="1"/>
      <c r="BP15" s="1"/>
      <c r="BQ15" s="5"/>
      <c r="BR15" s="5"/>
      <c r="BS15" s="5"/>
    </row>
    <row r="16" spans="1:71" x14ac:dyDescent="0.25">
      <c r="A16" s="6" t="s">
        <v>70</v>
      </c>
      <c r="B16" s="10">
        <v>3169044938</v>
      </c>
      <c r="C16" s="10">
        <v>219729080</v>
      </c>
      <c r="D16" s="10">
        <v>629446661</v>
      </c>
      <c r="E16" s="10">
        <v>19000000</v>
      </c>
      <c r="F16" s="10">
        <v>111821352</v>
      </c>
      <c r="G16" s="10">
        <v>26713442</v>
      </c>
      <c r="H16" s="10">
        <v>11903444</v>
      </c>
      <c r="I16" s="10">
        <v>1915400</v>
      </c>
      <c r="J16" s="10">
        <v>188400</v>
      </c>
      <c r="K16" s="10">
        <v>0</v>
      </c>
      <c r="L16" s="10">
        <v>326239782</v>
      </c>
      <c r="M16" s="10">
        <v>145085914</v>
      </c>
      <c r="N16" s="10">
        <v>4034</v>
      </c>
      <c r="O16" s="10">
        <v>943</v>
      </c>
      <c r="P16" s="10">
        <v>100802927</v>
      </c>
      <c r="Q16" s="10">
        <v>7671217</v>
      </c>
      <c r="R16" s="10">
        <v>60429903</v>
      </c>
      <c r="S16" s="10">
        <v>5247498</v>
      </c>
      <c r="T16" s="10">
        <v>1057711</v>
      </c>
      <c r="U16" s="10">
        <v>1459536</v>
      </c>
      <c r="V16" s="10">
        <v>100802927</v>
      </c>
      <c r="W16" s="10">
        <v>5008730</v>
      </c>
      <c r="X16" s="10">
        <v>60429903</v>
      </c>
      <c r="Y16" s="10">
        <v>5247498</v>
      </c>
      <c r="Z16" s="10">
        <v>7410646</v>
      </c>
      <c r="AA16" s="10">
        <v>1459536</v>
      </c>
      <c r="AB16" s="10">
        <v>-7937594</v>
      </c>
      <c r="AC16" s="10">
        <v>-678297</v>
      </c>
      <c r="AD16" s="10">
        <v>26109</v>
      </c>
      <c r="AE16" s="10">
        <v>1158</v>
      </c>
      <c r="AF16" s="10">
        <v>26021730</v>
      </c>
      <c r="AG16" s="10">
        <v>90935</v>
      </c>
      <c r="AH16" s="3"/>
      <c r="AI16" s="10">
        <v>1574625</v>
      </c>
      <c r="AJ16" s="3"/>
      <c r="AK16" s="10">
        <v>430643151</v>
      </c>
      <c r="AL16" s="10">
        <v>15117043</v>
      </c>
      <c r="AM16" s="10">
        <v>1045720</v>
      </c>
      <c r="AN16" s="10">
        <v>110241133</v>
      </c>
      <c r="AO16" s="10">
        <v>1601920</v>
      </c>
      <c r="AP16" s="10">
        <v>108349315</v>
      </c>
      <c r="AQ16" s="10">
        <v>80132733</v>
      </c>
      <c r="AR16" s="10">
        <v>30479910</v>
      </c>
      <c r="AS16" s="10">
        <v>62930212</v>
      </c>
      <c r="AT16" s="10">
        <v>32951</v>
      </c>
      <c r="AU16" s="3"/>
      <c r="AV16" s="3"/>
      <c r="AW16" s="10">
        <v>38679622</v>
      </c>
      <c r="AX16" s="10">
        <v>2641644</v>
      </c>
      <c r="AY16" s="10">
        <v>376794</v>
      </c>
      <c r="AZ16" s="1">
        <v>31375192.41</v>
      </c>
      <c r="BA16" s="1">
        <v>15687596</v>
      </c>
      <c r="BB16" s="19"/>
      <c r="BC16" s="15">
        <v>1643259</v>
      </c>
      <c r="BD16" s="15">
        <v>3286518</v>
      </c>
      <c r="BE16" s="20">
        <v>23845915</v>
      </c>
      <c r="BF16" s="20">
        <v>23843613</v>
      </c>
      <c r="BG16" s="20">
        <v>78182695</v>
      </c>
      <c r="BH16" s="20">
        <v>74570567</v>
      </c>
      <c r="BI16" s="19">
        <v>162138875</v>
      </c>
      <c r="BJ16" s="19"/>
      <c r="BK16" s="19"/>
      <c r="BL16" s="5">
        <v>4935415194</v>
      </c>
      <c r="BM16" s="5">
        <v>4211771090</v>
      </c>
      <c r="BN16" s="15">
        <v>2715849</v>
      </c>
      <c r="BO16" s="1"/>
      <c r="BP16" s="1"/>
      <c r="BQ16" s="5"/>
      <c r="BR16" s="5"/>
      <c r="BS16" s="5"/>
    </row>
    <row r="17" spans="1:71" x14ac:dyDescent="0.25">
      <c r="A17" s="6" t="s">
        <v>71</v>
      </c>
      <c r="B17" s="10">
        <v>151748186</v>
      </c>
      <c r="C17" s="10">
        <v>98821900</v>
      </c>
      <c r="D17" s="10">
        <v>58372178</v>
      </c>
      <c r="E17" s="10">
        <v>0</v>
      </c>
      <c r="F17" s="10">
        <v>14958100</v>
      </c>
      <c r="G17" s="10">
        <v>6665900</v>
      </c>
      <c r="H17" s="10">
        <v>9865721</v>
      </c>
      <c r="I17" s="10">
        <v>2391350</v>
      </c>
      <c r="J17" s="10">
        <v>31400</v>
      </c>
      <c r="K17" s="10">
        <v>0</v>
      </c>
      <c r="L17" s="10">
        <v>178948686</v>
      </c>
      <c r="M17" s="10">
        <v>53238845</v>
      </c>
      <c r="N17" s="10">
        <v>934</v>
      </c>
      <c r="O17" s="10">
        <v>362</v>
      </c>
      <c r="P17" s="10">
        <v>1964660</v>
      </c>
      <c r="Q17" s="10">
        <v>1650360</v>
      </c>
      <c r="R17" s="10">
        <v>98594</v>
      </c>
      <c r="S17" s="10">
        <v>368540</v>
      </c>
      <c r="T17" s="10">
        <v>11500</v>
      </c>
      <c r="U17" s="10">
        <v>95576</v>
      </c>
      <c r="V17" s="10">
        <v>1964660</v>
      </c>
      <c r="W17" s="10">
        <v>1650360</v>
      </c>
      <c r="X17" s="10">
        <v>98594</v>
      </c>
      <c r="Y17" s="10">
        <v>368540</v>
      </c>
      <c r="Z17" s="10">
        <v>5000</v>
      </c>
      <c r="AA17" s="10">
        <v>95576</v>
      </c>
      <c r="AB17" s="10">
        <v>-3590780</v>
      </c>
      <c r="AC17" s="10">
        <v>-4262271</v>
      </c>
      <c r="AD17" s="10">
        <v>81407</v>
      </c>
      <c r="AE17" s="10">
        <v>4423360</v>
      </c>
      <c r="AF17" s="10">
        <v>26552460</v>
      </c>
      <c r="AG17" s="10">
        <v>39351</v>
      </c>
      <c r="AH17" s="10">
        <v>499445</v>
      </c>
      <c r="AI17" s="10">
        <v>1146224</v>
      </c>
      <c r="AJ17" s="3"/>
      <c r="AK17" s="10">
        <v>69498770</v>
      </c>
      <c r="AL17" s="10">
        <v>1520949</v>
      </c>
      <c r="AM17" s="3"/>
      <c r="AN17" s="10">
        <v>10523764</v>
      </c>
      <c r="AO17" s="10">
        <v>502010</v>
      </c>
      <c r="AP17" s="10">
        <v>31366890</v>
      </c>
      <c r="AQ17" s="10">
        <v>6741502</v>
      </c>
      <c r="AR17" s="10">
        <v>13492196</v>
      </c>
      <c r="AS17" s="3"/>
      <c r="AT17" s="10">
        <v>885192</v>
      </c>
      <c r="AU17" s="3"/>
      <c r="AV17" s="3"/>
      <c r="AW17" s="3"/>
      <c r="AX17" s="10">
        <v>1755</v>
      </c>
      <c r="AY17" s="10">
        <v>16000</v>
      </c>
      <c r="AZ17" s="1">
        <v>5063443.54</v>
      </c>
      <c r="BA17" s="1">
        <v>2531722</v>
      </c>
      <c r="BB17" s="19"/>
      <c r="BC17" s="15">
        <v>0</v>
      </c>
      <c r="BD17" s="15">
        <v>0</v>
      </c>
      <c r="BE17" s="20">
        <v>3866639</v>
      </c>
      <c r="BF17" s="20">
        <v>3866639</v>
      </c>
      <c r="BG17" s="20">
        <v>17630208</v>
      </c>
      <c r="BH17" s="20">
        <v>17630208</v>
      </c>
      <c r="BI17" s="19"/>
      <c r="BJ17" s="19"/>
      <c r="BK17" s="19"/>
      <c r="BL17" s="5">
        <v>423403497</v>
      </c>
      <c r="BM17" s="5">
        <v>328355209</v>
      </c>
      <c r="BN17" s="15">
        <v>1413600</v>
      </c>
      <c r="BO17" s="1"/>
      <c r="BP17" s="1"/>
      <c r="BQ17" s="5"/>
      <c r="BR17" s="5"/>
      <c r="BS17" s="5"/>
    </row>
    <row r="18" spans="1:71" x14ac:dyDescent="0.25">
      <c r="A18" s="6" t="s">
        <v>72</v>
      </c>
      <c r="B18" s="10">
        <v>185107544</v>
      </c>
      <c r="C18" s="10">
        <v>89423651</v>
      </c>
      <c r="D18" s="10">
        <v>58450314</v>
      </c>
      <c r="E18" s="10">
        <v>7329574</v>
      </c>
      <c r="F18" s="10">
        <v>30322326</v>
      </c>
      <c r="G18" s="10">
        <v>5818750</v>
      </c>
      <c r="H18" s="10">
        <v>7334545</v>
      </c>
      <c r="I18" s="10">
        <v>1283634</v>
      </c>
      <c r="J18" s="10">
        <v>49400</v>
      </c>
      <c r="K18" s="10">
        <v>24000</v>
      </c>
      <c r="L18" s="10">
        <v>132375353</v>
      </c>
      <c r="M18" s="10">
        <v>45221341</v>
      </c>
      <c r="N18" s="10">
        <v>1314</v>
      </c>
      <c r="O18" s="10">
        <v>269</v>
      </c>
      <c r="P18" s="10">
        <v>1542425</v>
      </c>
      <c r="Q18" s="10">
        <v>1085127</v>
      </c>
      <c r="R18" s="10">
        <v>217500</v>
      </c>
      <c r="S18" s="10">
        <v>733349</v>
      </c>
      <c r="T18" s="10">
        <v>76040</v>
      </c>
      <c r="U18" s="10">
        <v>54900</v>
      </c>
      <c r="V18" s="10">
        <v>1542425</v>
      </c>
      <c r="W18" s="10">
        <v>1080150</v>
      </c>
      <c r="X18" s="10">
        <v>217500</v>
      </c>
      <c r="Y18" s="10">
        <v>733349</v>
      </c>
      <c r="Z18" s="10">
        <v>84405</v>
      </c>
      <c r="AA18" s="10">
        <v>54900</v>
      </c>
      <c r="AB18" s="10">
        <v>-3672029</v>
      </c>
      <c r="AC18" s="10">
        <v>1478090</v>
      </c>
      <c r="AD18" s="10">
        <v>25592</v>
      </c>
      <c r="AE18" s="10">
        <v>955552</v>
      </c>
      <c r="AF18" s="10">
        <v>24862456</v>
      </c>
      <c r="AG18" s="10">
        <v>197500</v>
      </c>
      <c r="AH18" s="10">
        <v>32328</v>
      </c>
      <c r="AI18" s="10">
        <v>2227344</v>
      </c>
      <c r="AJ18" s="3"/>
      <c r="AK18" s="10">
        <v>71495658</v>
      </c>
      <c r="AL18" s="10">
        <v>1986433</v>
      </c>
      <c r="AM18" s="10">
        <v>35000</v>
      </c>
      <c r="AN18" s="10">
        <v>19021090</v>
      </c>
      <c r="AO18" s="10">
        <v>3278023</v>
      </c>
      <c r="AP18" s="10">
        <v>44141826</v>
      </c>
      <c r="AQ18" s="10">
        <v>22492887</v>
      </c>
      <c r="AR18" s="10">
        <v>23260257</v>
      </c>
      <c r="AS18" s="3"/>
      <c r="AT18" s="10">
        <v>459625</v>
      </c>
      <c r="AU18" s="3"/>
      <c r="AV18" s="10">
        <v>315535</v>
      </c>
      <c r="AW18" s="3"/>
      <c r="AX18" s="10">
        <v>129945</v>
      </c>
      <c r="AY18" s="10">
        <v>208000</v>
      </c>
      <c r="AZ18" s="1">
        <v>5208929.99</v>
      </c>
      <c r="BA18" s="1">
        <v>2604465</v>
      </c>
      <c r="BB18" s="19"/>
      <c r="BC18" s="15">
        <v>1206938</v>
      </c>
      <c r="BD18" s="15">
        <v>2413876</v>
      </c>
      <c r="BE18" s="20">
        <v>13283661</v>
      </c>
      <c r="BF18" s="20">
        <v>9873707</v>
      </c>
      <c r="BG18" s="20">
        <v>21680657</v>
      </c>
      <c r="BH18" s="20">
        <v>20083547</v>
      </c>
      <c r="BI18" s="19"/>
      <c r="BJ18" s="19">
        <v>5894725</v>
      </c>
      <c r="BK18" s="19"/>
      <c r="BL18" s="5">
        <v>493178654</v>
      </c>
      <c r="BM18" s="5">
        <v>380033181</v>
      </c>
      <c r="BN18" s="15">
        <v>327000</v>
      </c>
      <c r="BO18" s="1"/>
      <c r="BP18" s="1"/>
      <c r="BQ18" s="5"/>
      <c r="BR18" s="5"/>
      <c r="BS18" s="5"/>
    </row>
    <row r="19" spans="1:71" x14ac:dyDescent="0.25">
      <c r="A19" s="6" t="s">
        <v>73</v>
      </c>
      <c r="B19" s="10">
        <v>953426441</v>
      </c>
      <c r="C19" s="10">
        <v>175790179</v>
      </c>
      <c r="D19" s="10">
        <v>247403230</v>
      </c>
      <c r="E19" s="10">
        <v>0</v>
      </c>
      <c r="F19" s="10">
        <v>72867241</v>
      </c>
      <c r="G19" s="10">
        <v>9969100</v>
      </c>
      <c r="H19" s="10">
        <v>14769200</v>
      </c>
      <c r="I19" s="10">
        <v>1179300</v>
      </c>
      <c r="J19" s="10">
        <v>94200</v>
      </c>
      <c r="K19" s="10">
        <v>0</v>
      </c>
      <c r="L19" s="10">
        <v>259332034</v>
      </c>
      <c r="M19" s="10">
        <v>115076950</v>
      </c>
      <c r="N19" s="10">
        <v>2931</v>
      </c>
      <c r="O19" s="10">
        <v>394</v>
      </c>
      <c r="P19" s="10">
        <v>25761099</v>
      </c>
      <c r="Q19" s="10">
        <v>4382600</v>
      </c>
      <c r="R19" s="10">
        <v>1341000</v>
      </c>
      <c r="S19" s="10">
        <v>4966507</v>
      </c>
      <c r="T19" s="10">
        <v>404100</v>
      </c>
      <c r="U19" s="10">
        <v>966748</v>
      </c>
      <c r="V19" s="10">
        <v>25761099</v>
      </c>
      <c r="W19" s="10">
        <v>4761600</v>
      </c>
      <c r="X19" s="10">
        <v>1341000</v>
      </c>
      <c r="Y19" s="10">
        <v>4966507</v>
      </c>
      <c r="Z19" s="10">
        <v>1297900</v>
      </c>
      <c r="AA19" s="10">
        <v>966748</v>
      </c>
      <c r="AB19" s="10">
        <v>-3770750</v>
      </c>
      <c r="AC19" s="10">
        <v>-1191984</v>
      </c>
      <c r="AD19" s="10">
        <v>55282</v>
      </c>
      <c r="AE19" s="10">
        <v>4681</v>
      </c>
      <c r="AF19" s="10">
        <v>2340250</v>
      </c>
      <c r="AG19" s="10">
        <v>368347</v>
      </c>
      <c r="AH19" s="3"/>
      <c r="AI19" s="10">
        <v>52992</v>
      </c>
      <c r="AJ19" s="3"/>
      <c r="AK19" s="10">
        <v>188097031</v>
      </c>
      <c r="AL19" s="10">
        <v>8374685</v>
      </c>
      <c r="AM19" s="3"/>
      <c r="AN19" s="10">
        <v>57398579</v>
      </c>
      <c r="AO19" s="10">
        <v>2413457</v>
      </c>
      <c r="AP19" s="10">
        <v>116987951</v>
      </c>
      <c r="AQ19" s="10">
        <v>55430428</v>
      </c>
      <c r="AR19" s="10">
        <v>51279320</v>
      </c>
      <c r="AS19" s="10">
        <v>67404050</v>
      </c>
      <c r="AT19" s="10">
        <v>1578137</v>
      </c>
      <c r="AU19" s="3"/>
      <c r="AV19" s="3"/>
      <c r="AW19" s="10">
        <v>551636</v>
      </c>
      <c r="AX19" s="3"/>
      <c r="AY19" s="3"/>
      <c r="AZ19" s="1">
        <v>13704107.939999999</v>
      </c>
      <c r="BA19" s="1">
        <v>6852054</v>
      </c>
      <c r="BB19" s="19">
        <v>7210361</v>
      </c>
      <c r="BC19" s="15">
        <v>0</v>
      </c>
      <c r="BD19" s="15">
        <v>0</v>
      </c>
      <c r="BE19" s="20">
        <v>2985613</v>
      </c>
      <c r="BF19" s="20">
        <v>2985613</v>
      </c>
      <c r="BG19" s="20">
        <v>46257786</v>
      </c>
      <c r="BH19" s="20">
        <v>46179055</v>
      </c>
      <c r="BI19" s="19"/>
      <c r="BJ19" s="19">
        <v>12508785</v>
      </c>
      <c r="BK19" s="19"/>
      <c r="BL19" s="5">
        <v>1756912529</v>
      </c>
      <c r="BM19" s="5">
        <v>1491915306</v>
      </c>
      <c r="BN19" s="15">
        <v>2869500</v>
      </c>
      <c r="BO19" s="1"/>
      <c r="BP19" s="1"/>
      <c r="BQ19" s="5"/>
      <c r="BR19" s="5"/>
      <c r="BS19" s="5"/>
    </row>
    <row r="20" spans="1:71" x14ac:dyDescent="0.25">
      <c r="A20" s="6" t="s">
        <v>74</v>
      </c>
      <c r="B20" s="10">
        <v>3694052787</v>
      </c>
      <c r="C20" s="10">
        <v>155031581</v>
      </c>
      <c r="D20" s="10">
        <v>938644446</v>
      </c>
      <c r="E20" s="10">
        <v>0</v>
      </c>
      <c r="F20" s="10">
        <v>178520518</v>
      </c>
      <c r="G20" s="10">
        <v>13953347</v>
      </c>
      <c r="H20" s="10">
        <v>10817600</v>
      </c>
      <c r="I20" s="10">
        <v>596600</v>
      </c>
      <c r="J20" s="10">
        <v>563700</v>
      </c>
      <c r="K20" s="10">
        <v>125600</v>
      </c>
      <c r="L20" s="10">
        <v>139173172</v>
      </c>
      <c r="M20" s="10">
        <v>294204753</v>
      </c>
      <c r="N20" s="10">
        <v>6096</v>
      </c>
      <c r="O20" s="10">
        <v>482</v>
      </c>
      <c r="P20" s="10">
        <v>138316118</v>
      </c>
      <c r="Q20" s="10">
        <v>3714800</v>
      </c>
      <c r="R20" s="10">
        <v>33873832</v>
      </c>
      <c r="S20" s="10">
        <v>9316760</v>
      </c>
      <c r="T20" s="10">
        <v>2099650</v>
      </c>
      <c r="U20" s="10">
        <v>6027698</v>
      </c>
      <c r="V20" s="10">
        <v>138316118</v>
      </c>
      <c r="W20" s="10">
        <v>3714800</v>
      </c>
      <c r="X20" s="10">
        <v>33873832</v>
      </c>
      <c r="Y20" s="10">
        <v>9316760</v>
      </c>
      <c r="Z20" s="10">
        <v>2099650</v>
      </c>
      <c r="AA20" s="10">
        <v>6027698</v>
      </c>
      <c r="AB20" s="10">
        <v>-9078944</v>
      </c>
      <c r="AC20" s="10">
        <v>-501148</v>
      </c>
      <c r="AD20" s="10">
        <v>0</v>
      </c>
      <c r="AE20" s="10">
        <v>0</v>
      </c>
      <c r="AF20" s="10">
        <v>0</v>
      </c>
      <c r="AG20" s="10">
        <v>0</v>
      </c>
      <c r="AH20" s="3"/>
      <c r="AI20" s="3"/>
      <c r="AJ20" s="3"/>
      <c r="AK20" s="10">
        <v>475032112</v>
      </c>
      <c r="AL20" s="10">
        <v>8919723</v>
      </c>
      <c r="AM20" s="10">
        <v>1144459</v>
      </c>
      <c r="AN20" s="10">
        <v>148241525</v>
      </c>
      <c r="AO20" s="10">
        <v>5550758</v>
      </c>
      <c r="AP20" s="10">
        <v>168226059</v>
      </c>
      <c r="AQ20" s="10">
        <v>90128931</v>
      </c>
      <c r="AR20" s="10">
        <v>56579267</v>
      </c>
      <c r="AS20" s="10">
        <v>21108191</v>
      </c>
      <c r="AT20" s="10">
        <v>1239083</v>
      </c>
      <c r="AU20" s="3"/>
      <c r="AV20" s="3"/>
      <c r="AW20" s="10">
        <v>116091</v>
      </c>
      <c r="AX20" s="10">
        <v>5817</v>
      </c>
      <c r="AY20" s="3"/>
      <c r="AZ20" s="1">
        <v>34609220.840000004</v>
      </c>
      <c r="BA20" s="1">
        <v>17304610</v>
      </c>
      <c r="BB20" s="19">
        <v>13266630</v>
      </c>
      <c r="BC20" s="15">
        <v>1280744</v>
      </c>
      <c r="BD20" s="15">
        <v>2561487</v>
      </c>
      <c r="BE20" s="20">
        <v>58458794</v>
      </c>
      <c r="BF20" s="20">
        <v>58458794</v>
      </c>
      <c r="BG20" s="20">
        <v>113604577</v>
      </c>
      <c r="BH20" s="20">
        <v>107788044</v>
      </c>
      <c r="BI20" s="19"/>
      <c r="BJ20" s="19"/>
      <c r="BK20" s="19"/>
      <c r="BL20" s="5">
        <v>5700434055</v>
      </c>
      <c r="BM20" s="5">
        <v>5031650028</v>
      </c>
      <c r="BN20" s="15">
        <v>5196747</v>
      </c>
      <c r="BO20" s="1"/>
      <c r="BP20" s="1"/>
      <c r="BQ20" s="5"/>
      <c r="BR20" s="5"/>
      <c r="BS20" s="5"/>
    </row>
    <row r="21" spans="1:71" x14ac:dyDescent="0.25">
      <c r="A21" s="6" t="s">
        <v>75</v>
      </c>
      <c r="B21" s="10">
        <v>63513799</v>
      </c>
      <c r="C21" s="10">
        <v>50143594</v>
      </c>
      <c r="D21" s="10">
        <v>13465435</v>
      </c>
      <c r="E21" s="10">
        <v>0</v>
      </c>
      <c r="F21" s="10">
        <v>10817415</v>
      </c>
      <c r="G21" s="10">
        <v>2972900</v>
      </c>
      <c r="H21" s="10">
        <v>4756360</v>
      </c>
      <c r="I21" s="10">
        <v>594125</v>
      </c>
      <c r="J21" s="10">
        <v>0</v>
      </c>
      <c r="K21" s="10">
        <v>0</v>
      </c>
      <c r="L21" s="10">
        <v>59708603</v>
      </c>
      <c r="M21" s="10">
        <v>24330437</v>
      </c>
      <c r="N21" s="10">
        <v>661</v>
      </c>
      <c r="O21" s="10">
        <v>148</v>
      </c>
      <c r="P21" s="10">
        <v>862000</v>
      </c>
      <c r="Q21" s="10">
        <v>1080000</v>
      </c>
      <c r="R21" s="10">
        <v>0</v>
      </c>
      <c r="S21" s="10">
        <v>296800</v>
      </c>
      <c r="T21" s="10">
        <v>1346988</v>
      </c>
      <c r="U21" s="10">
        <v>2100</v>
      </c>
      <c r="V21" s="10">
        <v>862000</v>
      </c>
      <c r="W21" s="10">
        <v>1080000</v>
      </c>
      <c r="X21" s="10">
        <v>0</v>
      </c>
      <c r="Y21" s="10">
        <v>296800</v>
      </c>
      <c r="Z21" s="10">
        <v>1346988</v>
      </c>
      <c r="AA21" s="10">
        <v>2100</v>
      </c>
      <c r="AB21" s="10">
        <v>-715825</v>
      </c>
      <c r="AC21" s="10">
        <v>-621791</v>
      </c>
      <c r="AD21" s="10">
        <v>28159</v>
      </c>
      <c r="AE21" s="10">
        <v>69661</v>
      </c>
      <c r="AF21" s="10">
        <v>11404623</v>
      </c>
      <c r="AG21" s="10">
        <v>109613</v>
      </c>
      <c r="AH21" s="3"/>
      <c r="AI21" s="10">
        <v>89461</v>
      </c>
      <c r="AJ21" s="3"/>
      <c r="AK21" s="10">
        <v>36154797</v>
      </c>
      <c r="AL21" s="10">
        <v>753180</v>
      </c>
      <c r="AM21" s="3"/>
      <c r="AN21" s="10">
        <v>4533767</v>
      </c>
      <c r="AO21" s="10">
        <v>3092</v>
      </c>
      <c r="AP21" s="10">
        <v>430925</v>
      </c>
      <c r="AQ21" s="10">
        <v>3427232</v>
      </c>
      <c r="AR21" s="10">
        <v>239127</v>
      </c>
      <c r="AS21" s="3"/>
      <c r="AT21" s="10">
        <v>369944</v>
      </c>
      <c r="AU21" s="3"/>
      <c r="AV21" s="3"/>
      <c r="AW21" s="10" t="s">
        <v>195</v>
      </c>
      <c r="AX21" s="10" t="s">
        <v>195</v>
      </c>
      <c r="AY21" s="10">
        <v>28000</v>
      </c>
      <c r="AZ21" s="1">
        <v>2634115.2999999998</v>
      </c>
      <c r="BA21" s="1">
        <v>1317058</v>
      </c>
      <c r="BB21" s="19">
        <v>4907768</v>
      </c>
      <c r="BC21" s="15">
        <v>445004</v>
      </c>
      <c r="BD21" s="15">
        <v>890008</v>
      </c>
      <c r="BE21" s="20">
        <v>9307908</v>
      </c>
      <c r="BF21" s="20">
        <v>9307908</v>
      </c>
      <c r="BG21" s="20">
        <v>15625278</v>
      </c>
      <c r="BH21" s="20">
        <v>13064068</v>
      </c>
      <c r="BI21" s="19"/>
      <c r="BJ21" s="19"/>
      <c r="BK21" s="19"/>
      <c r="BL21" s="5">
        <v>196218395</v>
      </c>
      <c r="BM21" s="5">
        <v>135176380</v>
      </c>
      <c r="BN21" s="15">
        <v>277450</v>
      </c>
      <c r="BO21" s="1"/>
      <c r="BP21" s="1"/>
      <c r="BQ21" s="5"/>
      <c r="BR21" s="5"/>
      <c r="BS21" s="5"/>
    </row>
    <row r="22" spans="1:71" x14ac:dyDescent="0.25">
      <c r="A22" s="6" t="s">
        <v>76</v>
      </c>
      <c r="B22" s="10">
        <v>220037940</v>
      </c>
      <c r="C22" s="10">
        <v>55637450</v>
      </c>
      <c r="D22" s="10">
        <v>171997640</v>
      </c>
      <c r="E22" s="10">
        <v>572849096</v>
      </c>
      <c r="F22" s="10">
        <v>16875700</v>
      </c>
      <c r="G22" s="10">
        <v>3006200</v>
      </c>
      <c r="H22" s="10">
        <v>3404700</v>
      </c>
      <c r="I22" s="10">
        <v>439600</v>
      </c>
      <c r="J22" s="10">
        <v>77300</v>
      </c>
      <c r="K22" s="10">
        <v>0</v>
      </c>
      <c r="L22" s="10">
        <v>115344090</v>
      </c>
      <c r="M22" s="10">
        <v>37835000</v>
      </c>
      <c r="N22" s="10">
        <v>675</v>
      </c>
      <c r="O22" s="10">
        <v>123</v>
      </c>
      <c r="P22" s="10">
        <v>4616100</v>
      </c>
      <c r="Q22" s="10">
        <v>1330900</v>
      </c>
      <c r="R22" s="10">
        <v>3149700</v>
      </c>
      <c r="S22" s="10">
        <v>1428350</v>
      </c>
      <c r="T22" s="10">
        <v>67900</v>
      </c>
      <c r="U22" s="10">
        <v>2632300</v>
      </c>
      <c r="V22" s="10">
        <v>4616100</v>
      </c>
      <c r="W22" s="10">
        <v>1330900</v>
      </c>
      <c r="X22" s="10">
        <v>3149700</v>
      </c>
      <c r="Y22" s="10">
        <v>1428350</v>
      </c>
      <c r="Z22" s="10">
        <v>25500</v>
      </c>
      <c r="AA22" s="10">
        <v>2632300</v>
      </c>
      <c r="AB22" s="10">
        <v>-1161700</v>
      </c>
      <c r="AC22" s="10">
        <v>-4131518</v>
      </c>
      <c r="AD22" s="10">
        <v>22799</v>
      </c>
      <c r="AE22" s="10">
        <v>0</v>
      </c>
      <c r="AF22" s="10">
        <v>0</v>
      </c>
      <c r="AG22" s="10">
        <v>67671</v>
      </c>
      <c r="AH22" s="3"/>
      <c r="AI22" s="10">
        <v>924273</v>
      </c>
      <c r="AJ22" s="3"/>
      <c r="AK22" s="10">
        <v>58415419</v>
      </c>
      <c r="AL22" s="10">
        <v>1676981</v>
      </c>
      <c r="AM22" s="10">
        <v>11700</v>
      </c>
      <c r="AN22" s="10">
        <v>33786709</v>
      </c>
      <c r="AO22" s="10">
        <v>61253869</v>
      </c>
      <c r="AP22" s="10">
        <v>227787031</v>
      </c>
      <c r="AQ22" s="10">
        <v>41399280</v>
      </c>
      <c r="AR22" s="10">
        <v>398465919</v>
      </c>
      <c r="AS22" s="10">
        <v>97945920</v>
      </c>
      <c r="AT22" s="3"/>
      <c r="AU22" s="3"/>
      <c r="AV22" s="3"/>
      <c r="AW22" s="3"/>
      <c r="AX22" s="3"/>
      <c r="AY22" s="10">
        <v>500</v>
      </c>
      <c r="AZ22" s="1">
        <v>4255948.3600000003</v>
      </c>
      <c r="BA22" s="1">
        <v>2127974</v>
      </c>
      <c r="BB22" s="19">
        <v>9812367</v>
      </c>
      <c r="BC22" s="15">
        <v>1153393</v>
      </c>
      <c r="BD22" s="15">
        <v>2306786</v>
      </c>
      <c r="BE22" s="20">
        <v>47068681</v>
      </c>
      <c r="BF22" s="20">
        <v>47068681</v>
      </c>
      <c r="BG22" s="20">
        <v>43655209</v>
      </c>
      <c r="BH22" s="20">
        <v>41827836</v>
      </c>
      <c r="BI22" s="19"/>
      <c r="BJ22" s="19"/>
      <c r="BK22" s="19"/>
      <c r="BL22" s="5">
        <v>737307445</v>
      </c>
      <c r="BM22" s="5">
        <v>585037161</v>
      </c>
      <c r="BN22" s="15">
        <v>774018</v>
      </c>
      <c r="BO22" s="1"/>
      <c r="BP22" s="1"/>
      <c r="BQ22" s="5"/>
      <c r="BR22" s="5"/>
      <c r="BS22" s="5"/>
    </row>
    <row r="23" spans="1:71" x14ac:dyDescent="0.25">
      <c r="A23" s="6" t="s">
        <v>77</v>
      </c>
      <c r="B23" s="10">
        <v>338701271</v>
      </c>
      <c r="C23" s="10">
        <v>119875361</v>
      </c>
      <c r="D23" s="10">
        <v>131248161</v>
      </c>
      <c r="E23" s="10">
        <v>0</v>
      </c>
      <c r="F23" s="10">
        <v>37030770</v>
      </c>
      <c r="G23" s="10">
        <v>19884400</v>
      </c>
      <c r="H23" s="10">
        <v>17591200</v>
      </c>
      <c r="I23" s="10">
        <v>5589250</v>
      </c>
      <c r="J23" s="10">
        <v>94200</v>
      </c>
      <c r="K23" s="10">
        <v>61400</v>
      </c>
      <c r="L23" s="10">
        <v>51684187</v>
      </c>
      <c r="M23" s="10">
        <v>15443700</v>
      </c>
      <c r="N23" s="10">
        <v>2078</v>
      </c>
      <c r="O23" s="10">
        <v>1033</v>
      </c>
      <c r="P23" s="10">
        <v>8166900</v>
      </c>
      <c r="Q23" s="10">
        <v>1650000</v>
      </c>
      <c r="R23" s="10">
        <v>668000</v>
      </c>
      <c r="S23" s="10">
        <v>61500</v>
      </c>
      <c r="T23" s="10">
        <v>99500</v>
      </c>
      <c r="U23" s="10">
        <v>166000</v>
      </c>
      <c r="V23" s="10">
        <v>8166900</v>
      </c>
      <c r="W23" s="10">
        <v>1650000</v>
      </c>
      <c r="X23" s="10">
        <v>668000</v>
      </c>
      <c r="Y23" s="10">
        <v>61500</v>
      </c>
      <c r="Z23" s="10">
        <v>100700</v>
      </c>
      <c r="AA23" s="10">
        <v>166000</v>
      </c>
      <c r="AB23" s="10">
        <v>-10675200</v>
      </c>
      <c r="AC23" s="10">
        <v>-533472</v>
      </c>
      <c r="AD23" s="10">
        <v>144793</v>
      </c>
      <c r="AE23" s="10">
        <v>0</v>
      </c>
      <c r="AF23" s="10">
        <v>0</v>
      </c>
      <c r="AG23" s="10">
        <v>222227</v>
      </c>
      <c r="AH23" s="3"/>
      <c r="AI23" s="10">
        <v>1470101</v>
      </c>
      <c r="AJ23" s="10">
        <v>56000</v>
      </c>
      <c r="AK23" s="10">
        <v>148566849</v>
      </c>
      <c r="AL23" s="10">
        <v>3859102</v>
      </c>
      <c r="AM23" s="10">
        <v>246572</v>
      </c>
      <c r="AN23" s="10">
        <v>18978575</v>
      </c>
      <c r="AO23" s="10">
        <v>855777</v>
      </c>
      <c r="AP23" s="10">
        <v>17479978</v>
      </c>
      <c r="AQ23" s="10">
        <v>27407175</v>
      </c>
      <c r="AR23" s="10">
        <v>11036298</v>
      </c>
      <c r="AS23" s="3"/>
      <c r="AT23" s="10">
        <v>938888</v>
      </c>
      <c r="AU23" s="3"/>
      <c r="AV23" s="3"/>
      <c r="AW23" s="3"/>
      <c r="AX23" s="3"/>
      <c r="AY23" s="10">
        <v>5000</v>
      </c>
      <c r="AZ23" s="1">
        <v>10824074.32</v>
      </c>
      <c r="BA23" s="1">
        <v>5412037</v>
      </c>
      <c r="BB23" s="19"/>
      <c r="BC23" s="15">
        <v>0</v>
      </c>
      <c r="BD23" s="15">
        <v>0</v>
      </c>
      <c r="BE23" s="20">
        <v>12151610</v>
      </c>
      <c r="BF23" s="20">
        <v>12151610</v>
      </c>
      <c r="BG23" s="20">
        <v>39810274</v>
      </c>
      <c r="BH23" s="20">
        <v>39810274</v>
      </c>
      <c r="BI23" s="19"/>
      <c r="BJ23" s="19"/>
      <c r="BK23" s="19"/>
      <c r="BL23" s="5">
        <v>848392293</v>
      </c>
      <c r="BM23" s="5">
        <v>638592421</v>
      </c>
      <c r="BN23" s="15">
        <v>14731600</v>
      </c>
      <c r="BO23" s="1"/>
      <c r="BP23" s="1"/>
      <c r="BQ23" s="5"/>
      <c r="BR23" s="5"/>
      <c r="BS23" s="5"/>
    </row>
    <row r="24" spans="1:71" x14ac:dyDescent="0.25">
      <c r="A24" s="6" t="s">
        <v>78</v>
      </c>
      <c r="B24" s="10">
        <v>180871577</v>
      </c>
      <c r="C24" s="10">
        <v>143682485</v>
      </c>
      <c r="D24" s="10">
        <v>52489850</v>
      </c>
      <c r="E24" s="10">
        <v>0</v>
      </c>
      <c r="F24" s="10">
        <v>28685900</v>
      </c>
      <c r="G24" s="10">
        <v>10465300</v>
      </c>
      <c r="H24" s="10">
        <v>17681200</v>
      </c>
      <c r="I24" s="10">
        <v>2918200</v>
      </c>
      <c r="J24" s="10">
        <v>0</v>
      </c>
      <c r="K24" s="10">
        <v>0</v>
      </c>
      <c r="L24" s="10">
        <v>200327280</v>
      </c>
      <c r="M24" s="10">
        <v>78492893</v>
      </c>
      <c r="N24" s="10">
        <v>1475</v>
      </c>
      <c r="O24" s="10">
        <v>425</v>
      </c>
      <c r="P24" s="10">
        <v>3087500</v>
      </c>
      <c r="Q24" s="10">
        <v>2116000</v>
      </c>
      <c r="R24" s="10">
        <v>1300000</v>
      </c>
      <c r="S24" s="10">
        <v>323000</v>
      </c>
      <c r="T24" s="10">
        <v>16000</v>
      </c>
      <c r="U24" s="10">
        <v>93000</v>
      </c>
      <c r="V24" s="10">
        <v>3087500</v>
      </c>
      <c r="W24" s="10">
        <v>2248000</v>
      </c>
      <c r="X24" s="10">
        <v>1300000</v>
      </c>
      <c r="Y24" s="10">
        <v>323000</v>
      </c>
      <c r="Z24" s="10">
        <v>16000</v>
      </c>
      <c r="AA24" s="10">
        <v>93000</v>
      </c>
      <c r="AB24" s="10">
        <v>-1374500</v>
      </c>
      <c r="AC24" s="10">
        <v>-117163</v>
      </c>
      <c r="AD24" s="10">
        <v>147333</v>
      </c>
      <c r="AE24" s="10">
        <v>0</v>
      </c>
      <c r="AF24" s="10">
        <v>0</v>
      </c>
      <c r="AG24" s="10">
        <v>261014</v>
      </c>
      <c r="AH24" s="10">
        <v>12719</v>
      </c>
      <c r="AI24" s="10">
        <v>109719</v>
      </c>
      <c r="AJ24" s="3"/>
      <c r="AK24" s="10">
        <v>74733306</v>
      </c>
      <c r="AL24" s="10">
        <v>1638679</v>
      </c>
      <c r="AM24" s="3"/>
      <c r="AN24" s="10">
        <v>8547662</v>
      </c>
      <c r="AO24" s="10">
        <v>35834</v>
      </c>
      <c r="AP24" s="10">
        <v>13668483</v>
      </c>
      <c r="AQ24" s="10">
        <v>11215415</v>
      </c>
      <c r="AR24" s="10">
        <v>9084056</v>
      </c>
      <c r="AS24" s="3"/>
      <c r="AT24" s="3"/>
      <c r="AU24" s="3"/>
      <c r="AV24" s="3"/>
      <c r="AW24" s="3"/>
      <c r="AX24" s="3"/>
      <c r="AY24" s="3"/>
      <c r="AZ24" s="1">
        <v>5444813.9900000002</v>
      </c>
      <c r="BA24" s="1">
        <v>2722407</v>
      </c>
      <c r="BB24" s="19"/>
      <c r="BC24" s="15">
        <v>0</v>
      </c>
      <c r="BD24" s="15">
        <v>0</v>
      </c>
      <c r="BE24" s="20">
        <v>13065206</v>
      </c>
      <c r="BF24" s="20">
        <v>13065206</v>
      </c>
      <c r="BG24" s="20">
        <v>34244025</v>
      </c>
      <c r="BH24" s="20">
        <v>34244025</v>
      </c>
      <c r="BI24" s="19"/>
      <c r="BJ24" s="19"/>
      <c r="BK24" s="19"/>
      <c r="BL24" s="5">
        <v>523368884</v>
      </c>
      <c r="BM24" s="5">
        <v>396965261</v>
      </c>
      <c r="BN24" s="15">
        <v>656000</v>
      </c>
      <c r="BO24" s="1"/>
      <c r="BP24" s="1"/>
      <c r="BQ24" s="5"/>
      <c r="BR24" s="5"/>
      <c r="BS24" s="5"/>
    </row>
    <row r="25" spans="1:71" x14ac:dyDescent="0.25">
      <c r="A25" s="6" t="s">
        <v>79</v>
      </c>
      <c r="B25" s="10">
        <v>1282449107</v>
      </c>
      <c r="C25" s="10">
        <v>239361711</v>
      </c>
      <c r="D25" s="10">
        <v>567650408</v>
      </c>
      <c r="E25" s="10">
        <v>25882144</v>
      </c>
      <c r="F25" s="10">
        <v>86452167</v>
      </c>
      <c r="G25" s="10">
        <v>12597545</v>
      </c>
      <c r="H25" s="10">
        <v>13787227</v>
      </c>
      <c r="I25" s="10">
        <v>1235907</v>
      </c>
      <c r="J25" s="10">
        <v>94200</v>
      </c>
      <c r="K25" s="10">
        <v>0</v>
      </c>
      <c r="L25" s="10">
        <v>560224062</v>
      </c>
      <c r="M25" s="10">
        <v>128362208</v>
      </c>
      <c r="N25" s="10">
        <v>3402</v>
      </c>
      <c r="O25" s="10">
        <v>480</v>
      </c>
      <c r="P25" s="10">
        <v>43952982</v>
      </c>
      <c r="Q25" s="10">
        <v>5648522</v>
      </c>
      <c r="R25" s="10">
        <v>15570959</v>
      </c>
      <c r="S25" s="10">
        <v>7971251</v>
      </c>
      <c r="T25" s="10">
        <v>2419453</v>
      </c>
      <c r="U25" s="10">
        <v>9957247</v>
      </c>
      <c r="V25" s="10">
        <v>43952982</v>
      </c>
      <c r="W25" s="10">
        <v>6211231</v>
      </c>
      <c r="X25" s="10">
        <v>15570959</v>
      </c>
      <c r="Y25" s="10">
        <v>7971251</v>
      </c>
      <c r="Z25" s="10">
        <v>3539479</v>
      </c>
      <c r="AA25" s="10">
        <v>9957247</v>
      </c>
      <c r="AB25" s="10">
        <v>-6636487</v>
      </c>
      <c r="AC25" s="10">
        <v>-2823137</v>
      </c>
      <c r="AD25" s="10">
        <v>49456</v>
      </c>
      <c r="AE25" s="10">
        <v>5704</v>
      </c>
      <c r="AF25" s="10">
        <v>135709118</v>
      </c>
      <c r="AG25" s="10">
        <v>407516</v>
      </c>
      <c r="AH25" s="10">
        <v>1875961</v>
      </c>
      <c r="AI25" s="10">
        <v>1382244</v>
      </c>
      <c r="AJ25" s="3"/>
      <c r="AK25" s="10">
        <v>305037831</v>
      </c>
      <c r="AL25" s="10">
        <v>7099644</v>
      </c>
      <c r="AM25" s="10">
        <v>20000</v>
      </c>
      <c r="AN25" s="10">
        <v>130196034</v>
      </c>
      <c r="AO25" s="10">
        <v>10498543</v>
      </c>
      <c r="AP25" s="10">
        <v>430273136</v>
      </c>
      <c r="AQ25" s="10">
        <v>136435631</v>
      </c>
      <c r="AR25" s="10">
        <v>128621368</v>
      </c>
      <c r="AS25" s="10">
        <v>36630893</v>
      </c>
      <c r="AT25" s="10">
        <v>3141360</v>
      </c>
      <c r="AU25" s="10">
        <v>354594</v>
      </c>
      <c r="AV25" s="3"/>
      <c r="AW25" s="10">
        <v>119645086</v>
      </c>
      <c r="AX25" s="10">
        <v>1699910</v>
      </c>
      <c r="AY25" s="10">
        <v>987515</v>
      </c>
      <c r="AZ25" s="1">
        <v>22224016.84</v>
      </c>
      <c r="BA25" s="1">
        <v>11112008</v>
      </c>
      <c r="BB25" s="19"/>
      <c r="BC25" s="15">
        <v>1218515</v>
      </c>
      <c r="BD25" s="15">
        <v>2437031</v>
      </c>
      <c r="BE25" s="20">
        <v>17057850</v>
      </c>
      <c r="BF25" s="20">
        <v>17057850</v>
      </c>
      <c r="BG25" s="20">
        <v>67045466</v>
      </c>
      <c r="BH25" s="20">
        <v>61529602</v>
      </c>
      <c r="BI25" s="19"/>
      <c r="BJ25" s="19">
        <v>12412071</v>
      </c>
      <c r="BK25" s="19"/>
      <c r="BL25" s="5">
        <v>2785317160</v>
      </c>
      <c r="BM25" s="5">
        <v>2369849639</v>
      </c>
      <c r="BN25" s="15">
        <v>4727463</v>
      </c>
      <c r="BO25" s="1"/>
      <c r="BP25" s="1"/>
      <c r="BQ25" s="5"/>
      <c r="BR25" s="5"/>
      <c r="BS25" s="5"/>
    </row>
    <row r="26" spans="1:71" x14ac:dyDescent="0.25">
      <c r="A26" s="6" t="s">
        <v>80</v>
      </c>
      <c r="B26" s="10">
        <v>1276257715</v>
      </c>
      <c r="C26" s="10">
        <v>227154585</v>
      </c>
      <c r="D26" s="10">
        <v>419273600</v>
      </c>
      <c r="E26" s="10">
        <v>0</v>
      </c>
      <c r="F26" s="10">
        <v>64572600</v>
      </c>
      <c r="G26" s="10">
        <v>11201300</v>
      </c>
      <c r="H26" s="10">
        <v>10203000</v>
      </c>
      <c r="I26" s="10">
        <v>1783700</v>
      </c>
      <c r="J26" s="10">
        <v>62800</v>
      </c>
      <c r="K26" s="10">
        <v>31400</v>
      </c>
      <c r="L26" s="10">
        <v>377725394</v>
      </c>
      <c r="M26" s="10">
        <v>0</v>
      </c>
      <c r="N26" s="10">
        <v>2459</v>
      </c>
      <c r="O26" s="10">
        <v>438</v>
      </c>
      <c r="P26" s="10">
        <v>15539958</v>
      </c>
      <c r="Q26" s="10">
        <v>1679800</v>
      </c>
      <c r="R26" s="10">
        <v>1598500</v>
      </c>
      <c r="S26" s="10">
        <v>6169463</v>
      </c>
      <c r="T26" s="10">
        <v>1231200</v>
      </c>
      <c r="U26" s="10">
        <v>1316500</v>
      </c>
      <c r="V26" s="10">
        <v>15539958</v>
      </c>
      <c r="W26" s="10">
        <v>1308500</v>
      </c>
      <c r="X26" s="10">
        <v>1598500</v>
      </c>
      <c r="Y26" s="10">
        <v>6169463</v>
      </c>
      <c r="Z26" s="10">
        <v>768000</v>
      </c>
      <c r="AA26" s="10">
        <v>1316500</v>
      </c>
      <c r="AB26" s="10">
        <v>-7276200</v>
      </c>
      <c r="AC26" s="10">
        <v>103629</v>
      </c>
      <c r="AD26" s="10">
        <v>0</v>
      </c>
      <c r="AE26" s="10">
        <v>0</v>
      </c>
      <c r="AF26" s="10">
        <v>0</v>
      </c>
      <c r="AG26" s="10">
        <v>83480</v>
      </c>
      <c r="AH26" s="3"/>
      <c r="AI26" s="3"/>
      <c r="AJ26" s="3"/>
      <c r="AK26" s="10">
        <v>223662847</v>
      </c>
      <c r="AL26" s="10">
        <v>4323269</v>
      </c>
      <c r="AM26" s="10">
        <v>223800</v>
      </c>
      <c r="AN26" s="10">
        <v>65588937</v>
      </c>
      <c r="AO26" s="10">
        <v>10216138</v>
      </c>
      <c r="AP26" s="10">
        <v>295115177</v>
      </c>
      <c r="AQ26" s="10">
        <v>95606581</v>
      </c>
      <c r="AR26" s="10">
        <v>115924649</v>
      </c>
      <c r="AS26" s="10">
        <v>59242626</v>
      </c>
      <c r="AT26" s="10">
        <v>780072</v>
      </c>
      <c r="AU26" s="3"/>
      <c r="AV26" s="3"/>
      <c r="AW26" s="10">
        <v>3721490</v>
      </c>
      <c r="AX26" s="3"/>
      <c r="AY26" s="10">
        <v>20000</v>
      </c>
      <c r="AZ26" s="1">
        <v>16295312.82</v>
      </c>
      <c r="BA26" s="1">
        <v>8147656</v>
      </c>
      <c r="BB26" s="19"/>
      <c r="BC26" s="15">
        <v>1574157</v>
      </c>
      <c r="BD26" s="15">
        <v>3148314</v>
      </c>
      <c r="BE26" s="20">
        <v>58419659</v>
      </c>
      <c r="BF26" s="20">
        <v>58214060</v>
      </c>
      <c r="BG26" s="20">
        <v>104234129</v>
      </c>
      <c r="BH26" s="20">
        <v>100035959</v>
      </c>
      <c r="BI26" s="19"/>
      <c r="BJ26" s="19"/>
      <c r="BK26" s="19"/>
      <c r="BL26" s="5">
        <v>2490055504</v>
      </c>
      <c r="BM26" s="5">
        <v>2094097556</v>
      </c>
      <c r="BN26" s="15">
        <v>1879300</v>
      </c>
      <c r="BO26" s="1"/>
      <c r="BP26" s="1"/>
      <c r="BQ26" s="5"/>
      <c r="BR26" s="5"/>
      <c r="BS26" s="5"/>
    </row>
    <row r="27" spans="1:71" x14ac:dyDescent="0.25">
      <c r="A27" s="6" t="s">
        <v>81</v>
      </c>
      <c r="B27" s="10">
        <v>181219250</v>
      </c>
      <c r="C27" s="10">
        <v>63741400</v>
      </c>
      <c r="D27" s="10">
        <v>63184500</v>
      </c>
      <c r="E27" s="10">
        <v>0</v>
      </c>
      <c r="F27" s="10">
        <v>28089700</v>
      </c>
      <c r="G27" s="10">
        <v>24012900</v>
      </c>
      <c r="H27" s="10">
        <v>11595600</v>
      </c>
      <c r="I27" s="10">
        <v>4423800</v>
      </c>
      <c r="J27" s="10">
        <v>0</v>
      </c>
      <c r="K27" s="10">
        <v>0</v>
      </c>
      <c r="L27" s="10">
        <v>63045600</v>
      </c>
      <c r="M27" s="10">
        <v>42896200</v>
      </c>
      <c r="N27" s="10">
        <v>1482</v>
      </c>
      <c r="O27" s="10">
        <v>1108</v>
      </c>
      <c r="P27" s="10">
        <v>5776800</v>
      </c>
      <c r="Q27" s="10">
        <v>466900</v>
      </c>
      <c r="R27" s="10">
        <v>654000</v>
      </c>
      <c r="S27" s="10">
        <v>3354300</v>
      </c>
      <c r="T27" s="10">
        <v>809500</v>
      </c>
      <c r="U27" s="10">
        <v>149000</v>
      </c>
      <c r="V27" s="10">
        <v>5776800</v>
      </c>
      <c r="W27" s="10">
        <v>466900</v>
      </c>
      <c r="X27" s="10">
        <v>654000</v>
      </c>
      <c r="Y27" s="10">
        <v>3354300</v>
      </c>
      <c r="Z27" s="10">
        <v>809500</v>
      </c>
      <c r="AA27" s="10">
        <v>149000</v>
      </c>
      <c r="AB27" s="10">
        <v>-11812200</v>
      </c>
      <c r="AC27" s="10">
        <v>0</v>
      </c>
      <c r="AD27" s="10">
        <v>184917</v>
      </c>
      <c r="AE27" s="10">
        <v>0</v>
      </c>
      <c r="AF27" s="10">
        <v>0</v>
      </c>
      <c r="AG27" s="10">
        <v>201305</v>
      </c>
      <c r="AH27" s="10">
        <v>1499172</v>
      </c>
      <c r="AI27" s="10">
        <v>39476426</v>
      </c>
      <c r="AJ27" s="10">
        <v>1509883</v>
      </c>
      <c r="AK27" s="10">
        <v>96457361</v>
      </c>
      <c r="AL27" s="10">
        <v>2009640</v>
      </c>
      <c r="AM27" s="3"/>
      <c r="AN27" s="10">
        <v>21131657</v>
      </c>
      <c r="AO27" s="10">
        <v>74154</v>
      </c>
      <c r="AP27" s="10">
        <v>2135179</v>
      </c>
      <c r="AQ27" s="10">
        <v>12964717</v>
      </c>
      <c r="AR27" s="10">
        <v>6058189</v>
      </c>
      <c r="AS27" s="3"/>
      <c r="AT27" s="10">
        <v>364658</v>
      </c>
      <c r="AU27" s="3"/>
      <c r="AV27" s="3"/>
      <c r="AW27" s="3"/>
      <c r="AX27" s="10">
        <v>23828</v>
      </c>
      <c r="AY27" s="10">
        <v>25000</v>
      </c>
      <c r="AZ27" s="1">
        <v>7027554.6100000003</v>
      </c>
      <c r="BA27" s="1">
        <v>3513777</v>
      </c>
      <c r="BB27" s="19"/>
      <c r="BC27" s="15">
        <v>492761</v>
      </c>
      <c r="BD27" s="15">
        <v>985521</v>
      </c>
      <c r="BE27" s="20">
        <v>10952617</v>
      </c>
      <c r="BF27" s="20">
        <v>10952617</v>
      </c>
      <c r="BG27" s="20">
        <v>31326021</v>
      </c>
      <c r="BH27" s="20">
        <v>30996735</v>
      </c>
      <c r="BI27" s="19"/>
      <c r="BJ27" s="19"/>
      <c r="BK27" s="19"/>
      <c r="BL27" s="5">
        <v>529224050</v>
      </c>
      <c r="BM27" s="5">
        <v>384801159</v>
      </c>
      <c r="BN27" s="15">
        <v>504700</v>
      </c>
      <c r="BO27" s="1"/>
      <c r="BP27" s="1"/>
      <c r="BQ27" s="5"/>
      <c r="BR27" s="5"/>
      <c r="BS27" s="5"/>
    </row>
    <row r="28" spans="1:71" x14ac:dyDescent="0.25">
      <c r="A28" s="6" t="s">
        <v>82</v>
      </c>
      <c r="B28" s="10">
        <v>161794373</v>
      </c>
      <c r="C28" s="10">
        <v>63593235</v>
      </c>
      <c r="D28" s="10">
        <v>86246770</v>
      </c>
      <c r="E28" s="10">
        <v>0</v>
      </c>
      <c r="F28" s="10">
        <v>19583600</v>
      </c>
      <c r="G28" s="10">
        <v>7809185</v>
      </c>
      <c r="H28" s="10">
        <v>8492100</v>
      </c>
      <c r="I28" s="10">
        <v>729300</v>
      </c>
      <c r="J28" s="10">
        <v>31400</v>
      </c>
      <c r="K28" s="10">
        <v>0</v>
      </c>
      <c r="L28" s="10">
        <v>81628134</v>
      </c>
      <c r="M28" s="10">
        <v>38958100</v>
      </c>
      <c r="N28" s="10">
        <v>990</v>
      </c>
      <c r="O28" s="10">
        <v>325</v>
      </c>
      <c r="P28" s="10">
        <v>5568000</v>
      </c>
      <c r="Q28" s="10">
        <v>945000</v>
      </c>
      <c r="R28" s="10">
        <v>850000</v>
      </c>
      <c r="S28" s="10">
        <v>427700</v>
      </c>
      <c r="T28" s="10">
        <v>0</v>
      </c>
      <c r="U28" s="10">
        <v>0</v>
      </c>
      <c r="V28" s="10">
        <v>5568000</v>
      </c>
      <c r="W28" s="10">
        <v>945000</v>
      </c>
      <c r="X28" s="10">
        <v>850000</v>
      </c>
      <c r="Y28" s="10">
        <v>427700</v>
      </c>
      <c r="Z28" s="10">
        <v>0</v>
      </c>
      <c r="AA28" s="10">
        <v>0</v>
      </c>
      <c r="AB28" s="10">
        <v>-1521485</v>
      </c>
      <c r="AC28" s="10">
        <v>243466</v>
      </c>
      <c r="AD28" s="10">
        <v>48245</v>
      </c>
      <c r="AE28" s="10">
        <v>0</v>
      </c>
      <c r="AF28" s="10">
        <v>0</v>
      </c>
      <c r="AG28" s="10">
        <v>96555</v>
      </c>
      <c r="AH28" s="10">
        <v>4365247</v>
      </c>
      <c r="AI28" s="10">
        <v>112164</v>
      </c>
      <c r="AJ28" s="3"/>
      <c r="AK28" s="10">
        <v>45666200</v>
      </c>
      <c r="AL28" s="10">
        <v>7016090</v>
      </c>
      <c r="AM28" s="10">
        <v>5612671</v>
      </c>
      <c r="AN28" s="10">
        <v>13219781</v>
      </c>
      <c r="AO28" s="10">
        <v>2860831</v>
      </c>
      <c r="AP28" s="10">
        <v>17518070</v>
      </c>
      <c r="AQ28" s="10">
        <v>10001230</v>
      </c>
      <c r="AR28" s="10">
        <v>5051675</v>
      </c>
      <c r="AS28" s="3"/>
      <c r="AT28" s="10">
        <v>19000</v>
      </c>
      <c r="AU28" s="3"/>
      <c r="AV28" s="3"/>
      <c r="AW28" s="3"/>
      <c r="AX28" s="10">
        <v>5704</v>
      </c>
      <c r="AY28" s="3"/>
      <c r="AZ28" s="1">
        <v>3327083.71</v>
      </c>
      <c r="BA28" s="1">
        <v>1663542</v>
      </c>
      <c r="BB28" s="19"/>
      <c r="BC28" s="15">
        <v>0</v>
      </c>
      <c r="BD28" s="15">
        <v>0</v>
      </c>
      <c r="BE28" s="20">
        <v>476059</v>
      </c>
      <c r="BF28" s="20">
        <v>476059</v>
      </c>
      <c r="BG28" s="20">
        <v>16266594</v>
      </c>
      <c r="BH28" s="20">
        <v>16266594</v>
      </c>
      <c r="BI28" s="19"/>
      <c r="BJ28" s="19"/>
      <c r="BK28" s="19"/>
      <c r="BL28" s="5">
        <v>413282116</v>
      </c>
      <c r="BM28" s="5">
        <v>342193631</v>
      </c>
      <c r="BN28" s="15">
        <v>585507</v>
      </c>
      <c r="BO28" s="1"/>
      <c r="BP28" s="1"/>
      <c r="BQ28" s="5"/>
      <c r="BR28" s="5"/>
      <c r="BS28" s="5"/>
    </row>
    <row r="29" spans="1:71" x14ac:dyDescent="0.25">
      <c r="A29" s="6" t="s">
        <v>83</v>
      </c>
      <c r="B29" s="10">
        <v>128823865</v>
      </c>
      <c r="C29" s="10">
        <v>107870892</v>
      </c>
      <c r="D29" s="10">
        <v>32109296</v>
      </c>
      <c r="E29" s="10">
        <v>960000</v>
      </c>
      <c r="F29" s="10">
        <v>19426289</v>
      </c>
      <c r="G29" s="10">
        <v>6348678</v>
      </c>
      <c r="H29" s="10">
        <v>6873965</v>
      </c>
      <c r="I29" s="10">
        <v>1286600</v>
      </c>
      <c r="J29" s="10">
        <v>17500</v>
      </c>
      <c r="K29" s="10">
        <v>0</v>
      </c>
      <c r="L29" s="10">
        <v>104459754</v>
      </c>
      <c r="M29" s="10">
        <v>48863266</v>
      </c>
      <c r="N29" s="10">
        <v>914</v>
      </c>
      <c r="O29" s="10">
        <v>285</v>
      </c>
      <c r="P29" s="10">
        <v>3821178</v>
      </c>
      <c r="Q29" s="10">
        <v>1291800</v>
      </c>
      <c r="R29" s="10">
        <v>975151</v>
      </c>
      <c r="S29" s="10">
        <v>933231</v>
      </c>
      <c r="T29" s="10">
        <v>400800</v>
      </c>
      <c r="U29" s="10">
        <v>360350</v>
      </c>
      <c r="V29" s="10">
        <v>3821178</v>
      </c>
      <c r="W29" s="10">
        <v>1402000</v>
      </c>
      <c r="X29" s="10">
        <v>975151</v>
      </c>
      <c r="Y29" s="10">
        <v>933231</v>
      </c>
      <c r="Z29" s="10">
        <v>469282</v>
      </c>
      <c r="AA29" s="10">
        <v>360350</v>
      </c>
      <c r="AB29" s="10">
        <v>-1400875</v>
      </c>
      <c r="AC29" s="10">
        <v>-44803</v>
      </c>
      <c r="AD29" s="10">
        <v>101057</v>
      </c>
      <c r="AE29" s="10">
        <v>6749</v>
      </c>
      <c r="AF29" s="10">
        <v>0</v>
      </c>
      <c r="AG29" s="10">
        <v>218523</v>
      </c>
      <c r="AH29" s="3"/>
      <c r="AI29" s="10">
        <v>508742</v>
      </c>
      <c r="AJ29" s="10">
        <v>303930</v>
      </c>
      <c r="AK29" s="10">
        <v>50281327</v>
      </c>
      <c r="AL29" s="10">
        <v>1288467</v>
      </c>
      <c r="AM29" s="3"/>
      <c r="AN29" s="10">
        <v>7360525</v>
      </c>
      <c r="AO29" s="10">
        <v>65971</v>
      </c>
      <c r="AP29" s="10">
        <v>7117109</v>
      </c>
      <c r="AQ29" s="10">
        <v>6873942</v>
      </c>
      <c r="AR29" s="10">
        <v>5553833</v>
      </c>
      <c r="AS29" s="3"/>
      <c r="AT29" s="10">
        <v>533616</v>
      </c>
      <c r="AU29" s="3"/>
      <c r="AV29" s="3"/>
      <c r="AW29" s="3"/>
      <c r="AX29" s="10">
        <v>3432372</v>
      </c>
      <c r="AY29" s="10">
        <v>34000</v>
      </c>
      <c r="AZ29" s="1">
        <v>3663326.13</v>
      </c>
      <c r="BA29" s="1">
        <v>1831663</v>
      </c>
      <c r="BB29" s="19">
        <v>12416902</v>
      </c>
      <c r="BC29" s="15">
        <v>0</v>
      </c>
      <c r="BD29" s="15">
        <v>0</v>
      </c>
      <c r="BE29" s="20">
        <v>1497064</v>
      </c>
      <c r="BF29" s="20">
        <v>1497064</v>
      </c>
      <c r="BG29" s="20">
        <v>20858017</v>
      </c>
      <c r="BH29" s="20">
        <v>20858017</v>
      </c>
      <c r="BI29" s="19"/>
      <c r="BJ29" s="19"/>
      <c r="BK29" s="19"/>
      <c r="BL29" s="5">
        <v>359673701</v>
      </c>
      <c r="BM29" s="5">
        <v>283917163</v>
      </c>
      <c r="BN29" s="15">
        <v>634883</v>
      </c>
      <c r="BO29" s="1"/>
      <c r="BP29" s="1"/>
      <c r="BQ29" s="5"/>
      <c r="BR29" s="5"/>
      <c r="BS29" s="5"/>
    </row>
    <row r="30" spans="1:71" x14ac:dyDescent="0.25">
      <c r="A30" s="6" t="s">
        <v>84</v>
      </c>
      <c r="B30" s="10">
        <v>110387377</v>
      </c>
      <c r="C30" s="10">
        <v>90306430</v>
      </c>
      <c r="D30" s="10">
        <v>27998045</v>
      </c>
      <c r="E30" s="10">
        <v>0</v>
      </c>
      <c r="F30" s="10">
        <v>13808500</v>
      </c>
      <c r="G30" s="10">
        <v>4228000</v>
      </c>
      <c r="H30" s="10">
        <v>6876200</v>
      </c>
      <c r="I30" s="10">
        <v>753600</v>
      </c>
      <c r="J30" s="10">
        <v>31400</v>
      </c>
      <c r="K30" s="10">
        <v>0</v>
      </c>
      <c r="L30" s="10">
        <v>120920700</v>
      </c>
      <c r="M30" s="10">
        <v>39068375</v>
      </c>
      <c r="N30" s="10">
        <v>684</v>
      </c>
      <c r="O30" s="10">
        <v>175</v>
      </c>
      <c r="P30" s="10">
        <v>2767900</v>
      </c>
      <c r="Q30" s="10">
        <v>1095000</v>
      </c>
      <c r="R30" s="10">
        <v>712500</v>
      </c>
      <c r="S30" s="10">
        <v>875446</v>
      </c>
      <c r="T30" s="10">
        <v>236400</v>
      </c>
      <c r="U30" s="10">
        <v>281000</v>
      </c>
      <c r="V30" s="10">
        <v>2767900</v>
      </c>
      <c r="W30" s="10">
        <v>1027500</v>
      </c>
      <c r="X30" s="10">
        <v>712500</v>
      </c>
      <c r="Y30" s="10">
        <v>875446</v>
      </c>
      <c r="Z30" s="10">
        <v>310000</v>
      </c>
      <c r="AA30" s="10">
        <v>281000</v>
      </c>
      <c r="AB30" s="10">
        <v>-529500</v>
      </c>
      <c r="AC30" s="10">
        <v>-36360</v>
      </c>
      <c r="AD30" s="10">
        <v>168652</v>
      </c>
      <c r="AE30" s="10">
        <v>0</v>
      </c>
      <c r="AF30" s="10">
        <v>0</v>
      </c>
      <c r="AG30" s="10">
        <v>0</v>
      </c>
      <c r="AH30" s="10">
        <v>2507008</v>
      </c>
      <c r="AI30" s="3"/>
      <c r="AJ30" s="3"/>
      <c r="AK30" s="10">
        <v>32567358</v>
      </c>
      <c r="AL30" s="10">
        <v>4942068</v>
      </c>
      <c r="AM30" s="10">
        <v>1946728</v>
      </c>
      <c r="AN30" s="10">
        <v>4078384</v>
      </c>
      <c r="AO30" s="10">
        <v>4570</v>
      </c>
      <c r="AP30" s="10">
        <v>298642</v>
      </c>
      <c r="AQ30" s="10">
        <v>3532204</v>
      </c>
      <c r="AR30" s="10">
        <v>1798513</v>
      </c>
      <c r="AS30" s="3"/>
      <c r="AT30" s="10">
        <v>105987</v>
      </c>
      <c r="AU30" s="3"/>
      <c r="AV30" s="3"/>
      <c r="AW30" s="3"/>
      <c r="AX30" s="3"/>
      <c r="AY30" s="10">
        <v>51000</v>
      </c>
      <c r="AZ30" s="1">
        <v>2372746.7200000002</v>
      </c>
      <c r="BA30" s="1">
        <v>1186373</v>
      </c>
      <c r="BB30" s="19"/>
      <c r="BC30" s="15">
        <v>0</v>
      </c>
      <c r="BD30" s="15">
        <v>0</v>
      </c>
      <c r="BE30" s="20">
        <v>611403</v>
      </c>
      <c r="BF30" s="20">
        <v>611403</v>
      </c>
      <c r="BG30" s="20">
        <v>12813386</v>
      </c>
      <c r="BH30" s="20">
        <v>12813386</v>
      </c>
      <c r="BI30" s="19"/>
      <c r="BJ30" s="19"/>
      <c r="BK30" s="19"/>
      <c r="BL30" s="5">
        <v>290934606</v>
      </c>
      <c r="BM30" s="5">
        <v>238814018</v>
      </c>
      <c r="BN30" s="15">
        <v>257000</v>
      </c>
      <c r="BO30" s="1"/>
      <c r="BP30" s="1"/>
      <c r="BQ30" s="5"/>
      <c r="BR30" s="5"/>
      <c r="BS30" s="5"/>
    </row>
    <row r="31" spans="1:71" x14ac:dyDescent="0.25">
      <c r="A31" s="6" t="s">
        <v>85</v>
      </c>
      <c r="B31" s="10">
        <v>2729074347</v>
      </c>
      <c r="C31" s="10">
        <v>278364851</v>
      </c>
      <c r="D31" s="10">
        <v>1071902804</v>
      </c>
      <c r="E31" s="10">
        <v>0</v>
      </c>
      <c r="F31" s="10">
        <v>204319653</v>
      </c>
      <c r="G31" s="10">
        <v>24875758</v>
      </c>
      <c r="H31" s="10">
        <v>15318600</v>
      </c>
      <c r="I31" s="10">
        <v>0</v>
      </c>
      <c r="J31" s="10">
        <v>0</v>
      </c>
      <c r="K31" s="10">
        <v>0</v>
      </c>
      <c r="L31" s="10">
        <v>536970372</v>
      </c>
      <c r="M31" s="10">
        <v>158611514</v>
      </c>
      <c r="N31" s="10">
        <v>7112</v>
      </c>
      <c r="O31" s="10">
        <v>826</v>
      </c>
      <c r="P31" s="10">
        <v>65806369</v>
      </c>
      <c r="Q31" s="10">
        <v>8368901</v>
      </c>
      <c r="R31" s="10">
        <v>29710276</v>
      </c>
      <c r="S31" s="10">
        <v>11917901</v>
      </c>
      <c r="T31" s="10">
        <v>2161060</v>
      </c>
      <c r="U31" s="10">
        <v>12307296</v>
      </c>
      <c r="V31" s="10">
        <v>65806369</v>
      </c>
      <c r="W31" s="10">
        <v>10764144</v>
      </c>
      <c r="X31" s="10">
        <v>29710276</v>
      </c>
      <c r="Y31" s="10">
        <v>11917901</v>
      </c>
      <c r="Z31" s="10">
        <v>8498191</v>
      </c>
      <c r="AA31" s="10">
        <v>12307296</v>
      </c>
      <c r="AB31" s="10">
        <v>-11459264</v>
      </c>
      <c r="AC31" s="10">
        <v>-7225659</v>
      </c>
      <c r="AD31" s="10">
        <v>0</v>
      </c>
      <c r="AE31" s="10">
        <v>0</v>
      </c>
      <c r="AF31" s="10">
        <v>0</v>
      </c>
      <c r="AG31" s="10">
        <v>249619.98</v>
      </c>
      <c r="AH31" s="10">
        <v>6615750</v>
      </c>
      <c r="AI31" s="10">
        <v>285398</v>
      </c>
      <c r="AJ31" s="10">
        <v>19125</v>
      </c>
      <c r="AK31" s="10">
        <v>511861583</v>
      </c>
      <c r="AL31" s="10">
        <v>11467469</v>
      </c>
      <c r="AM31" s="10">
        <v>77500</v>
      </c>
      <c r="AN31" s="10">
        <v>227079648</v>
      </c>
      <c r="AO31" s="10">
        <v>24108760</v>
      </c>
      <c r="AP31" s="10">
        <v>351688835</v>
      </c>
      <c r="AQ31" s="10">
        <v>236495043</v>
      </c>
      <c r="AR31" s="10">
        <v>184414424</v>
      </c>
      <c r="AS31" s="10">
        <v>45402160</v>
      </c>
      <c r="AT31" s="10">
        <v>65292830</v>
      </c>
      <c r="AU31" s="10">
        <v>30841808</v>
      </c>
      <c r="AV31" s="10">
        <v>1602548</v>
      </c>
      <c r="AW31" s="10">
        <v>64785332</v>
      </c>
      <c r="AX31" s="10">
        <v>1257402</v>
      </c>
      <c r="AY31" s="10">
        <v>5796018</v>
      </c>
      <c r="AZ31" s="1">
        <v>37292490.590000004</v>
      </c>
      <c r="BA31" s="1">
        <v>18646245</v>
      </c>
      <c r="BB31" s="19">
        <v>17962475</v>
      </c>
      <c r="BC31" s="15">
        <v>1071266</v>
      </c>
      <c r="BD31" s="15">
        <v>2142532</v>
      </c>
      <c r="BE31" s="20">
        <v>48857955</v>
      </c>
      <c r="BF31" s="20">
        <v>48857955</v>
      </c>
      <c r="BG31" s="20">
        <v>161187696</v>
      </c>
      <c r="BH31" s="20">
        <v>158304634</v>
      </c>
      <c r="BI31" s="19">
        <v>7550207</v>
      </c>
      <c r="BJ31" s="19"/>
      <c r="BK31" s="19"/>
      <c r="BL31" s="5">
        <v>5331705085</v>
      </c>
      <c r="BM31" s="5">
        <v>4573945726</v>
      </c>
      <c r="BN31" s="15">
        <v>3726767</v>
      </c>
      <c r="BO31" s="1"/>
      <c r="BP31" s="1"/>
      <c r="BQ31" s="5"/>
      <c r="BR31" s="5"/>
      <c r="BS31" s="5"/>
    </row>
    <row r="32" spans="1:71" x14ac:dyDescent="0.25">
      <c r="A32" s="6" t="s">
        <v>86</v>
      </c>
      <c r="B32" s="10">
        <v>261585344</v>
      </c>
      <c r="C32" s="10">
        <v>98041545</v>
      </c>
      <c r="D32" s="10">
        <v>38833310</v>
      </c>
      <c r="E32" s="10">
        <v>0</v>
      </c>
      <c r="F32" s="10">
        <v>20678800</v>
      </c>
      <c r="G32" s="10">
        <v>9613190</v>
      </c>
      <c r="H32" s="10">
        <v>11561450</v>
      </c>
      <c r="I32" s="10">
        <v>2528150</v>
      </c>
      <c r="J32" s="10">
        <v>0</v>
      </c>
      <c r="K32" s="10">
        <v>0</v>
      </c>
      <c r="L32" s="10">
        <v>104436837</v>
      </c>
      <c r="M32" s="10">
        <v>72341345</v>
      </c>
      <c r="N32" s="10">
        <v>1119</v>
      </c>
      <c r="O32" s="10">
        <v>458</v>
      </c>
      <c r="P32" s="10">
        <v>9394400</v>
      </c>
      <c r="Q32" s="10">
        <v>2480800</v>
      </c>
      <c r="R32" s="10">
        <v>553500</v>
      </c>
      <c r="S32" s="10">
        <v>333750</v>
      </c>
      <c r="T32" s="10">
        <v>167700</v>
      </c>
      <c r="U32" s="10">
        <v>0</v>
      </c>
      <c r="V32" s="10">
        <v>9394400</v>
      </c>
      <c r="W32" s="10">
        <v>2480800</v>
      </c>
      <c r="X32" s="10">
        <v>553500</v>
      </c>
      <c r="Y32" s="10">
        <v>333750</v>
      </c>
      <c r="Z32" s="10">
        <v>167700</v>
      </c>
      <c r="AA32" s="10">
        <v>0</v>
      </c>
      <c r="AB32" s="10">
        <v>-1122410</v>
      </c>
      <c r="AC32" s="10">
        <v>-13875</v>
      </c>
      <c r="AD32" s="10">
        <v>61333</v>
      </c>
      <c r="AE32" s="10">
        <v>6810</v>
      </c>
      <c r="AF32" s="10">
        <v>5518282</v>
      </c>
      <c r="AG32" s="10">
        <v>127292</v>
      </c>
      <c r="AH32" s="10">
        <v>1317945</v>
      </c>
      <c r="AI32" s="10">
        <v>873422</v>
      </c>
      <c r="AJ32" s="3"/>
      <c r="AK32" s="10">
        <v>59747347</v>
      </c>
      <c r="AL32" s="10">
        <v>4918174</v>
      </c>
      <c r="AM32" s="10">
        <v>70000</v>
      </c>
      <c r="AN32" s="10">
        <v>4700993</v>
      </c>
      <c r="AO32" s="10">
        <v>37831</v>
      </c>
      <c r="AP32" s="10">
        <v>3744488</v>
      </c>
      <c r="AQ32" s="10">
        <v>2147245</v>
      </c>
      <c r="AR32" s="10">
        <v>1424523</v>
      </c>
      <c r="AS32" s="3"/>
      <c r="AT32" s="3"/>
      <c r="AU32" s="3"/>
      <c r="AV32" s="3"/>
      <c r="AW32" s="3"/>
      <c r="AX32" s="3"/>
      <c r="AY32" s="10">
        <v>42250</v>
      </c>
      <c r="AZ32" s="1">
        <v>4352988.09</v>
      </c>
      <c r="BA32" s="1">
        <v>2176494</v>
      </c>
      <c r="BB32" s="19"/>
      <c r="BC32" s="15">
        <v>160636</v>
      </c>
      <c r="BD32" s="15">
        <v>321271</v>
      </c>
      <c r="BE32" s="20">
        <v>988764</v>
      </c>
      <c r="BF32" s="20">
        <v>988764</v>
      </c>
      <c r="BG32" s="20">
        <v>15749264</v>
      </c>
      <c r="BH32" s="20">
        <v>15164532</v>
      </c>
      <c r="BI32" s="19"/>
      <c r="BJ32" s="19"/>
      <c r="BK32" s="19"/>
      <c r="BL32" s="5">
        <v>490693582</v>
      </c>
      <c r="BM32" s="5">
        <v>407537635</v>
      </c>
      <c r="BN32" s="15">
        <v>184000</v>
      </c>
      <c r="BO32" s="1"/>
      <c r="BP32" s="1"/>
      <c r="BQ32" s="5"/>
      <c r="BR32" s="5"/>
      <c r="BS32" s="5"/>
    </row>
    <row r="33" spans="1:71" x14ac:dyDescent="0.25">
      <c r="A33" s="6" t="s">
        <v>87</v>
      </c>
      <c r="B33" s="10">
        <v>49490625</v>
      </c>
      <c r="C33" s="10">
        <v>52274173</v>
      </c>
      <c r="D33" s="10">
        <v>12463094</v>
      </c>
      <c r="E33" s="10">
        <v>0</v>
      </c>
      <c r="F33" s="10">
        <v>6891710</v>
      </c>
      <c r="G33" s="10">
        <v>4386380</v>
      </c>
      <c r="H33" s="10">
        <v>10372259</v>
      </c>
      <c r="I33" s="10">
        <v>2996821</v>
      </c>
      <c r="J33" s="10">
        <v>0</v>
      </c>
      <c r="K33" s="10">
        <v>0</v>
      </c>
      <c r="L33" s="10">
        <v>63169813</v>
      </c>
      <c r="M33" s="10">
        <v>0</v>
      </c>
      <c r="N33" s="10">
        <v>645</v>
      </c>
      <c r="O33" s="10">
        <v>315</v>
      </c>
      <c r="P33" s="10">
        <v>1831103</v>
      </c>
      <c r="Q33" s="10">
        <v>1077954</v>
      </c>
      <c r="R33" s="10">
        <v>8000</v>
      </c>
      <c r="S33" s="10">
        <v>177278</v>
      </c>
      <c r="T33" s="10">
        <v>6995</v>
      </c>
      <c r="U33" s="10">
        <v>0</v>
      </c>
      <c r="V33" s="10">
        <v>1831103</v>
      </c>
      <c r="W33" s="10">
        <v>677936</v>
      </c>
      <c r="X33" s="10">
        <v>8000</v>
      </c>
      <c r="Y33" s="10">
        <v>177278</v>
      </c>
      <c r="Z33" s="10">
        <v>6995</v>
      </c>
      <c r="AA33" s="10">
        <v>0</v>
      </c>
      <c r="AB33" s="10">
        <v>-2348268</v>
      </c>
      <c r="AC33" s="10">
        <v>0</v>
      </c>
      <c r="AD33" s="10">
        <v>124984</v>
      </c>
      <c r="AE33" s="10">
        <v>0</v>
      </c>
      <c r="AF33" s="10">
        <v>0</v>
      </c>
      <c r="AG33" s="10">
        <v>139705</v>
      </c>
      <c r="AH33" s="10">
        <v>1604195</v>
      </c>
      <c r="AI33" s="10">
        <v>754172</v>
      </c>
      <c r="AJ33" s="10">
        <v>73758</v>
      </c>
      <c r="AK33" s="10">
        <v>28518181</v>
      </c>
      <c r="AL33" s="10">
        <v>844625</v>
      </c>
      <c r="AM33" s="3"/>
      <c r="AN33" s="10">
        <v>1574863</v>
      </c>
      <c r="AO33" s="10">
        <v>30029</v>
      </c>
      <c r="AP33" s="10">
        <v>3793</v>
      </c>
      <c r="AQ33" s="10">
        <v>1169517</v>
      </c>
      <c r="AR33" s="10">
        <v>167048</v>
      </c>
      <c r="AS33" s="3"/>
      <c r="AT33" s="10">
        <v>402394</v>
      </c>
      <c r="AU33" s="3"/>
      <c r="AV33" s="3"/>
      <c r="AW33" s="3"/>
      <c r="AX33" s="3"/>
      <c r="AY33" s="3"/>
      <c r="AZ33" s="1">
        <v>2077737.48</v>
      </c>
      <c r="BA33" s="1">
        <v>1038869</v>
      </c>
      <c r="BB33" s="19"/>
      <c r="BC33" s="15">
        <v>0</v>
      </c>
      <c r="BD33" s="15">
        <v>0</v>
      </c>
      <c r="BE33" s="20">
        <v>1278452</v>
      </c>
      <c r="BF33" s="20">
        <v>1278452</v>
      </c>
      <c r="BG33" s="20">
        <v>18203905</v>
      </c>
      <c r="BH33" s="20">
        <v>18203905</v>
      </c>
      <c r="BI33" s="19"/>
      <c r="BJ33" s="19"/>
      <c r="BK33" s="19"/>
      <c r="BL33" s="5">
        <v>169318458</v>
      </c>
      <c r="BM33" s="5">
        <v>119434426</v>
      </c>
      <c r="BN33" s="15">
        <v>215481</v>
      </c>
      <c r="BO33" s="1"/>
      <c r="BP33" s="1"/>
      <c r="BQ33" s="5"/>
      <c r="BR33" s="5"/>
      <c r="BS33" s="5"/>
    </row>
    <row r="34" spans="1:71" x14ac:dyDescent="0.25">
      <c r="A34" s="6" t="s">
        <v>88</v>
      </c>
      <c r="B34" s="10">
        <v>181015324</v>
      </c>
      <c r="C34" s="10">
        <v>95558848</v>
      </c>
      <c r="D34" s="10">
        <v>46882894</v>
      </c>
      <c r="E34" s="10">
        <v>0</v>
      </c>
      <c r="F34" s="10">
        <v>26957329</v>
      </c>
      <c r="G34" s="10">
        <v>8834790</v>
      </c>
      <c r="H34" s="10">
        <v>8354099</v>
      </c>
      <c r="I34" s="10">
        <v>1681699</v>
      </c>
      <c r="J34" s="10">
        <v>58800</v>
      </c>
      <c r="K34" s="10">
        <v>92800</v>
      </c>
      <c r="L34" s="10">
        <v>11516507</v>
      </c>
      <c r="M34" s="10">
        <v>983489</v>
      </c>
      <c r="N34" s="10">
        <v>1093</v>
      </c>
      <c r="O34" s="10">
        <v>336</v>
      </c>
      <c r="P34" s="10">
        <v>4929350</v>
      </c>
      <c r="Q34" s="10">
        <v>1951120</v>
      </c>
      <c r="R34" s="10">
        <v>476100</v>
      </c>
      <c r="S34" s="10">
        <v>5429560</v>
      </c>
      <c r="T34" s="10">
        <v>4209307</v>
      </c>
      <c r="U34" s="10">
        <v>295250</v>
      </c>
      <c r="V34" s="10">
        <v>4929350</v>
      </c>
      <c r="W34" s="10">
        <v>2037670</v>
      </c>
      <c r="X34" s="10">
        <v>476100</v>
      </c>
      <c r="Y34" s="10">
        <v>5429560</v>
      </c>
      <c r="Z34" s="10">
        <v>2822542</v>
      </c>
      <c r="AA34" s="10">
        <v>295250</v>
      </c>
      <c r="AB34" s="10">
        <v>-4079341</v>
      </c>
      <c r="AC34" s="10">
        <v>173690</v>
      </c>
      <c r="AD34" s="10">
        <v>80438</v>
      </c>
      <c r="AE34" s="10">
        <v>12595</v>
      </c>
      <c r="AF34" s="10">
        <v>9491204</v>
      </c>
      <c r="AG34" s="10">
        <v>134913</v>
      </c>
      <c r="AH34" s="10">
        <v>201711</v>
      </c>
      <c r="AI34" s="10">
        <v>62289</v>
      </c>
      <c r="AJ34" s="3"/>
      <c r="AK34" s="10">
        <v>67592416</v>
      </c>
      <c r="AL34" s="10">
        <v>1356406</v>
      </c>
      <c r="AM34" s="3"/>
      <c r="AN34" s="10">
        <v>6033868</v>
      </c>
      <c r="AO34" s="10">
        <v>30039</v>
      </c>
      <c r="AP34" s="10">
        <v>1546161</v>
      </c>
      <c r="AQ34" s="10">
        <v>5200791</v>
      </c>
      <c r="AR34" s="10">
        <v>2927771</v>
      </c>
      <c r="AS34" s="3"/>
      <c r="AT34" s="3"/>
      <c r="AU34" s="3"/>
      <c r="AV34" s="3"/>
      <c r="AW34" s="10">
        <v>694</v>
      </c>
      <c r="AX34" s="10">
        <v>34731</v>
      </c>
      <c r="AY34" s="3"/>
      <c r="AZ34" s="1">
        <v>4924553.08</v>
      </c>
      <c r="BA34" s="1">
        <v>2462277</v>
      </c>
      <c r="BB34" s="19"/>
      <c r="BC34" s="15">
        <v>2590792</v>
      </c>
      <c r="BD34" s="15">
        <v>5181584</v>
      </c>
      <c r="BE34" s="20">
        <v>10491543</v>
      </c>
      <c r="BF34" s="20">
        <v>10491543</v>
      </c>
      <c r="BG34" s="20">
        <v>31767357</v>
      </c>
      <c r="BH34" s="20">
        <v>28784820</v>
      </c>
      <c r="BI34" s="19"/>
      <c r="BJ34" s="19"/>
      <c r="BK34" s="19"/>
      <c r="BL34" s="5">
        <v>448264018</v>
      </c>
      <c r="BM34" s="5">
        <v>334985764</v>
      </c>
      <c r="BN34" s="15">
        <v>387960</v>
      </c>
      <c r="BO34" s="1"/>
      <c r="BP34" s="1"/>
      <c r="BQ34" s="5"/>
      <c r="BR34" s="5"/>
      <c r="BS34" s="5"/>
    </row>
    <row r="35" spans="1:71" x14ac:dyDescent="0.25">
      <c r="A35" s="6" t="s">
        <v>89</v>
      </c>
      <c r="B35" s="10">
        <v>14116472700</v>
      </c>
      <c r="C35" s="10">
        <v>819013400</v>
      </c>
      <c r="D35" s="10">
        <v>5890069400</v>
      </c>
      <c r="E35" s="10">
        <v>57000</v>
      </c>
      <c r="F35" s="10">
        <v>477658900</v>
      </c>
      <c r="G35" s="3"/>
      <c r="H35" s="10">
        <v>8645400</v>
      </c>
      <c r="I35" s="3"/>
      <c r="J35" s="10">
        <v>722200</v>
      </c>
      <c r="K35" s="3"/>
      <c r="L35" s="10">
        <v>1677851100</v>
      </c>
      <c r="M35" s="10">
        <v>592553700</v>
      </c>
      <c r="N35" s="10">
        <v>14503</v>
      </c>
      <c r="O35" s="10">
        <v>1173</v>
      </c>
      <c r="P35" s="10">
        <v>443659500</v>
      </c>
      <c r="Q35" s="10">
        <v>51599100</v>
      </c>
      <c r="R35" s="10">
        <v>234336100</v>
      </c>
      <c r="S35" s="10">
        <v>23245500</v>
      </c>
      <c r="T35" s="10">
        <v>3109700</v>
      </c>
      <c r="U35" s="10">
        <v>32155100</v>
      </c>
      <c r="V35" s="10">
        <v>443659500</v>
      </c>
      <c r="W35" s="10">
        <v>63574700</v>
      </c>
      <c r="X35" s="10">
        <v>234336100</v>
      </c>
      <c r="Y35" s="10">
        <v>23245500</v>
      </c>
      <c r="Z35" s="10">
        <v>29679800</v>
      </c>
      <c r="AA35" s="10">
        <v>32155100</v>
      </c>
      <c r="AB35" s="10">
        <v>25285250</v>
      </c>
      <c r="AC35" s="10">
        <v>-100395472</v>
      </c>
      <c r="AD35" s="10">
        <v>0</v>
      </c>
      <c r="AE35" s="10">
        <v>0</v>
      </c>
      <c r="AF35" s="10">
        <v>0</v>
      </c>
      <c r="AG35" s="10">
        <v>0</v>
      </c>
      <c r="AH35" s="3"/>
      <c r="AI35" s="10">
        <v>1544016</v>
      </c>
      <c r="AJ35" s="3"/>
      <c r="AK35" s="10">
        <v>1761006615</v>
      </c>
      <c r="AL35" s="10">
        <v>29154105</v>
      </c>
      <c r="AM35" s="10">
        <v>108000</v>
      </c>
      <c r="AN35" s="10">
        <v>885910794</v>
      </c>
      <c r="AO35" s="10">
        <v>42345166</v>
      </c>
      <c r="AP35" s="10">
        <v>356700808</v>
      </c>
      <c r="AQ35" s="10">
        <v>627811634</v>
      </c>
      <c r="AR35" s="10">
        <v>333579656</v>
      </c>
      <c r="AS35" s="10">
        <v>127657585</v>
      </c>
      <c r="AT35" s="10">
        <v>704400754</v>
      </c>
      <c r="AU35" s="10">
        <v>3436496</v>
      </c>
      <c r="AV35" s="10">
        <v>818550</v>
      </c>
      <c r="AW35" s="10">
        <v>28593542</v>
      </c>
      <c r="AX35" s="10">
        <v>3174089</v>
      </c>
      <c r="AY35" s="10">
        <v>27227658</v>
      </c>
      <c r="AZ35" s="1">
        <v>128300940.70999999</v>
      </c>
      <c r="BA35" s="1">
        <v>64150470</v>
      </c>
      <c r="BB35" s="19"/>
      <c r="BC35" s="15">
        <v>1454404</v>
      </c>
      <c r="BD35" s="15">
        <v>2908807</v>
      </c>
      <c r="BE35" s="20">
        <v>176957537</v>
      </c>
      <c r="BF35" s="20">
        <v>175042886</v>
      </c>
      <c r="BG35" s="20">
        <v>463082472</v>
      </c>
      <c r="BH35" s="20">
        <v>440400214</v>
      </c>
      <c r="BI35" s="19"/>
      <c r="BJ35" s="19"/>
      <c r="BK35" s="19"/>
      <c r="BL35" s="5">
        <v>24854375804</v>
      </c>
      <c r="BM35" s="5">
        <v>22383167110</v>
      </c>
      <c r="BN35" s="15">
        <v>22244700</v>
      </c>
      <c r="BO35" s="1"/>
      <c r="BP35" s="1"/>
      <c r="BQ35" s="5"/>
      <c r="BR35" s="5"/>
      <c r="BS35" s="5"/>
    </row>
    <row r="36" spans="1:71" x14ac:dyDescent="0.25">
      <c r="A36" s="6" t="s">
        <v>90</v>
      </c>
      <c r="B36" s="10">
        <v>223158145</v>
      </c>
      <c r="C36" s="10">
        <v>146301525</v>
      </c>
      <c r="D36" s="10">
        <v>48414130</v>
      </c>
      <c r="E36" s="10">
        <v>0</v>
      </c>
      <c r="F36" s="10">
        <v>24575400</v>
      </c>
      <c r="G36" s="10">
        <v>6384600</v>
      </c>
      <c r="H36" s="10">
        <v>10167150</v>
      </c>
      <c r="I36" s="10">
        <v>1434800</v>
      </c>
      <c r="J36" s="10">
        <v>73900</v>
      </c>
      <c r="K36" s="10">
        <v>31400</v>
      </c>
      <c r="L36" s="10">
        <v>124353930</v>
      </c>
      <c r="M36" s="10">
        <v>71693307</v>
      </c>
      <c r="N36" s="10">
        <v>1192</v>
      </c>
      <c r="O36" s="10">
        <v>281</v>
      </c>
      <c r="P36" s="10">
        <v>6261735</v>
      </c>
      <c r="Q36" s="10">
        <v>3175400</v>
      </c>
      <c r="R36" s="10">
        <v>434000</v>
      </c>
      <c r="S36" s="10">
        <v>1027905</v>
      </c>
      <c r="T36" s="10">
        <v>892600</v>
      </c>
      <c r="U36" s="10">
        <v>199800</v>
      </c>
      <c r="V36" s="10">
        <v>6261735</v>
      </c>
      <c r="W36" s="10">
        <v>3709500</v>
      </c>
      <c r="X36" s="10">
        <v>434000</v>
      </c>
      <c r="Y36" s="10">
        <v>1027905</v>
      </c>
      <c r="Z36" s="10">
        <v>767850</v>
      </c>
      <c r="AA36" s="10">
        <v>199800</v>
      </c>
      <c r="AB36" s="10">
        <v>-1872800</v>
      </c>
      <c r="AC36" s="10">
        <v>-91081</v>
      </c>
      <c r="AD36" s="10">
        <v>51858</v>
      </c>
      <c r="AE36" s="10">
        <v>47786</v>
      </c>
      <c r="AF36" s="10">
        <v>61350295</v>
      </c>
      <c r="AG36" s="10">
        <v>214602</v>
      </c>
      <c r="AH36" s="3"/>
      <c r="AI36" s="10">
        <v>94000</v>
      </c>
      <c r="AJ36" s="3"/>
      <c r="AK36" s="10">
        <v>83390496</v>
      </c>
      <c r="AL36" s="10">
        <v>971381</v>
      </c>
      <c r="AM36" s="3"/>
      <c r="AN36" s="10">
        <v>13238045</v>
      </c>
      <c r="AO36" s="10">
        <v>282009</v>
      </c>
      <c r="AP36" s="10">
        <v>8888494</v>
      </c>
      <c r="AQ36" s="10">
        <v>23242159</v>
      </c>
      <c r="AR36" s="10">
        <v>10593424</v>
      </c>
      <c r="AS36" s="3"/>
      <c r="AT36" s="10">
        <v>217981</v>
      </c>
      <c r="AU36" s="3"/>
      <c r="AV36" s="10">
        <v>28224</v>
      </c>
      <c r="AW36" s="10">
        <v>518962</v>
      </c>
      <c r="AX36" s="10">
        <v>1237</v>
      </c>
      <c r="AY36" s="10">
        <v>201000</v>
      </c>
      <c r="AZ36" s="1">
        <v>6075547.3600000003</v>
      </c>
      <c r="BA36" s="1">
        <v>3037774</v>
      </c>
      <c r="BB36" s="19"/>
      <c r="BC36" s="15">
        <v>323442</v>
      </c>
      <c r="BD36" s="15">
        <v>646884</v>
      </c>
      <c r="BE36" s="20">
        <v>7871111</v>
      </c>
      <c r="BF36" s="20">
        <v>7871111</v>
      </c>
      <c r="BG36" s="20">
        <v>23416545</v>
      </c>
      <c r="BH36" s="20">
        <v>23161728</v>
      </c>
      <c r="BI36" s="19"/>
      <c r="BJ36" s="19"/>
      <c r="BK36" s="19"/>
      <c r="BL36" s="5">
        <v>573485945</v>
      </c>
      <c r="BM36" s="5">
        <v>454730013</v>
      </c>
      <c r="BN36" s="15">
        <v>828280</v>
      </c>
      <c r="BO36" s="1"/>
      <c r="BP36" s="1"/>
      <c r="BQ36" s="5"/>
      <c r="BR36" s="5"/>
      <c r="BS36" s="5"/>
    </row>
    <row r="37" spans="1:71" x14ac:dyDescent="0.25">
      <c r="A37" s="6" t="s">
        <v>91</v>
      </c>
      <c r="B37" s="10">
        <v>526070758</v>
      </c>
      <c r="C37" s="10">
        <v>103088222</v>
      </c>
      <c r="D37" s="10">
        <v>212531719</v>
      </c>
      <c r="E37" s="10">
        <v>0</v>
      </c>
      <c r="F37" s="10">
        <v>69335550</v>
      </c>
      <c r="G37" s="10">
        <v>60281440</v>
      </c>
      <c r="H37" s="10">
        <v>17588234</v>
      </c>
      <c r="I37" s="10">
        <v>8279850</v>
      </c>
      <c r="J37" s="10">
        <v>237300</v>
      </c>
      <c r="K37" s="10">
        <v>62800</v>
      </c>
      <c r="L37" s="10">
        <v>63044265</v>
      </c>
      <c r="M37" s="10">
        <v>51701121</v>
      </c>
      <c r="N37" s="10">
        <v>3181</v>
      </c>
      <c r="O37" s="10">
        <v>2784</v>
      </c>
      <c r="P37" s="10">
        <v>7974500</v>
      </c>
      <c r="Q37" s="10">
        <v>974000</v>
      </c>
      <c r="R37" s="10">
        <v>11785000</v>
      </c>
      <c r="S37" s="10">
        <v>3439900</v>
      </c>
      <c r="T37" s="10">
        <v>1589400</v>
      </c>
      <c r="U37" s="10">
        <v>523290</v>
      </c>
      <c r="V37" s="10">
        <v>7974500</v>
      </c>
      <c r="W37" s="10">
        <v>991000</v>
      </c>
      <c r="X37" s="10">
        <v>11785000</v>
      </c>
      <c r="Y37" s="10">
        <v>3439900</v>
      </c>
      <c r="Z37" s="10">
        <v>1824100</v>
      </c>
      <c r="AA37" s="10">
        <v>523290</v>
      </c>
      <c r="AB37" s="10">
        <v>-7151534</v>
      </c>
      <c r="AC37" s="10">
        <v>-55000</v>
      </c>
      <c r="AD37" s="10">
        <v>185973</v>
      </c>
      <c r="AE37" s="10">
        <v>0</v>
      </c>
      <c r="AF37" s="10">
        <v>0</v>
      </c>
      <c r="AG37" s="10">
        <v>183798</v>
      </c>
      <c r="AH37" s="10">
        <v>2441352</v>
      </c>
      <c r="AI37" s="10">
        <v>245286734</v>
      </c>
      <c r="AJ37" s="10">
        <v>94920208</v>
      </c>
      <c r="AK37" s="10">
        <v>233739231</v>
      </c>
      <c r="AL37" s="10">
        <v>6424081</v>
      </c>
      <c r="AM37" s="3"/>
      <c r="AN37" s="10">
        <v>120916777</v>
      </c>
      <c r="AO37" s="10">
        <v>315870</v>
      </c>
      <c r="AP37" s="10">
        <v>7233549</v>
      </c>
      <c r="AQ37" s="10">
        <v>62749878</v>
      </c>
      <c r="AR37" s="10">
        <v>25366522</v>
      </c>
      <c r="AS37" s="10">
        <v>869534</v>
      </c>
      <c r="AT37" s="10">
        <v>35000</v>
      </c>
      <c r="AU37" s="3"/>
      <c r="AV37" s="3"/>
      <c r="AW37" s="3"/>
      <c r="AX37" s="10">
        <v>600718</v>
      </c>
      <c r="AY37" s="3"/>
      <c r="AZ37" s="1">
        <v>17029443.82</v>
      </c>
      <c r="BA37" s="1">
        <v>8514722</v>
      </c>
      <c r="BB37" s="19"/>
      <c r="BC37" s="15">
        <v>3079211</v>
      </c>
      <c r="BD37" s="15">
        <v>6158423</v>
      </c>
      <c r="BE37" s="20">
        <v>15105468</v>
      </c>
      <c r="BF37" s="20">
        <v>15105468</v>
      </c>
      <c r="BG37" s="20">
        <v>122694841</v>
      </c>
      <c r="BH37" s="20">
        <v>118740661</v>
      </c>
      <c r="BI37" s="19"/>
      <c r="BJ37" s="19"/>
      <c r="BK37" s="19"/>
      <c r="BL37" s="5">
        <v>1753924892</v>
      </c>
      <c r="BM37" s="5">
        <v>1368321518</v>
      </c>
      <c r="BN37" s="15">
        <v>12306100</v>
      </c>
      <c r="BO37" s="1"/>
      <c r="BP37" s="1"/>
      <c r="BQ37" s="5"/>
      <c r="BR37" s="5"/>
      <c r="BS37" s="5"/>
    </row>
    <row r="38" spans="1:71" x14ac:dyDescent="0.25">
      <c r="A38" s="6" t="s">
        <v>92</v>
      </c>
      <c r="B38" s="10">
        <v>1757770331</v>
      </c>
      <c r="C38" s="10">
        <v>146800715</v>
      </c>
      <c r="D38" s="10">
        <v>721843753</v>
      </c>
      <c r="E38" s="10">
        <v>0</v>
      </c>
      <c r="F38" s="10">
        <v>106406995</v>
      </c>
      <c r="G38" s="10">
        <v>10616512</v>
      </c>
      <c r="H38" s="10">
        <v>7992508</v>
      </c>
      <c r="I38" s="10">
        <v>594326</v>
      </c>
      <c r="J38" s="10">
        <v>31400</v>
      </c>
      <c r="K38" s="10">
        <v>0</v>
      </c>
      <c r="L38" s="10">
        <v>146912838</v>
      </c>
      <c r="M38" s="10">
        <v>112693943</v>
      </c>
      <c r="N38" s="10">
        <v>3703</v>
      </c>
      <c r="O38" s="10">
        <v>383</v>
      </c>
      <c r="P38" s="10">
        <v>40613482</v>
      </c>
      <c r="Q38" s="10">
        <v>5023186</v>
      </c>
      <c r="R38" s="10">
        <v>21124450</v>
      </c>
      <c r="S38" s="10">
        <v>4726292</v>
      </c>
      <c r="T38" s="10">
        <v>1502379</v>
      </c>
      <c r="U38" s="10">
        <v>6204689</v>
      </c>
      <c r="V38" s="10">
        <v>40613482</v>
      </c>
      <c r="W38" s="10">
        <v>5180155</v>
      </c>
      <c r="X38" s="10">
        <v>21124450</v>
      </c>
      <c r="Y38" s="10">
        <v>4726292</v>
      </c>
      <c r="Z38" s="10">
        <v>3980470</v>
      </c>
      <c r="AA38" s="10">
        <v>6204689</v>
      </c>
      <c r="AB38" s="10">
        <v>1049137</v>
      </c>
      <c r="AC38" s="10">
        <v>-495901</v>
      </c>
      <c r="AD38" s="10">
        <v>0</v>
      </c>
      <c r="AE38" s="10">
        <v>0</v>
      </c>
      <c r="AF38" s="10">
        <v>0</v>
      </c>
      <c r="AG38" s="10">
        <v>103891</v>
      </c>
      <c r="AH38" s="3"/>
      <c r="AI38" s="10">
        <v>545180</v>
      </c>
      <c r="AJ38" s="3"/>
      <c r="AK38" s="10">
        <v>308324456</v>
      </c>
      <c r="AL38" s="10">
        <v>8195722</v>
      </c>
      <c r="AM38" s="10">
        <v>3233748</v>
      </c>
      <c r="AN38" s="10">
        <v>115245681</v>
      </c>
      <c r="AO38" s="10">
        <v>13227466</v>
      </c>
      <c r="AP38" s="10">
        <v>296087383</v>
      </c>
      <c r="AQ38" s="10">
        <v>67994487</v>
      </c>
      <c r="AR38" s="10">
        <v>102828988</v>
      </c>
      <c r="AS38" s="10">
        <v>7054138</v>
      </c>
      <c r="AT38" s="10">
        <v>250638</v>
      </c>
      <c r="AU38" s="3"/>
      <c r="AV38" s="3"/>
      <c r="AW38" s="10">
        <v>11065</v>
      </c>
      <c r="AX38" s="10">
        <v>24816</v>
      </c>
      <c r="AY38" s="10">
        <v>2517241</v>
      </c>
      <c r="AZ38" s="1">
        <v>22463469.140000001</v>
      </c>
      <c r="BA38" s="1">
        <v>11231735</v>
      </c>
      <c r="BB38" s="19">
        <v>1564492</v>
      </c>
      <c r="BC38" s="15">
        <v>0</v>
      </c>
      <c r="BD38" s="15">
        <v>0</v>
      </c>
      <c r="BE38" s="20">
        <v>10065396</v>
      </c>
      <c r="BF38" s="20">
        <v>9648493</v>
      </c>
      <c r="BG38" s="20">
        <v>37134772</v>
      </c>
      <c r="BH38" s="20">
        <v>36954194</v>
      </c>
      <c r="BI38" s="19">
        <v>81081400</v>
      </c>
      <c r="BJ38" s="19"/>
      <c r="BK38" s="19"/>
      <c r="BL38" s="5">
        <v>3278863613</v>
      </c>
      <c r="BM38" s="5">
        <v>2823427613</v>
      </c>
      <c r="BN38" s="15">
        <v>7577922</v>
      </c>
      <c r="BO38" s="1"/>
      <c r="BP38" s="1"/>
      <c r="BQ38" s="5"/>
      <c r="BR38" s="5"/>
      <c r="BS38" s="5"/>
    </row>
    <row r="39" spans="1:71" x14ac:dyDescent="0.25">
      <c r="A39" s="6" t="s">
        <v>93</v>
      </c>
      <c r="B39" s="10">
        <v>74353003</v>
      </c>
      <c r="C39" s="10">
        <v>48992717</v>
      </c>
      <c r="D39" s="10">
        <v>62971897</v>
      </c>
      <c r="E39" s="10">
        <v>0</v>
      </c>
      <c r="F39" s="10">
        <v>16202355</v>
      </c>
      <c r="G39" s="10">
        <v>3689800</v>
      </c>
      <c r="H39" s="10">
        <v>3336080</v>
      </c>
      <c r="I39" s="10">
        <v>222875</v>
      </c>
      <c r="J39" s="10">
        <v>53900</v>
      </c>
      <c r="K39" s="10">
        <v>15000</v>
      </c>
      <c r="L39" s="10">
        <v>87692276</v>
      </c>
      <c r="M39" s="10">
        <v>14279850</v>
      </c>
      <c r="N39" s="10">
        <v>698</v>
      </c>
      <c r="O39" s="10">
        <v>158</v>
      </c>
      <c r="P39" s="10">
        <v>1389365</v>
      </c>
      <c r="Q39" s="10">
        <v>1053595</v>
      </c>
      <c r="R39" s="10">
        <v>5304000</v>
      </c>
      <c r="S39" s="10">
        <v>284250</v>
      </c>
      <c r="T39" s="10">
        <v>290412</v>
      </c>
      <c r="U39" s="10">
        <v>123150</v>
      </c>
      <c r="V39" s="10">
        <v>1389365</v>
      </c>
      <c r="W39" s="10">
        <v>898196</v>
      </c>
      <c r="X39" s="10">
        <v>5304000</v>
      </c>
      <c r="Y39" s="10">
        <v>284250</v>
      </c>
      <c r="Z39" s="10">
        <v>546767</v>
      </c>
      <c r="AA39" s="10">
        <v>123150</v>
      </c>
      <c r="AB39" s="10">
        <v>-695172</v>
      </c>
      <c r="AC39" s="10">
        <v>-10565</v>
      </c>
      <c r="AD39" s="10">
        <v>22542</v>
      </c>
      <c r="AE39" s="10">
        <v>35457</v>
      </c>
      <c r="AF39" s="10">
        <v>13415805</v>
      </c>
      <c r="AG39" s="10">
        <v>121150</v>
      </c>
      <c r="AH39" s="3"/>
      <c r="AI39" s="3"/>
      <c r="AJ39" s="3"/>
      <c r="AK39" s="10">
        <v>29669105</v>
      </c>
      <c r="AL39" s="10">
        <v>507841</v>
      </c>
      <c r="AM39" s="3"/>
      <c r="AN39" s="10">
        <v>12190428</v>
      </c>
      <c r="AO39" s="10">
        <v>2018161</v>
      </c>
      <c r="AP39" s="10">
        <v>37037851</v>
      </c>
      <c r="AQ39" s="10">
        <v>14209687</v>
      </c>
      <c r="AR39" s="10">
        <v>29575217</v>
      </c>
      <c r="AS39" s="10">
        <v>8199635</v>
      </c>
      <c r="AT39" s="3"/>
      <c r="AU39" s="3"/>
      <c r="AV39" s="3"/>
      <c r="AW39" s="10">
        <v>17805978</v>
      </c>
      <c r="AX39" s="3"/>
      <c r="AY39" s="10">
        <v>344900</v>
      </c>
      <c r="AZ39" s="1">
        <v>2161589.88</v>
      </c>
      <c r="BA39" s="1">
        <v>1080795</v>
      </c>
      <c r="BB39" s="19">
        <v>15132280</v>
      </c>
      <c r="BC39" s="15">
        <v>335381</v>
      </c>
      <c r="BD39" s="15">
        <v>670762</v>
      </c>
      <c r="BE39" s="20">
        <v>7352353</v>
      </c>
      <c r="BF39" s="20">
        <v>7352353</v>
      </c>
      <c r="BG39" s="20">
        <v>11474502</v>
      </c>
      <c r="BH39" s="20">
        <v>8836077</v>
      </c>
      <c r="BI39" s="19"/>
      <c r="BJ39" s="19">
        <v>3108962</v>
      </c>
      <c r="BK39" s="19"/>
      <c r="BL39" s="5">
        <v>265626407</v>
      </c>
      <c r="BM39" s="5">
        <v>214735893</v>
      </c>
      <c r="BN39" s="15">
        <v>1154370</v>
      </c>
      <c r="BO39" s="1"/>
      <c r="BP39" s="1"/>
      <c r="BQ39" s="5"/>
      <c r="BR39" s="5"/>
      <c r="BS39" s="5"/>
    </row>
    <row r="40" spans="1:71" x14ac:dyDescent="0.25">
      <c r="A40" s="6" t="s">
        <v>94</v>
      </c>
      <c r="B40" s="10">
        <v>224732670</v>
      </c>
      <c r="C40" s="10">
        <v>56582823</v>
      </c>
      <c r="D40" s="10">
        <v>85869237</v>
      </c>
      <c r="E40" s="10">
        <v>41321431</v>
      </c>
      <c r="F40" s="10">
        <v>9684400</v>
      </c>
      <c r="G40" s="10">
        <v>3827100</v>
      </c>
      <c r="H40" s="10">
        <v>3281100</v>
      </c>
      <c r="I40" s="10">
        <v>530800</v>
      </c>
      <c r="J40" s="10">
        <v>0</v>
      </c>
      <c r="K40" s="10">
        <v>0</v>
      </c>
      <c r="L40" s="10">
        <v>89938830</v>
      </c>
      <c r="M40" s="10">
        <v>0</v>
      </c>
      <c r="N40" s="10">
        <v>437</v>
      </c>
      <c r="O40" s="10">
        <v>147</v>
      </c>
      <c r="P40" s="10">
        <v>5413675</v>
      </c>
      <c r="Q40" s="10">
        <v>2317200</v>
      </c>
      <c r="R40" s="10">
        <v>1964012</v>
      </c>
      <c r="S40" s="10">
        <v>3420825</v>
      </c>
      <c r="T40" s="10">
        <v>394600</v>
      </c>
      <c r="U40" s="10">
        <v>1320585</v>
      </c>
      <c r="V40" s="10">
        <v>5413675</v>
      </c>
      <c r="W40" s="10">
        <v>3149485</v>
      </c>
      <c r="X40" s="10">
        <v>1964012</v>
      </c>
      <c r="Y40" s="10">
        <v>3420825</v>
      </c>
      <c r="Z40" s="10">
        <v>1040569</v>
      </c>
      <c r="AA40" s="10">
        <v>1320585</v>
      </c>
      <c r="AB40" s="10">
        <v>-2429080</v>
      </c>
      <c r="AC40" s="10">
        <v>-3224524</v>
      </c>
      <c r="AD40" s="10">
        <v>21421</v>
      </c>
      <c r="AE40" s="10">
        <v>0</v>
      </c>
      <c r="AF40" s="10">
        <v>0</v>
      </c>
      <c r="AG40" s="10">
        <v>50124</v>
      </c>
      <c r="AH40" s="3"/>
      <c r="AI40" s="10">
        <v>933445</v>
      </c>
      <c r="AJ40" s="3"/>
      <c r="AK40" s="10">
        <v>46365359</v>
      </c>
      <c r="AL40" s="10">
        <v>2937180</v>
      </c>
      <c r="AM40" s="10">
        <v>814300</v>
      </c>
      <c r="AN40" s="10">
        <v>15218722</v>
      </c>
      <c r="AO40" s="10">
        <v>1360171</v>
      </c>
      <c r="AP40" s="10">
        <v>267495959</v>
      </c>
      <c r="AQ40" s="10">
        <v>28316229</v>
      </c>
      <c r="AR40" s="10">
        <v>69283467</v>
      </c>
      <c r="AS40" s="10">
        <v>11932207</v>
      </c>
      <c r="AT40" s="10">
        <v>120205</v>
      </c>
      <c r="AU40" s="3"/>
      <c r="AV40" s="3"/>
      <c r="AW40" s="10">
        <v>25288330</v>
      </c>
      <c r="AX40" s="10">
        <v>505337</v>
      </c>
      <c r="AY40" s="10">
        <v>74500</v>
      </c>
      <c r="AZ40" s="1">
        <v>3378022.05</v>
      </c>
      <c r="BA40" s="1">
        <v>1689011</v>
      </c>
      <c r="BB40" s="19">
        <v>8246446</v>
      </c>
      <c r="BC40" s="15">
        <v>416061</v>
      </c>
      <c r="BD40" s="15">
        <v>832122</v>
      </c>
      <c r="BE40" s="20">
        <v>4295419</v>
      </c>
      <c r="BF40" s="20">
        <v>4295419</v>
      </c>
      <c r="BG40" s="20">
        <v>19653441</v>
      </c>
      <c r="BH40" s="20">
        <v>18530054</v>
      </c>
      <c r="BI40" s="19"/>
      <c r="BJ40" s="19"/>
      <c r="BK40" s="19"/>
      <c r="BL40" s="5">
        <v>487246381</v>
      </c>
      <c r="BM40" s="5">
        <v>413013297</v>
      </c>
      <c r="BN40" s="15">
        <v>476440</v>
      </c>
      <c r="BO40" s="1"/>
      <c r="BP40" s="1"/>
      <c r="BQ40" s="5"/>
      <c r="BR40" s="5"/>
      <c r="BS40" s="5"/>
    </row>
    <row r="41" spans="1:71" x14ac:dyDescent="0.25">
      <c r="A41" s="6" t="s">
        <v>95</v>
      </c>
      <c r="B41" s="10">
        <v>465765080</v>
      </c>
      <c r="C41" s="10">
        <v>118323970</v>
      </c>
      <c r="D41" s="10">
        <v>47289040</v>
      </c>
      <c r="E41" s="10">
        <v>0</v>
      </c>
      <c r="F41" s="10">
        <v>30083750</v>
      </c>
      <c r="G41" s="10">
        <v>8098500</v>
      </c>
      <c r="H41" s="10">
        <v>9945600</v>
      </c>
      <c r="I41" s="10">
        <v>1398400</v>
      </c>
      <c r="J41" s="10">
        <v>125600</v>
      </c>
      <c r="K41" s="10">
        <v>62800</v>
      </c>
      <c r="L41" s="10">
        <v>171377530</v>
      </c>
      <c r="M41" s="10">
        <v>83300200</v>
      </c>
      <c r="N41" s="10">
        <v>1304</v>
      </c>
      <c r="O41" s="10">
        <v>320</v>
      </c>
      <c r="P41" s="10">
        <v>14172200</v>
      </c>
      <c r="Q41" s="10">
        <v>2470000</v>
      </c>
      <c r="R41" s="10">
        <v>1610000</v>
      </c>
      <c r="S41" s="10">
        <v>3583250</v>
      </c>
      <c r="T41" s="10">
        <v>333100</v>
      </c>
      <c r="U41" s="10">
        <v>1375400</v>
      </c>
      <c r="V41" s="10">
        <v>14172200</v>
      </c>
      <c r="W41" s="10">
        <v>2587000</v>
      </c>
      <c r="X41" s="10">
        <v>1610000</v>
      </c>
      <c r="Y41" s="10">
        <v>3583250</v>
      </c>
      <c r="Z41" s="10">
        <v>605900</v>
      </c>
      <c r="AA41" s="10">
        <v>1375400</v>
      </c>
      <c r="AB41" s="10">
        <v>-2185150</v>
      </c>
      <c r="AC41" s="10">
        <v>-13847</v>
      </c>
      <c r="AD41" s="10">
        <v>0</v>
      </c>
      <c r="AE41" s="10">
        <v>0</v>
      </c>
      <c r="AF41" s="10">
        <v>0</v>
      </c>
      <c r="AG41" s="10">
        <v>134377</v>
      </c>
      <c r="AH41" s="3"/>
      <c r="AI41" s="10">
        <v>141117</v>
      </c>
      <c r="AJ41" s="3"/>
      <c r="AK41" s="10">
        <v>96513012</v>
      </c>
      <c r="AL41" s="10">
        <v>4314529</v>
      </c>
      <c r="AM41" s="10">
        <v>691200</v>
      </c>
      <c r="AN41" s="10">
        <v>6596315</v>
      </c>
      <c r="AO41" s="10">
        <v>84972</v>
      </c>
      <c r="AP41" s="10">
        <v>4901131</v>
      </c>
      <c r="AQ41" s="10">
        <v>5753925</v>
      </c>
      <c r="AR41" s="10">
        <v>1442722</v>
      </c>
      <c r="AS41" s="3"/>
      <c r="AT41" s="10">
        <v>396916</v>
      </c>
      <c r="AU41" s="3"/>
      <c r="AV41" s="3"/>
      <c r="AW41" s="3"/>
      <c r="AX41" s="3"/>
      <c r="AY41" s="10">
        <v>236600</v>
      </c>
      <c r="AZ41" s="1">
        <v>7031609.1500000004</v>
      </c>
      <c r="BA41" s="1">
        <v>3515805</v>
      </c>
      <c r="BB41" s="19"/>
      <c r="BC41" s="15">
        <v>0</v>
      </c>
      <c r="BD41" s="15">
        <v>0</v>
      </c>
      <c r="BE41" s="20">
        <v>11525205</v>
      </c>
      <c r="BF41" s="20">
        <v>11525205</v>
      </c>
      <c r="BG41" s="20">
        <v>25278687</v>
      </c>
      <c r="BH41" s="20">
        <v>25278687</v>
      </c>
      <c r="BI41" s="19"/>
      <c r="BJ41" s="19"/>
      <c r="BK41" s="19"/>
      <c r="BL41" s="5">
        <v>785101657</v>
      </c>
      <c r="BM41" s="5">
        <v>643954419</v>
      </c>
      <c r="BN41" s="15">
        <v>927500</v>
      </c>
      <c r="BO41" s="1"/>
      <c r="BP41" s="1"/>
      <c r="BQ41" s="5"/>
      <c r="BR41" s="5"/>
      <c r="BS41" s="5"/>
    </row>
    <row r="42" spans="1:71" x14ac:dyDescent="0.25">
      <c r="A42" s="6" t="s">
        <v>96</v>
      </c>
      <c r="B42" s="10">
        <v>574964521</v>
      </c>
      <c r="C42" s="10">
        <v>172986645</v>
      </c>
      <c r="D42" s="10">
        <v>179710590</v>
      </c>
      <c r="E42" s="10">
        <v>600000</v>
      </c>
      <c r="F42" s="10">
        <v>27693090</v>
      </c>
      <c r="G42" s="10">
        <v>6004940</v>
      </c>
      <c r="H42" s="10">
        <v>14727900</v>
      </c>
      <c r="I42" s="10">
        <v>1279700</v>
      </c>
      <c r="J42" s="10">
        <v>282600</v>
      </c>
      <c r="K42" s="10">
        <v>0</v>
      </c>
      <c r="L42" s="10">
        <v>255434624</v>
      </c>
      <c r="M42" s="10">
        <v>143659600</v>
      </c>
      <c r="N42" s="10">
        <v>1408</v>
      </c>
      <c r="O42" s="10">
        <v>242</v>
      </c>
      <c r="P42" s="10">
        <v>19254824</v>
      </c>
      <c r="Q42" s="10">
        <v>4398100</v>
      </c>
      <c r="R42" s="10">
        <v>365000</v>
      </c>
      <c r="S42" s="10">
        <v>4297094</v>
      </c>
      <c r="T42" s="10">
        <v>1765680</v>
      </c>
      <c r="U42" s="10">
        <v>1640200</v>
      </c>
      <c r="V42" s="10">
        <v>19254824</v>
      </c>
      <c r="W42" s="10">
        <v>921500</v>
      </c>
      <c r="X42" s="10">
        <v>365000</v>
      </c>
      <c r="Y42" s="10">
        <v>4297094</v>
      </c>
      <c r="Z42" s="10">
        <v>1278000</v>
      </c>
      <c r="AA42" s="10">
        <v>1640200</v>
      </c>
      <c r="AB42" s="10">
        <v>-1141665</v>
      </c>
      <c r="AC42" s="10">
        <v>0</v>
      </c>
      <c r="AD42" s="10">
        <v>47203</v>
      </c>
      <c r="AE42" s="10">
        <v>32</v>
      </c>
      <c r="AF42" s="10">
        <v>0</v>
      </c>
      <c r="AG42" s="10">
        <v>146335</v>
      </c>
      <c r="AH42" s="3"/>
      <c r="AI42" s="3"/>
      <c r="AJ42" s="3"/>
      <c r="AK42" s="10">
        <v>130985741</v>
      </c>
      <c r="AL42" s="10">
        <v>3167461</v>
      </c>
      <c r="AM42" s="3"/>
      <c r="AN42" s="10">
        <v>23527708</v>
      </c>
      <c r="AO42" s="10">
        <v>355062</v>
      </c>
      <c r="AP42" s="10">
        <v>38141450</v>
      </c>
      <c r="AQ42" s="10">
        <v>28662314</v>
      </c>
      <c r="AR42" s="10">
        <v>34459446</v>
      </c>
      <c r="AS42" s="10">
        <v>4166217</v>
      </c>
      <c r="AT42" s="3"/>
      <c r="AU42" s="3"/>
      <c r="AV42" s="3"/>
      <c r="AW42" s="3"/>
      <c r="AX42" s="10">
        <v>6363</v>
      </c>
      <c r="AY42" s="3"/>
      <c r="AZ42" s="1">
        <v>9543174.7100000009</v>
      </c>
      <c r="BA42" s="1">
        <v>4771587</v>
      </c>
      <c r="BB42" s="19"/>
      <c r="BC42" s="15">
        <v>1500351</v>
      </c>
      <c r="BD42" s="15">
        <v>3000703</v>
      </c>
      <c r="BE42" s="20">
        <v>28230179</v>
      </c>
      <c r="BF42" s="20">
        <v>28230179</v>
      </c>
      <c r="BG42" s="20">
        <v>68837169</v>
      </c>
      <c r="BH42" s="20">
        <v>61851852</v>
      </c>
      <c r="BI42" s="19"/>
      <c r="BJ42" s="19"/>
      <c r="BK42" s="19"/>
      <c r="BL42" s="5">
        <v>1210714011</v>
      </c>
      <c r="BM42" s="5">
        <v>980206840</v>
      </c>
      <c r="BN42" s="15">
        <v>2474400</v>
      </c>
      <c r="BO42" s="1"/>
      <c r="BP42" s="1"/>
      <c r="BQ42" s="5"/>
      <c r="BR42" s="5"/>
      <c r="BS42" s="5"/>
    </row>
    <row r="43" spans="1:71" x14ac:dyDescent="0.25">
      <c r="A43" s="6" t="s">
        <v>97</v>
      </c>
      <c r="B43" s="10">
        <v>617652662</v>
      </c>
      <c r="C43" s="10">
        <v>266885819</v>
      </c>
      <c r="D43" s="10">
        <v>229801736</v>
      </c>
      <c r="E43" s="10">
        <v>16919741</v>
      </c>
      <c r="F43" s="10">
        <v>79537760</v>
      </c>
      <c r="G43" s="10">
        <v>15783412</v>
      </c>
      <c r="H43" s="10">
        <v>21991190</v>
      </c>
      <c r="I43" s="10">
        <v>2500550</v>
      </c>
      <c r="J43" s="10">
        <v>125600</v>
      </c>
      <c r="K43" s="10">
        <v>31400</v>
      </c>
      <c r="L43" s="10">
        <v>478396602</v>
      </c>
      <c r="M43" s="10">
        <v>155753496</v>
      </c>
      <c r="N43" s="10">
        <v>3400</v>
      </c>
      <c r="O43" s="10">
        <v>646</v>
      </c>
      <c r="P43" s="10">
        <v>9324875</v>
      </c>
      <c r="Q43" s="10">
        <v>2895400</v>
      </c>
      <c r="R43" s="10">
        <v>9794260</v>
      </c>
      <c r="S43" s="10">
        <v>5847874</v>
      </c>
      <c r="T43" s="10">
        <v>2989330</v>
      </c>
      <c r="U43" s="10">
        <v>3833445</v>
      </c>
      <c r="V43" s="10">
        <v>9324875</v>
      </c>
      <c r="W43" s="10">
        <v>6569000</v>
      </c>
      <c r="X43" s="10">
        <v>9794260</v>
      </c>
      <c r="Y43" s="10">
        <v>5847874</v>
      </c>
      <c r="Z43" s="10">
        <v>7665429</v>
      </c>
      <c r="AA43" s="10">
        <v>3833445</v>
      </c>
      <c r="AB43" s="10">
        <v>1801351</v>
      </c>
      <c r="AC43" s="10">
        <v>554021</v>
      </c>
      <c r="AD43" s="10">
        <v>37459</v>
      </c>
      <c r="AE43" s="10">
        <v>0</v>
      </c>
      <c r="AF43" s="10">
        <v>3665818</v>
      </c>
      <c r="AG43" s="10">
        <v>313246</v>
      </c>
      <c r="AH43" s="3"/>
      <c r="AI43" s="10">
        <v>325086</v>
      </c>
      <c r="AJ43" s="3"/>
      <c r="AK43" s="10">
        <v>215660681</v>
      </c>
      <c r="AL43" s="10">
        <v>4899260</v>
      </c>
      <c r="AM43" s="10">
        <v>263000</v>
      </c>
      <c r="AN43" s="10">
        <v>45323902</v>
      </c>
      <c r="AO43" s="10">
        <v>2140899</v>
      </c>
      <c r="AP43" s="10">
        <v>55677490</v>
      </c>
      <c r="AQ43" s="10">
        <v>56106073</v>
      </c>
      <c r="AR43" s="10">
        <v>29843470</v>
      </c>
      <c r="AS43" s="3"/>
      <c r="AT43" s="3"/>
      <c r="AU43" s="3"/>
      <c r="AV43" s="3"/>
      <c r="AW43" s="10">
        <v>2998797</v>
      </c>
      <c r="AX43" s="10">
        <v>87810</v>
      </c>
      <c r="AY43" s="10">
        <v>264500</v>
      </c>
      <c r="AZ43" s="1">
        <v>15712302.279999999</v>
      </c>
      <c r="BA43" s="1">
        <v>7856151</v>
      </c>
      <c r="BB43" s="19"/>
      <c r="BC43" s="15">
        <v>1357805</v>
      </c>
      <c r="BD43" s="15">
        <v>2715610</v>
      </c>
      <c r="BE43" s="20">
        <v>28525081</v>
      </c>
      <c r="BF43" s="20">
        <v>26252363</v>
      </c>
      <c r="BG43" s="20">
        <v>89759603</v>
      </c>
      <c r="BH43" s="20">
        <v>78097889</v>
      </c>
      <c r="BI43" s="19"/>
      <c r="BJ43" s="19">
        <v>3939883</v>
      </c>
      <c r="BK43" s="19"/>
      <c r="BL43" s="5">
        <v>1556300209</v>
      </c>
      <c r="BM43" s="5">
        <v>1218236177</v>
      </c>
      <c r="BN43" s="15">
        <v>4379644</v>
      </c>
      <c r="BO43" s="1"/>
      <c r="BP43" s="1"/>
      <c r="BQ43" s="5"/>
      <c r="BR43" s="5"/>
      <c r="BS43" s="5"/>
    </row>
    <row r="44" spans="1:71" x14ac:dyDescent="0.25">
      <c r="A44" s="6" t="s">
        <v>98</v>
      </c>
      <c r="B44" s="10">
        <v>520648546</v>
      </c>
      <c r="C44" s="10">
        <v>173790190</v>
      </c>
      <c r="D44" s="10">
        <v>141006451</v>
      </c>
      <c r="E44" s="10">
        <v>12400000</v>
      </c>
      <c r="F44" s="10">
        <v>42694244</v>
      </c>
      <c r="G44" s="10">
        <v>11651169</v>
      </c>
      <c r="H44" s="10">
        <v>17766250</v>
      </c>
      <c r="I44" s="10">
        <v>2705800</v>
      </c>
      <c r="J44" s="10">
        <v>188000</v>
      </c>
      <c r="K44" s="10">
        <v>0</v>
      </c>
      <c r="L44" s="10">
        <v>208130401</v>
      </c>
      <c r="M44" s="10">
        <v>103387534</v>
      </c>
      <c r="N44" s="10">
        <v>2041</v>
      </c>
      <c r="O44" s="10">
        <v>522</v>
      </c>
      <c r="P44" s="10">
        <v>15247101</v>
      </c>
      <c r="Q44" s="10">
        <v>4336803</v>
      </c>
      <c r="R44" s="10">
        <v>1334450</v>
      </c>
      <c r="S44" s="10">
        <v>3454953</v>
      </c>
      <c r="T44" s="10">
        <v>1846867</v>
      </c>
      <c r="U44" s="10">
        <v>1627765</v>
      </c>
      <c r="V44" s="10">
        <v>15247101</v>
      </c>
      <c r="W44" s="10">
        <v>4374035</v>
      </c>
      <c r="X44" s="10">
        <v>1334450</v>
      </c>
      <c r="Y44" s="10">
        <v>3454953</v>
      </c>
      <c r="Z44" s="10">
        <v>1827135</v>
      </c>
      <c r="AA44" s="10">
        <v>1627765</v>
      </c>
      <c r="AB44" s="10">
        <v>-2876860</v>
      </c>
      <c r="AC44" s="10">
        <v>-4991</v>
      </c>
      <c r="AD44" s="10">
        <v>271409</v>
      </c>
      <c r="AE44" s="10">
        <v>68871885</v>
      </c>
      <c r="AF44" s="10">
        <v>3874460</v>
      </c>
      <c r="AG44" s="10">
        <v>271409</v>
      </c>
      <c r="AH44" s="10">
        <v>17297</v>
      </c>
      <c r="AI44" s="10">
        <v>2109692</v>
      </c>
      <c r="AJ44" s="3"/>
      <c r="AK44" s="10">
        <v>131946772</v>
      </c>
      <c r="AL44" s="10">
        <v>12007047</v>
      </c>
      <c r="AM44" s="10">
        <v>196850</v>
      </c>
      <c r="AN44" s="10">
        <v>27665462</v>
      </c>
      <c r="AO44" s="10">
        <v>1625709</v>
      </c>
      <c r="AP44" s="10">
        <v>56700303</v>
      </c>
      <c r="AQ44" s="10">
        <v>39823786</v>
      </c>
      <c r="AR44" s="10">
        <v>30729702</v>
      </c>
      <c r="AS44" s="10">
        <v>1978170</v>
      </c>
      <c r="AT44" s="10">
        <v>30020</v>
      </c>
      <c r="AU44" s="3"/>
      <c r="AV44" s="3"/>
      <c r="AW44" s="10">
        <v>105128</v>
      </c>
      <c r="AX44" s="10">
        <v>4302</v>
      </c>
      <c r="AY44" s="10">
        <v>291500</v>
      </c>
      <c r="AZ44" s="1">
        <v>9613192.1500000004</v>
      </c>
      <c r="BA44" s="1">
        <v>4806596</v>
      </c>
      <c r="BB44" s="19"/>
      <c r="BC44" s="15">
        <v>1240946</v>
      </c>
      <c r="BD44" s="15">
        <v>2481893</v>
      </c>
      <c r="BE44" s="20">
        <v>11444782</v>
      </c>
      <c r="BF44" s="20">
        <v>7284840</v>
      </c>
      <c r="BG44" s="20">
        <v>36179755</v>
      </c>
      <c r="BH44" s="20">
        <v>33757918</v>
      </c>
      <c r="BI44" s="19"/>
      <c r="BJ44" s="19"/>
      <c r="BK44" s="19"/>
      <c r="BL44" s="5">
        <v>1097731252</v>
      </c>
      <c r="BM44" s="5">
        <v>906687133</v>
      </c>
      <c r="BN44" s="15">
        <v>1294270</v>
      </c>
      <c r="BO44" s="1"/>
      <c r="BP44" s="1"/>
      <c r="BQ44" s="5"/>
      <c r="BR44" s="5"/>
      <c r="BS44" s="5"/>
    </row>
    <row r="45" spans="1:71" x14ac:dyDescent="0.25">
      <c r="A45" s="6" t="s">
        <v>99</v>
      </c>
      <c r="B45" s="10">
        <v>140018414</v>
      </c>
      <c r="C45" s="10">
        <v>97646701</v>
      </c>
      <c r="D45" s="10">
        <v>32247642</v>
      </c>
      <c r="E45" s="10">
        <v>0</v>
      </c>
      <c r="F45" s="10">
        <v>20058000</v>
      </c>
      <c r="G45" s="10">
        <v>8068828</v>
      </c>
      <c r="H45" s="10">
        <v>10440100</v>
      </c>
      <c r="I45" s="10">
        <v>2524300</v>
      </c>
      <c r="J45" s="10">
        <v>92800</v>
      </c>
      <c r="K45" s="10">
        <v>0</v>
      </c>
      <c r="L45" s="10">
        <v>111674090</v>
      </c>
      <c r="M45" s="10">
        <v>25778700</v>
      </c>
      <c r="N45" s="10">
        <v>1033</v>
      </c>
      <c r="O45" s="10">
        <v>382</v>
      </c>
      <c r="P45" s="10">
        <v>3589225</v>
      </c>
      <c r="Q45" s="10">
        <v>2401300</v>
      </c>
      <c r="R45" s="10">
        <v>0</v>
      </c>
      <c r="S45" s="10">
        <v>110400</v>
      </c>
      <c r="T45" s="10">
        <v>14250</v>
      </c>
      <c r="U45" s="10">
        <v>1100000</v>
      </c>
      <c r="V45" s="10">
        <v>3589225</v>
      </c>
      <c r="W45" s="10">
        <v>116240</v>
      </c>
      <c r="X45" s="10">
        <v>0</v>
      </c>
      <c r="Y45" s="10">
        <v>110400</v>
      </c>
      <c r="Z45" s="10">
        <v>0</v>
      </c>
      <c r="AA45" s="10">
        <v>1100000</v>
      </c>
      <c r="AB45" s="10">
        <v>-1707750</v>
      </c>
      <c r="AC45" s="10">
        <v>0</v>
      </c>
      <c r="AD45" s="10">
        <v>40657</v>
      </c>
      <c r="AE45" s="10">
        <v>0</v>
      </c>
      <c r="AF45" s="10">
        <v>0</v>
      </c>
      <c r="AG45" s="10">
        <v>217968</v>
      </c>
      <c r="AH45" s="10">
        <v>104266</v>
      </c>
      <c r="AI45" s="10">
        <v>72805</v>
      </c>
      <c r="AJ45" s="3"/>
      <c r="AK45" s="10">
        <v>53747877</v>
      </c>
      <c r="AL45" s="10">
        <v>1194866</v>
      </c>
      <c r="AM45" s="3"/>
      <c r="AN45" s="10">
        <v>6039318</v>
      </c>
      <c r="AO45" s="10">
        <v>38058</v>
      </c>
      <c r="AP45" s="10">
        <v>3025226</v>
      </c>
      <c r="AQ45" s="10">
        <v>6213819</v>
      </c>
      <c r="AR45" s="10">
        <v>2827435</v>
      </c>
      <c r="AS45" s="3"/>
      <c r="AT45" s="10">
        <v>956285</v>
      </c>
      <c r="AU45" s="3"/>
      <c r="AV45" s="10">
        <v>9000</v>
      </c>
      <c r="AW45" s="3"/>
      <c r="AX45" s="10">
        <v>15118</v>
      </c>
      <c r="AY45" s="3"/>
      <c r="AZ45" s="1">
        <v>3915887.15</v>
      </c>
      <c r="BA45" s="1">
        <v>1957944</v>
      </c>
      <c r="BB45" s="19"/>
      <c r="BC45" s="19">
        <v>0</v>
      </c>
      <c r="BD45" s="19">
        <v>0</v>
      </c>
      <c r="BE45" s="20">
        <v>9155994</v>
      </c>
      <c r="BF45" s="20">
        <v>9155994</v>
      </c>
      <c r="BG45" s="20">
        <v>35871663</v>
      </c>
      <c r="BH45" s="20">
        <v>35871663</v>
      </c>
      <c r="BI45" s="19"/>
      <c r="BJ45" s="19"/>
      <c r="BK45" s="19"/>
      <c r="BL45" s="5">
        <v>384309367</v>
      </c>
      <c r="BM45" s="5">
        <v>282381023</v>
      </c>
      <c r="BN45" s="15">
        <v>276762</v>
      </c>
      <c r="BO45" s="1"/>
      <c r="BP45" s="1"/>
      <c r="BQ45" s="5"/>
      <c r="BR45" s="5"/>
      <c r="BS45" s="5"/>
    </row>
    <row r="46" spans="1:71" x14ac:dyDescent="0.25">
      <c r="A46" s="6" t="s">
        <v>100</v>
      </c>
      <c r="B46" s="10">
        <v>811122523</v>
      </c>
      <c r="C46" s="10">
        <v>103667172</v>
      </c>
      <c r="D46" s="10">
        <v>258772181</v>
      </c>
      <c r="E46" s="10">
        <v>0</v>
      </c>
      <c r="F46" s="10">
        <v>87633058</v>
      </c>
      <c r="G46" s="10">
        <v>27943606</v>
      </c>
      <c r="H46" s="10">
        <v>13436441</v>
      </c>
      <c r="I46" s="10">
        <v>4181615</v>
      </c>
      <c r="J46" s="10">
        <v>125600</v>
      </c>
      <c r="K46" s="10">
        <v>31400</v>
      </c>
      <c r="L46" s="10">
        <v>92450229</v>
      </c>
      <c r="M46" s="10">
        <v>86867265</v>
      </c>
      <c r="N46" s="10">
        <v>3452</v>
      </c>
      <c r="O46" s="10">
        <v>1152</v>
      </c>
      <c r="P46" s="10">
        <v>14316910</v>
      </c>
      <c r="Q46" s="10">
        <v>2209961</v>
      </c>
      <c r="R46" s="10">
        <v>16275505</v>
      </c>
      <c r="S46" s="10">
        <v>1463241</v>
      </c>
      <c r="T46" s="10">
        <v>1800</v>
      </c>
      <c r="U46" s="10">
        <v>399025</v>
      </c>
      <c r="V46" s="10">
        <v>14316910</v>
      </c>
      <c r="W46" s="10">
        <v>2209961</v>
      </c>
      <c r="X46" s="10">
        <v>16275505</v>
      </c>
      <c r="Y46" s="10">
        <v>1463241</v>
      </c>
      <c r="Z46" s="10">
        <v>13900</v>
      </c>
      <c r="AA46" s="10">
        <v>399025</v>
      </c>
      <c r="AB46" s="10">
        <v>-13537343</v>
      </c>
      <c r="AC46" s="10">
        <v>-556678</v>
      </c>
      <c r="AD46" s="10">
        <v>147908</v>
      </c>
      <c r="AE46" s="10">
        <v>0</v>
      </c>
      <c r="AF46" s="10">
        <v>0</v>
      </c>
      <c r="AG46" s="10">
        <v>189754</v>
      </c>
      <c r="AH46" s="10">
        <v>695086</v>
      </c>
      <c r="AI46" s="10">
        <v>718362</v>
      </c>
      <c r="AJ46" s="3"/>
      <c r="AK46" s="10">
        <v>213520430</v>
      </c>
      <c r="AL46" s="10">
        <v>5061770</v>
      </c>
      <c r="AM46" s="10">
        <v>70000</v>
      </c>
      <c r="AN46" s="10">
        <v>38892758</v>
      </c>
      <c r="AO46" s="10">
        <v>815945</v>
      </c>
      <c r="AP46" s="10">
        <v>90148699</v>
      </c>
      <c r="AQ46" s="10">
        <v>52021274</v>
      </c>
      <c r="AR46" s="10">
        <v>79024588</v>
      </c>
      <c r="AS46" s="10">
        <v>51825950</v>
      </c>
      <c r="AT46" s="10">
        <v>294572</v>
      </c>
      <c r="AU46" s="3"/>
      <c r="AV46" s="3"/>
      <c r="AW46" s="3"/>
      <c r="AX46" s="3"/>
      <c r="AY46" s="10">
        <v>895125</v>
      </c>
      <c r="AZ46" s="1">
        <v>15556370.880000001</v>
      </c>
      <c r="BA46" s="1">
        <v>7778185</v>
      </c>
      <c r="BB46" s="19">
        <v>9548513</v>
      </c>
      <c r="BC46" s="15">
        <v>17011458</v>
      </c>
      <c r="BD46" s="15">
        <v>34022916</v>
      </c>
      <c r="BE46" s="20">
        <v>44479408</v>
      </c>
      <c r="BF46" s="20">
        <v>44479408</v>
      </c>
      <c r="BG46" s="20">
        <v>93271218</v>
      </c>
      <c r="BH46" s="20">
        <v>78556753</v>
      </c>
      <c r="BI46" s="19"/>
      <c r="BJ46" s="19"/>
      <c r="BK46" s="19"/>
      <c r="BL46" s="5">
        <v>1633113305</v>
      </c>
      <c r="BM46" s="5">
        <v>1266705301</v>
      </c>
      <c r="BN46" s="15">
        <v>1240064</v>
      </c>
      <c r="BO46" s="1"/>
      <c r="BP46" s="1"/>
      <c r="BQ46" s="5"/>
      <c r="BR46" s="5"/>
      <c r="BS46" s="5"/>
    </row>
    <row r="47" spans="1:71" x14ac:dyDescent="0.25">
      <c r="A47" s="6" t="s">
        <v>101</v>
      </c>
      <c r="B47" s="10">
        <v>136413741</v>
      </c>
      <c r="C47" s="10">
        <v>75089800</v>
      </c>
      <c r="D47" s="10">
        <v>123587758</v>
      </c>
      <c r="E47" s="10">
        <v>233333330</v>
      </c>
      <c r="F47" s="10">
        <v>13714000</v>
      </c>
      <c r="G47" s="10">
        <v>2546800</v>
      </c>
      <c r="H47" s="10">
        <v>6867900</v>
      </c>
      <c r="I47" s="10">
        <v>1019800</v>
      </c>
      <c r="J47" s="10">
        <v>28000</v>
      </c>
      <c r="K47" s="10">
        <v>0</v>
      </c>
      <c r="L47" s="10">
        <v>120276600</v>
      </c>
      <c r="M47" s="10">
        <v>53368400</v>
      </c>
      <c r="N47" s="10">
        <v>702</v>
      </c>
      <c r="O47" s="10">
        <v>135</v>
      </c>
      <c r="P47" s="10">
        <v>3038800</v>
      </c>
      <c r="Q47" s="10">
        <v>3155100</v>
      </c>
      <c r="R47" s="10">
        <v>882500</v>
      </c>
      <c r="S47" s="10">
        <v>1879150</v>
      </c>
      <c r="T47" s="10">
        <v>1107000</v>
      </c>
      <c r="U47" s="10">
        <v>275200</v>
      </c>
      <c r="V47" s="10">
        <v>3038800</v>
      </c>
      <c r="W47" s="10">
        <v>3430200</v>
      </c>
      <c r="X47" s="10">
        <v>882500</v>
      </c>
      <c r="Y47" s="10">
        <v>1879150</v>
      </c>
      <c r="Z47" s="10">
        <v>753100</v>
      </c>
      <c r="AA47" s="10">
        <v>275200</v>
      </c>
      <c r="AB47" s="10">
        <v>565750</v>
      </c>
      <c r="AC47" s="10">
        <v>-362899</v>
      </c>
      <c r="AD47" s="10">
        <v>85439</v>
      </c>
      <c r="AE47" s="10">
        <v>0</v>
      </c>
      <c r="AF47" s="10">
        <v>0</v>
      </c>
      <c r="AG47" s="10">
        <v>107525</v>
      </c>
      <c r="AH47" s="10">
        <v>455234</v>
      </c>
      <c r="AI47" s="10">
        <v>209828</v>
      </c>
      <c r="AJ47" s="10">
        <v>230000</v>
      </c>
      <c r="AK47" s="10">
        <v>51294142</v>
      </c>
      <c r="AL47" s="10">
        <v>1375985</v>
      </c>
      <c r="AM47" s="3"/>
      <c r="AN47" s="10">
        <v>31485576</v>
      </c>
      <c r="AO47" s="10">
        <v>40841212</v>
      </c>
      <c r="AP47" s="10">
        <v>520925550</v>
      </c>
      <c r="AQ47" s="10">
        <v>82136482</v>
      </c>
      <c r="AR47" s="10">
        <v>130266032</v>
      </c>
      <c r="AS47" s="10">
        <v>12112366</v>
      </c>
      <c r="AT47" s="10">
        <v>592374</v>
      </c>
      <c r="AU47" s="3"/>
      <c r="AV47" s="3"/>
      <c r="AW47" s="10">
        <v>482771</v>
      </c>
      <c r="AX47" s="10">
        <v>166073</v>
      </c>
      <c r="AY47" s="3"/>
      <c r="AZ47" s="1">
        <v>3737116.38</v>
      </c>
      <c r="BA47" s="1">
        <v>1868558</v>
      </c>
      <c r="BB47" s="19">
        <v>15270711</v>
      </c>
      <c r="BC47" s="15">
        <v>922570</v>
      </c>
      <c r="BD47" s="15">
        <v>1845139</v>
      </c>
      <c r="BE47" s="20">
        <v>10477183</v>
      </c>
      <c r="BF47" s="20">
        <v>10477183</v>
      </c>
      <c r="BG47" s="20">
        <v>28692684</v>
      </c>
      <c r="BH47" s="20">
        <v>26922930</v>
      </c>
      <c r="BI47" s="19"/>
      <c r="BJ47" s="19"/>
      <c r="BK47" s="19"/>
      <c r="BL47" s="5">
        <v>583310999</v>
      </c>
      <c r="BM47" s="5">
        <v>490449631</v>
      </c>
      <c r="BN47" s="15">
        <v>493500</v>
      </c>
      <c r="BO47" s="1"/>
      <c r="BP47" s="1"/>
      <c r="BQ47" s="5"/>
      <c r="BR47" s="5"/>
      <c r="BS47" s="5"/>
    </row>
    <row r="48" spans="1:71" x14ac:dyDescent="0.25">
      <c r="A48" s="6" t="s">
        <v>102</v>
      </c>
      <c r="B48" s="10">
        <v>3088978018</v>
      </c>
      <c r="C48" s="10">
        <v>337073327</v>
      </c>
      <c r="D48" s="10">
        <v>1165384818</v>
      </c>
      <c r="E48" s="10">
        <v>4500000</v>
      </c>
      <c r="F48" s="10">
        <v>150391400</v>
      </c>
      <c r="G48" s="10">
        <v>25778301</v>
      </c>
      <c r="H48" s="10">
        <v>20991600</v>
      </c>
      <c r="I48" s="10">
        <v>2247700</v>
      </c>
      <c r="J48" s="10">
        <v>376800</v>
      </c>
      <c r="K48" s="10">
        <v>0</v>
      </c>
      <c r="L48" s="10">
        <v>407549538</v>
      </c>
      <c r="M48" s="10">
        <v>767862165</v>
      </c>
      <c r="N48" s="10">
        <v>5609</v>
      </c>
      <c r="O48" s="10">
        <v>954</v>
      </c>
      <c r="P48" s="10">
        <v>167420850</v>
      </c>
      <c r="Q48" s="10">
        <v>6103500</v>
      </c>
      <c r="R48" s="10">
        <v>27862517</v>
      </c>
      <c r="S48" s="10">
        <v>3158230</v>
      </c>
      <c r="T48" s="10">
        <v>319500</v>
      </c>
      <c r="U48" s="10">
        <v>5070550</v>
      </c>
      <c r="V48" s="10">
        <v>167420850</v>
      </c>
      <c r="W48" s="10">
        <v>6103500</v>
      </c>
      <c r="X48" s="10">
        <v>27862517</v>
      </c>
      <c r="Y48" s="10">
        <v>3158230</v>
      </c>
      <c r="Z48" s="10">
        <v>319500</v>
      </c>
      <c r="AA48" s="10">
        <v>5070550</v>
      </c>
      <c r="AB48" s="10">
        <v>-5971700</v>
      </c>
      <c r="AC48" s="10">
        <v>-376900</v>
      </c>
      <c r="AD48" s="10">
        <v>2621</v>
      </c>
      <c r="AE48" s="10">
        <v>0</v>
      </c>
      <c r="AF48" s="10">
        <v>0</v>
      </c>
      <c r="AG48" s="10">
        <v>4832</v>
      </c>
      <c r="AH48" s="3"/>
      <c r="AI48" s="10">
        <v>765086</v>
      </c>
      <c r="AJ48" s="3"/>
      <c r="AK48" s="10">
        <v>548939754</v>
      </c>
      <c r="AL48" s="10">
        <v>10973503</v>
      </c>
      <c r="AM48" s="10">
        <v>62000</v>
      </c>
      <c r="AN48" s="10">
        <v>197427815</v>
      </c>
      <c r="AO48" s="10">
        <v>15016082</v>
      </c>
      <c r="AP48" s="10">
        <v>498035494</v>
      </c>
      <c r="AQ48" s="10">
        <v>217268301</v>
      </c>
      <c r="AR48" s="10">
        <v>126287240</v>
      </c>
      <c r="AS48" s="10">
        <v>14295305</v>
      </c>
      <c r="AT48" s="10">
        <v>5121422</v>
      </c>
      <c r="AU48" s="3"/>
      <c r="AV48" s="10">
        <v>38576</v>
      </c>
      <c r="AW48" s="10">
        <v>16398824</v>
      </c>
      <c r="AX48" s="10">
        <v>448718</v>
      </c>
      <c r="AY48" s="10">
        <v>1949019</v>
      </c>
      <c r="AZ48" s="1">
        <v>39993879.770000003</v>
      </c>
      <c r="BA48" s="1">
        <v>19996940</v>
      </c>
      <c r="BB48" s="19">
        <v>1085059</v>
      </c>
      <c r="BC48" s="15">
        <v>3073423</v>
      </c>
      <c r="BD48" s="15">
        <v>6146845</v>
      </c>
      <c r="BE48" s="20">
        <v>40749109</v>
      </c>
      <c r="BF48" s="20">
        <v>34926016</v>
      </c>
      <c r="BG48" s="20">
        <v>147974278</v>
      </c>
      <c r="BH48" s="20">
        <v>139748321</v>
      </c>
      <c r="BI48" s="19"/>
      <c r="BJ48" s="19"/>
      <c r="BK48" s="19"/>
      <c r="BL48" s="5">
        <v>5779571404</v>
      </c>
      <c r="BM48" s="5">
        <v>5021913447</v>
      </c>
      <c r="BN48" s="15">
        <v>12268800</v>
      </c>
      <c r="BO48" s="1"/>
      <c r="BP48" s="1"/>
      <c r="BQ48" s="5"/>
      <c r="BR48" s="5"/>
      <c r="BS48" s="5"/>
    </row>
    <row r="49" spans="1:71" x14ac:dyDescent="0.25">
      <c r="A49" s="6" t="s">
        <v>103</v>
      </c>
      <c r="B49" s="10">
        <v>350909683</v>
      </c>
      <c r="C49" s="10">
        <v>36605733</v>
      </c>
      <c r="D49" s="10">
        <v>133638507</v>
      </c>
      <c r="E49" s="10">
        <v>0</v>
      </c>
      <c r="F49" s="10">
        <v>53378772</v>
      </c>
      <c r="G49" s="10">
        <v>60369428</v>
      </c>
      <c r="H49" s="10">
        <v>2524965</v>
      </c>
      <c r="I49" s="10">
        <v>1375225</v>
      </c>
      <c r="J49" s="10">
        <v>347900</v>
      </c>
      <c r="K49" s="10">
        <v>84250</v>
      </c>
      <c r="L49" s="10">
        <v>93420021</v>
      </c>
      <c r="M49" s="10">
        <v>12263725</v>
      </c>
      <c r="N49" s="10">
        <v>2136</v>
      </c>
      <c r="O49" s="10">
        <v>2447</v>
      </c>
      <c r="P49" s="10">
        <v>7474456</v>
      </c>
      <c r="Q49" s="10">
        <v>79935</v>
      </c>
      <c r="R49" s="10">
        <v>1098627</v>
      </c>
      <c r="S49" s="10">
        <v>4095220</v>
      </c>
      <c r="T49" s="10">
        <v>209025</v>
      </c>
      <c r="U49" s="10">
        <v>779600</v>
      </c>
      <c r="V49" s="10">
        <v>7474456</v>
      </c>
      <c r="W49" s="10">
        <v>217595</v>
      </c>
      <c r="X49" s="10">
        <v>1098627</v>
      </c>
      <c r="Y49" s="10">
        <v>4095220</v>
      </c>
      <c r="Z49" s="10">
        <v>755250</v>
      </c>
      <c r="AA49" s="10">
        <v>799600</v>
      </c>
      <c r="AB49" s="10">
        <v>-2329892</v>
      </c>
      <c r="AC49" s="10">
        <v>-296930</v>
      </c>
      <c r="AD49" s="10">
        <v>235458</v>
      </c>
      <c r="AE49" s="10">
        <v>0</v>
      </c>
      <c r="AF49" s="10">
        <v>0</v>
      </c>
      <c r="AG49" s="10">
        <v>207671</v>
      </c>
      <c r="AH49" s="10">
        <v>4382484</v>
      </c>
      <c r="AI49" s="10">
        <v>35129097</v>
      </c>
      <c r="AJ49" s="10">
        <v>172081618</v>
      </c>
      <c r="AK49" s="10">
        <v>149664092</v>
      </c>
      <c r="AL49" s="10">
        <v>2179084</v>
      </c>
      <c r="AM49" s="3"/>
      <c r="AN49" s="10">
        <v>170987066</v>
      </c>
      <c r="AO49" s="10">
        <v>3148702</v>
      </c>
      <c r="AP49" s="10">
        <v>43306759</v>
      </c>
      <c r="AQ49" s="10">
        <v>23706325</v>
      </c>
      <c r="AR49" s="10">
        <v>10181461</v>
      </c>
      <c r="AS49" s="3"/>
      <c r="AT49" s="10">
        <v>95019</v>
      </c>
      <c r="AU49" s="3"/>
      <c r="AV49" s="3"/>
      <c r="AW49" s="3"/>
      <c r="AX49" s="10">
        <v>56839</v>
      </c>
      <c r="AY49" s="10">
        <v>1000500</v>
      </c>
      <c r="AZ49" s="1">
        <v>10904015.710000001</v>
      </c>
      <c r="BA49" s="1">
        <v>5452008</v>
      </c>
      <c r="BB49" s="19"/>
      <c r="BC49" s="15">
        <v>4773845</v>
      </c>
      <c r="BD49" s="15">
        <v>9547690</v>
      </c>
      <c r="BE49" s="20">
        <v>11177575</v>
      </c>
      <c r="BF49" s="20">
        <v>11177575</v>
      </c>
      <c r="BG49" s="20">
        <v>43923262</v>
      </c>
      <c r="BH49" s="20">
        <v>38506216</v>
      </c>
      <c r="BI49" s="19"/>
      <c r="BJ49" s="19"/>
      <c r="BK49" s="19"/>
      <c r="BL49" s="5">
        <v>1142342035</v>
      </c>
      <c r="BM49" s="5">
        <v>930589215</v>
      </c>
      <c r="BN49" s="15">
        <v>594421</v>
      </c>
      <c r="BO49" s="1"/>
      <c r="BP49" s="1"/>
      <c r="BQ49" s="5"/>
      <c r="BR49" s="5"/>
      <c r="BS49" s="5"/>
    </row>
    <row r="50" spans="1:71" x14ac:dyDescent="0.25">
      <c r="A50" s="6" t="s">
        <v>104</v>
      </c>
      <c r="B50" s="10">
        <v>441300380</v>
      </c>
      <c r="C50" s="10">
        <v>198622462</v>
      </c>
      <c r="D50" s="10">
        <v>94325403</v>
      </c>
      <c r="E50" s="10">
        <v>1666665</v>
      </c>
      <c r="F50" s="10">
        <v>27778307</v>
      </c>
      <c r="G50" s="10">
        <v>3825000</v>
      </c>
      <c r="H50" s="10">
        <v>11078617</v>
      </c>
      <c r="I50" s="10">
        <v>1156252</v>
      </c>
      <c r="J50" s="10">
        <v>31400</v>
      </c>
      <c r="K50" s="10">
        <v>0</v>
      </c>
      <c r="L50" s="10">
        <v>239222994</v>
      </c>
      <c r="M50" s="10">
        <v>134572020</v>
      </c>
      <c r="N50" s="10">
        <v>1251</v>
      </c>
      <c r="O50" s="10">
        <v>164</v>
      </c>
      <c r="P50" s="10">
        <v>7407096</v>
      </c>
      <c r="Q50" s="10">
        <v>3929683</v>
      </c>
      <c r="R50" s="10">
        <v>2906312</v>
      </c>
      <c r="S50" s="10">
        <v>122200</v>
      </c>
      <c r="T50" s="10">
        <v>0</v>
      </c>
      <c r="U50" s="10">
        <v>0</v>
      </c>
      <c r="V50" s="10">
        <v>7407096</v>
      </c>
      <c r="W50" s="10">
        <v>3947337</v>
      </c>
      <c r="X50" s="10">
        <v>2906312</v>
      </c>
      <c r="Y50" s="10">
        <v>122200</v>
      </c>
      <c r="Z50" s="10">
        <v>0</v>
      </c>
      <c r="AA50" s="10">
        <v>0</v>
      </c>
      <c r="AB50" s="10">
        <v>-2240859</v>
      </c>
      <c r="AC50" s="10">
        <v>-447809</v>
      </c>
      <c r="AD50" s="10">
        <v>0</v>
      </c>
      <c r="AE50" s="10">
        <v>0</v>
      </c>
      <c r="AF50" s="10">
        <v>0</v>
      </c>
      <c r="AG50" s="10">
        <v>195452</v>
      </c>
      <c r="AH50" s="3"/>
      <c r="AI50" s="3"/>
      <c r="AJ50" s="3"/>
      <c r="AK50" s="10">
        <v>111029239</v>
      </c>
      <c r="AL50" s="10">
        <v>2234894</v>
      </c>
      <c r="AM50" s="3"/>
      <c r="AN50" s="10">
        <v>23114111</v>
      </c>
      <c r="AO50" s="10">
        <v>3531761</v>
      </c>
      <c r="AP50" s="10">
        <v>81794837</v>
      </c>
      <c r="AQ50" s="10">
        <v>13753280</v>
      </c>
      <c r="AR50" s="10">
        <v>19551145</v>
      </c>
      <c r="AS50" s="10">
        <v>871209</v>
      </c>
      <c r="AT50" s="10">
        <v>113493</v>
      </c>
      <c r="AU50" s="10">
        <v>15192779</v>
      </c>
      <c r="AV50" s="10">
        <v>48704</v>
      </c>
      <c r="AW50" s="10">
        <v>369944</v>
      </c>
      <c r="AX50" s="10">
        <v>6465</v>
      </c>
      <c r="AY50" s="10">
        <v>548013</v>
      </c>
      <c r="AZ50" s="1">
        <v>8089211.9800000004</v>
      </c>
      <c r="BA50" s="1">
        <v>4044606</v>
      </c>
      <c r="BB50" s="19"/>
      <c r="BC50" s="15">
        <v>1227922</v>
      </c>
      <c r="BD50" s="15">
        <v>2455844</v>
      </c>
      <c r="BE50" s="20">
        <v>8385204</v>
      </c>
      <c r="BF50" s="20">
        <v>8385204</v>
      </c>
      <c r="BG50" s="20">
        <v>38184058</v>
      </c>
      <c r="BH50" s="20">
        <v>34145618</v>
      </c>
      <c r="BI50" s="19"/>
      <c r="BJ50" s="19"/>
      <c r="BK50" s="19"/>
      <c r="BL50" s="5">
        <v>935714880</v>
      </c>
      <c r="BM50" s="5">
        <v>774647397</v>
      </c>
      <c r="BN50" s="15">
        <v>1005723</v>
      </c>
      <c r="BO50" s="1"/>
      <c r="BP50" s="1"/>
      <c r="BQ50" s="5"/>
      <c r="BR50" s="5"/>
      <c r="BS50" s="5"/>
    </row>
    <row r="51" spans="1:71" x14ac:dyDescent="0.25">
      <c r="A51" s="6" t="s">
        <v>105</v>
      </c>
      <c r="B51" s="10">
        <v>243735732</v>
      </c>
      <c r="C51" s="10">
        <v>165338770</v>
      </c>
      <c r="D51" s="10">
        <v>103510340</v>
      </c>
      <c r="E51" s="10">
        <v>0</v>
      </c>
      <c r="F51" s="10">
        <v>30529240</v>
      </c>
      <c r="G51" s="10">
        <v>8485350</v>
      </c>
      <c r="H51" s="10">
        <v>15013395</v>
      </c>
      <c r="I51" s="10">
        <v>2767200</v>
      </c>
      <c r="J51" s="10">
        <v>102800</v>
      </c>
      <c r="K51" s="10">
        <v>0</v>
      </c>
      <c r="L51" s="10">
        <v>203275349</v>
      </c>
      <c r="M51" s="10">
        <v>102877947</v>
      </c>
      <c r="N51" s="10">
        <v>1579</v>
      </c>
      <c r="O51" s="10">
        <v>426</v>
      </c>
      <c r="P51" s="10">
        <v>5292700</v>
      </c>
      <c r="Q51" s="10">
        <v>2787500</v>
      </c>
      <c r="R51" s="10">
        <v>10595756</v>
      </c>
      <c r="S51" s="10">
        <v>1213806</v>
      </c>
      <c r="T51" s="10">
        <v>197350</v>
      </c>
      <c r="U51" s="10">
        <v>479250</v>
      </c>
      <c r="V51" s="10">
        <v>5292700</v>
      </c>
      <c r="W51" s="10">
        <v>2747500</v>
      </c>
      <c r="X51" s="10">
        <v>10595756</v>
      </c>
      <c r="Y51" s="10">
        <v>1213806</v>
      </c>
      <c r="Z51" s="10">
        <v>108000</v>
      </c>
      <c r="AA51" s="10">
        <v>479250</v>
      </c>
      <c r="AB51" s="10">
        <v>-1884137</v>
      </c>
      <c r="AC51" s="10">
        <v>305905</v>
      </c>
      <c r="AD51" s="10">
        <v>106614</v>
      </c>
      <c r="AE51" s="10">
        <v>0</v>
      </c>
      <c r="AF51" s="10">
        <v>0</v>
      </c>
      <c r="AG51" s="10">
        <v>236875</v>
      </c>
      <c r="AH51" s="10">
        <v>626148</v>
      </c>
      <c r="AI51" s="10">
        <v>109961</v>
      </c>
      <c r="AJ51" s="3"/>
      <c r="AK51" s="10">
        <v>76443171</v>
      </c>
      <c r="AL51" s="10">
        <v>2496236</v>
      </c>
      <c r="AM51" s="3"/>
      <c r="AN51" s="10">
        <v>12958119</v>
      </c>
      <c r="AO51" s="10">
        <v>229306</v>
      </c>
      <c r="AP51" s="10">
        <v>114479241</v>
      </c>
      <c r="AQ51" s="10">
        <v>37412839</v>
      </c>
      <c r="AR51" s="10">
        <v>23441354</v>
      </c>
      <c r="AS51" s="3"/>
      <c r="AT51" s="10">
        <v>65297</v>
      </c>
      <c r="AU51" s="3"/>
      <c r="AV51" s="3"/>
      <c r="AW51" s="10">
        <v>703173</v>
      </c>
      <c r="AX51" s="10">
        <v>22500</v>
      </c>
      <c r="AY51" s="3"/>
      <c r="AZ51" s="1">
        <v>5569388.9299999997</v>
      </c>
      <c r="BA51" s="1">
        <v>2784694</v>
      </c>
      <c r="BB51" s="19"/>
      <c r="BC51" s="15">
        <v>806434</v>
      </c>
      <c r="BD51" s="15">
        <v>1612869</v>
      </c>
      <c r="BE51" s="20">
        <v>9564365</v>
      </c>
      <c r="BF51" s="20">
        <v>9564365</v>
      </c>
      <c r="BG51" s="20">
        <v>64252166</v>
      </c>
      <c r="BH51" s="20">
        <v>61315528</v>
      </c>
      <c r="BI51" s="19"/>
      <c r="BJ51" s="19"/>
      <c r="BK51" s="19"/>
      <c r="BL51" s="5">
        <v>717331643</v>
      </c>
      <c r="BM51" s="5">
        <v>563921215</v>
      </c>
      <c r="BN51" s="15">
        <v>729752</v>
      </c>
      <c r="BO51" s="1"/>
      <c r="BP51" s="1"/>
      <c r="BQ51" s="5"/>
      <c r="BR51" s="5"/>
      <c r="BS51" s="5"/>
    </row>
    <row r="52" spans="1:71" x14ac:dyDescent="0.25">
      <c r="A52" s="6" t="s">
        <v>106</v>
      </c>
      <c r="B52" s="10">
        <v>1162121923</v>
      </c>
      <c r="C52" s="10">
        <v>211333765</v>
      </c>
      <c r="D52" s="10">
        <v>445629971</v>
      </c>
      <c r="E52" s="10">
        <v>131205325</v>
      </c>
      <c r="F52" s="10">
        <v>91237096</v>
      </c>
      <c r="G52" s="10">
        <v>13250312</v>
      </c>
      <c r="H52" s="10">
        <v>8671785</v>
      </c>
      <c r="I52" s="10">
        <v>502400</v>
      </c>
      <c r="J52" s="10">
        <v>271700</v>
      </c>
      <c r="K52" s="10">
        <v>31400</v>
      </c>
      <c r="L52" s="10">
        <v>240346893</v>
      </c>
      <c r="M52" s="10">
        <v>91162422</v>
      </c>
      <c r="N52" s="10">
        <v>3357</v>
      </c>
      <c r="O52" s="10">
        <v>480</v>
      </c>
      <c r="P52" s="10">
        <v>34719506</v>
      </c>
      <c r="Q52" s="10">
        <v>4641150</v>
      </c>
      <c r="R52" s="10">
        <v>31657320</v>
      </c>
      <c r="S52" s="10">
        <v>8208614</v>
      </c>
      <c r="T52" s="10">
        <v>2360744</v>
      </c>
      <c r="U52" s="10">
        <v>3752235</v>
      </c>
      <c r="V52" s="10">
        <v>34719506</v>
      </c>
      <c r="W52" s="10">
        <v>383634</v>
      </c>
      <c r="X52" s="10">
        <v>31657320</v>
      </c>
      <c r="Y52" s="10">
        <v>8208614</v>
      </c>
      <c r="Z52" s="10">
        <v>650355</v>
      </c>
      <c r="AA52" s="10">
        <v>3752235</v>
      </c>
      <c r="AB52" s="10">
        <v>-3826305</v>
      </c>
      <c r="AC52" s="10">
        <v>-2300746</v>
      </c>
      <c r="AD52" s="10">
        <v>36834</v>
      </c>
      <c r="AE52" s="10">
        <v>5174</v>
      </c>
      <c r="AF52" s="10">
        <v>16647285</v>
      </c>
      <c r="AG52" s="10">
        <v>244261</v>
      </c>
      <c r="AH52" s="10">
        <v>27625961</v>
      </c>
      <c r="AI52" s="10">
        <v>11805</v>
      </c>
      <c r="AJ52" s="10">
        <v>41272096</v>
      </c>
      <c r="AK52" s="10">
        <v>261822017</v>
      </c>
      <c r="AL52" s="10">
        <v>8868318</v>
      </c>
      <c r="AM52" s="10">
        <v>248900</v>
      </c>
      <c r="AN52" s="10">
        <v>93733515</v>
      </c>
      <c r="AO52" s="10">
        <v>13295332</v>
      </c>
      <c r="AP52" s="10">
        <v>295402282</v>
      </c>
      <c r="AQ52" s="10">
        <v>90531378</v>
      </c>
      <c r="AR52" s="10">
        <v>93530876</v>
      </c>
      <c r="AS52" s="10">
        <v>52637152</v>
      </c>
      <c r="AT52" s="10">
        <v>2536300</v>
      </c>
      <c r="AU52" s="3"/>
      <c r="AV52" s="3"/>
      <c r="AW52" s="10">
        <v>50408630</v>
      </c>
      <c r="AX52" s="10">
        <v>23103045</v>
      </c>
      <c r="AY52" s="10">
        <v>1905333</v>
      </c>
      <c r="AZ52" s="1">
        <v>19075459.91</v>
      </c>
      <c r="BA52" s="1">
        <v>9537730</v>
      </c>
      <c r="BB52" s="19">
        <v>44181808</v>
      </c>
      <c r="BC52" s="15">
        <v>1544490</v>
      </c>
      <c r="BD52" s="15">
        <v>3088980</v>
      </c>
      <c r="BE52" s="20">
        <v>18665255</v>
      </c>
      <c r="BF52" s="20">
        <v>18665255</v>
      </c>
      <c r="BG52" s="20">
        <v>64781126</v>
      </c>
      <c r="BH52" s="20">
        <v>61427624</v>
      </c>
      <c r="BI52" s="19"/>
      <c r="BJ52" s="19"/>
      <c r="BK52" s="19"/>
      <c r="BL52" s="5">
        <v>2447421180</v>
      </c>
      <c r="BM52" s="5">
        <v>2085555746</v>
      </c>
      <c r="BN52" s="15">
        <v>4510556</v>
      </c>
      <c r="BO52" s="1"/>
      <c r="BP52" s="1"/>
      <c r="BQ52" s="5"/>
      <c r="BR52" s="5"/>
      <c r="BS52" s="5"/>
    </row>
    <row r="53" spans="1:71" x14ac:dyDescent="0.25">
      <c r="A53" s="6" t="s">
        <v>107</v>
      </c>
      <c r="B53" s="10">
        <v>399985300</v>
      </c>
      <c r="C53" s="10">
        <v>166186400</v>
      </c>
      <c r="D53" s="10">
        <v>63347200</v>
      </c>
      <c r="E53" s="10">
        <v>0</v>
      </c>
      <c r="F53" s="10">
        <v>25083500</v>
      </c>
      <c r="G53" s="10">
        <v>3930700</v>
      </c>
      <c r="H53" s="10">
        <v>8190200</v>
      </c>
      <c r="I53" s="10">
        <v>533800</v>
      </c>
      <c r="J53" s="10">
        <v>31400</v>
      </c>
      <c r="K53" s="10">
        <v>0</v>
      </c>
      <c r="L53" s="10">
        <v>267517114</v>
      </c>
      <c r="M53" s="10">
        <v>111089900</v>
      </c>
      <c r="N53" s="10">
        <v>1091</v>
      </c>
      <c r="O53" s="10">
        <v>147</v>
      </c>
      <c r="P53" s="10">
        <v>10274200</v>
      </c>
      <c r="Q53" s="10">
        <v>5651600</v>
      </c>
      <c r="R53" s="10">
        <v>607800</v>
      </c>
      <c r="S53" s="10">
        <v>1470600</v>
      </c>
      <c r="T53" s="10">
        <v>1256600</v>
      </c>
      <c r="U53" s="10">
        <v>631600</v>
      </c>
      <c r="V53" s="10">
        <v>10274200</v>
      </c>
      <c r="W53" s="10">
        <v>6396900</v>
      </c>
      <c r="X53" s="10">
        <v>607800</v>
      </c>
      <c r="Y53" s="10">
        <v>1470600</v>
      </c>
      <c r="Z53" s="10">
        <v>1664100</v>
      </c>
      <c r="AA53" s="10">
        <v>631600</v>
      </c>
      <c r="AB53" s="10">
        <v>-2588500</v>
      </c>
      <c r="AC53" s="10">
        <v>-33214</v>
      </c>
      <c r="AD53" s="10">
        <v>31263</v>
      </c>
      <c r="AE53" s="10">
        <v>172079</v>
      </c>
      <c r="AF53" s="10">
        <v>126330700</v>
      </c>
      <c r="AG53" s="10">
        <v>167025</v>
      </c>
      <c r="AH53" s="3"/>
      <c r="AI53" s="10">
        <v>261547</v>
      </c>
      <c r="AJ53" s="3"/>
      <c r="AK53" s="10">
        <v>89980503</v>
      </c>
      <c r="AL53" s="10">
        <v>1893760</v>
      </c>
      <c r="AM53" s="10">
        <v>28000</v>
      </c>
      <c r="AN53" s="10">
        <v>14614954</v>
      </c>
      <c r="AO53" s="10">
        <v>604968</v>
      </c>
      <c r="AP53" s="10">
        <v>31060587</v>
      </c>
      <c r="AQ53" s="10">
        <v>8685966</v>
      </c>
      <c r="AR53" s="10">
        <v>23615959</v>
      </c>
      <c r="AS53" s="10">
        <v>6377405</v>
      </c>
      <c r="AT53" s="10">
        <v>909024</v>
      </c>
      <c r="AU53" s="3"/>
      <c r="AV53" s="3"/>
      <c r="AW53" s="10">
        <v>824232</v>
      </c>
      <c r="AX53" s="10">
        <v>336971</v>
      </c>
      <c r="AY53" s="10">
        <v>209000</v>
      </c>
      <c r="AZ53" s="1">
        <v>6555672.8099999996</v>
      </c>
      <c r="BA53" s="1">
        <v>3277836</v>
      </c>
      <c r="BB53" s="19">
        <v>1156270</v>
      </c>
      <c r="BC53" s="15">
        <v>542688</v>
      </c>
      <c r="BD53" s="15">
        <v>1085376</v>
      </c>
      <c r="BE53" s="20">
        <v>19812675</v>
      </c>
      <c r="BF53" s="20">
        <v>19812675</v>
      </c>
      <c r="BG53" s="20">
        <v>29931245</v>
      </c>
      <c r="BH53" s="20">
        <v>28466026</v>
      </c>
      <c r="BI53" s="19"/>
      <c r="BJ53" s="19"/>
      <c r="BK53" s="19"/>
      <c r="BL53" s="5">
        <v>797659823</v>
      </c>
      <c r="BM53" s="5">
        <v>653686335</v>
      </c>
      <c r="BN53" s="15">
        <v>430400</v>
      </c>
      <c r="BO53" s="1"/>
      <c r="BP53" s="1"/>
      <c r="BQ53" s="5"/>
      <c r="BR53" s="5"/>
      <c r="BS53" s="5"/>
    </row>
    <row r="54" spans="1:71" x14ac:dyDescent="0.25">
      <c r="A54" s="6" t="s">
        <v>108</v>
      </c>
      <c r="B54" s="10">
        <v>57169691</v>
      </c>
      <c r="C54" s="10">
        <v>72801329</v>
      </c>
      <c r="D54" s="10">
        <v>11353503</v>
      </c>
      <c r="E54" s="10">
        <v>0</v>
      </c>
      <c r="F54" s="10">
        <v>11574150</v>
      </c>
      <c r="G54" s="10">
        <v>2194700</v>
      </c>
      <c r="H54" s="10">
        <v>5705050</v>
      </c>
      <c r="I54" s="10">
        <v>426375</v>
      </c>
      <c r="J54" s="10">
        <v>10000</v>
      </c>
      <c r="K54" s="10">
        <v>0</v>
      </c>
      <c r="L54" s="10">
        <v>115347530</v>
      </c>
      <c r="M54" s="10">
        <v>0</v>
      </c>
      <c r="N54" s="10">
        <v>612</v>
      </c>
      <c r="O54" s="10">
        <v>109</v>
      </c>
      <c r="P54" s="10">
        <v>576500</v>
      </c>
      <c r="Q54" s="10">
        <v>757500</v>
      </c>
      <c r="R54" s="10">
        <v>0</v>
      </c>
      <c r="S54" s="10">
        <v>445950</v>
      </c>
      <c r="T54" s="10">
        <v>199475</v>
      </c>
      <c r="U54" s="10">
        <v>14500</v>
      </c>
      <c r="V54" s="10">
        <v>576500</v>
      </c>
      <c r="W54" s="10">
        <v>787500</v>
      </c>
      <c r="X54" s="10">
        <v>0</v>
      </c>
      <c r="Y54" s="10">
        <v>445950</v>
      </c>
      <c r="Z54" s="10">
        <v>427600</v>
      </c>
      <c r="AA54" s="10">
        <v>14500</v>
      </c>
      <c r="AB54" s="10">
        <v>-432133</v>
      </c>
      <c r="AC54" s="10">
        <v>-121808</v>
      </c>
      <c r="AD54" s="10">
        <v>28078</v>
      </c>
      <c r="AE54" s="10">
        <v>0</v>
      </c>
      <c r="AF54" s="10">
        <v>0</v>
      </c>
      <c r="AG54" s="10">
        <v>0</v>
      </c>
      <c r="AH54" s="3"/>
      <c r="AI54" s="10">
        <v>50469</v>
      </c>
      <c r="AJ54" s="3"/>
      <c r="AK54" s="10">
        <v>30540387</v>
      </c>
      <c r="AL54" s="10">
        <v>689551</v>
      </c>
      <c r="AM54" s="3"/>
      <c r="AN54" s="10">
        <v>4121172</v>
      </c>
      <c r="AO54" s="10">
        <v>10511</v>
      </c>
      <c r="AP54" s="10">
        <v>535537</v>
      </c>
      <c r="AQ54" s="10">
        <v>5825994</v>
      </c>
      <c r="AR54" s="10">
        <v>449305</v>
      </c>
      <c r="AS54" s="3"/>
      <c r="AT54" s="10">
        <v>1054096</v>
      </c>
      <c r="AU54" s="3"/>
      <c r="AV54" s="3"/>
      <c r="AW54" s="10">
        <v>1489072</v>
      </c>
      <c r="AX54" s="3"/>
      <c r="AY54" s="3"/>
      <c r="AZ54" s="1">
        <v>2225068.52</v>
      </c>
      <c r="BA54" s="1">
        <v>1112534</v>
      </c>
      <c r="BB54" s="19">
        <v>3885314</v>
      </c>
      <c r="BC54" s="15">
        <v>864683</v>
      </c>
      <c r="BD54" s="15">
        <v>1729366</v>
      </c>
      <c r="BE54" s="20">
        <v>16159560</v>
      </c>
      <c r="BF54" s="20">
        <v>16159560</v>
      </c>
      <c r="BG54" s="20">
        <v>26962148</v>
      </c>
      <c r="BH54" s="20">
        <v>18431723</v>
      </c>
      <c r="BI54" s="19"/>
      <c r="BJ54" s="19"/>
      <c r="BK54" s="19"/>
      <c r="BL54" s="5">
        <v>219131107</v>
      </c>
      <c r="BM54" s="5">
        <v>151332669</v>
      </c>
      <c r="BN54" s="15">
        <v>335700</v>
      </c>
      <c r="BO54" s="1"/>
      <c r="BP54" s="1"/>
      <c r="BQ54" s="5"/>
      <c r="BR54" s="5"/>
      <c r="BS54" s="5"/>
    </row>
    <row r="55" spans="1:71" x14ac:dyDescent="0.25">
      <c r="A55" s="6" t="s">
        <v>109</v>
      </c>
      <c r="B55" s="10">
        <v>936518518</v>
      </c>
      <c r="C55" s="10">
        <v>186175704</v>
      </c>
      <c r="D55" s="10">
        <v>334389550</v>
      </c>
      <c r="E55" s="10">
        <v>0</v>
      </c>
      <c r="F55" s="10">
        <v>91544305</v>
      </c>
      <c r="G55" s="10">
        <v>28473925</v>
      </c>
      <c r="H55" s="10">
        <v>11863150</v>
      </c>
      <c r="I55" s="10">
        <v>2631750</v>
      </c>
      <c r="J55" s="10">
        <v>188400</v>
      </c>
      <c r="K55" s="10">
        <v>0</v>
      </c>
      <c r="L55" s="10">
        <v>204771914</v>
      </c>
      <c r="M55" s="10">
        <v>86567350</v>
      </c>
      <c r="N55" s="10">
        <v>3631</v>
      </c>
      <c r="O55" s="10">
        <v>1162</v>
      </c>
      <c r="P55" s="10">
        <v>34198253</v>
      </c>
      <c r="Q55" s="10">
        <v>6088540</v>
      </c>
      <c r="R55" s="10">
        <v>18764910</v>
      </c>
      <c r="S55" s="10">
        <v>20813352</v>
      </c>
      <c r="T55" s="10">
        <v>2271000</v>
      </c>
      <c r="U55" s="10">
        <v>2496540</v>
      </c>
      <c r="V55" s="10">
        <v>34198253</v>
      </c>
      <c r="W55" s="10">
        <v>7485040</v>
      </c>
      <c r="X55" s="10">
        <v>18764910</v>
      </c>
      <c r="Y55" s="10">
        <v>20813352</v>
      </c>
      <c r="Z55" s="10">
        <v>3186770</v>
      </c>
      <c r="AA55" s="10">
        <v>2496540</v>
      </c>
      <c r="AB55" s="10">
        <v>-4774286</v>
      </c>
      <c r="AC55" s="10">
        <v>-785730</v>
      </c>
      <c r="AD55" s="10">
        <v>80913</v>
      </c>
      <c r="AE55" s="10">
        <v>34664</v>
      </c>
      <c r="AF55" s="10">
        <v>13900680</v>
      </c>
      <c r="AG55" s="10">
        <v>2394816</v>
      </c>
      <c r="AH55" s="10">
        <v>5985633</v>
      </c>
      <c r="AI55" s="10">
        <v>2423686</v>
      </c>
      <c r="AJ55" s="10">
        <v>41601931</v>
      </c>
      <c r="AK55" s="10">
        <v>276734853</v>
      </c>
      <c r="AL55" s="10">
        <v>6988683</v>
      </c>
      <c r="AM55" s="3"/>
      <c r="AN55" s="10">
        <v>161387041</v>
      </c>
      <c r="AO55" s="10">
        <v>5318206</v>
      </c>
      <c r="AP55" s="10">
        <v>149038120</v>
      </c>
      <c r="AQ55" s="10">
        <v>81286636</v>
      </c>
      <c r="AR55" s="10">
        <v>58766436</v>
      </c>
      <c r="AS55" s="10">
        <v>65663899</v>
      </c>
      <c r="AT55" s="10">
        <v>232041</v>
      </c>
      <c r="AU55" s="3"/>
      <c r="AV55" s="3"/>
      <c r="AW55" s="10">
        <v>9272633</v>
      </c>
      <c r="AX55" s="10">
        <v>387496</v>
      </c>
      <c r="AY55" s="10">
        <v>4494976</v>
      </c>
      <c r="AZ55" s="1">
        <v>20161958.32</v>
      </c>
      <c r="BA55" s="1">
        <v>10080979</v>
      </c>
      <c r="BB55" s="19">
        <v>869058</v>
      </c>
      <c r="BC55" s="15">
        <v>5558210</v>
      </c>
      <c r="BD55" s="15">
        <v>11116420</v>
      </c>
      <c r="BE55" s="20">
        <v>41559982</v>
      </c>
      <c r="BF55" s="20">
        <v>37507749</v>
      </c>
      <c r="BG55" s="20">
        <v>137159414</v>
      </c>
      <c r="BH55" s="20">
        <v>127143294</v>
      </c>
      <c r="BI55" s="19"/>
      <c r="BJ55" s="19"/>
      <c r="BK55" s="19"/>
      <c r="BL55" s="5">
        <v>2219100673</v>
      </c>
      <c r="BM55" s="5">
        <v>1755086905</v>
      </c>
      <c r="BN55" s="15">
        <v>720400</v>
      </c>
      <c r="BO55" s="1"/>
      <c r="BP55" s="1"/>
      <c r="BQ55" s="5"/>
      <c r="BR55" s="5"/>
      <c r="BS55" s="5"/>
    </row>
    <row r="56" spans="1:71" x14ac:dyDescent="0.25">
      <c r="A56" s="6" t="s">
        <v>110</v>
      </c>
      <c r="B56" s="10">
        <v>122563310</v>
      </c>
      <c r="C56" s="10">
        <v>60765740</v>
      </c>
      <c r="D56" s="10">
        <v>38430223</v>
      </c>
      <c r="E56" s="10">
        <v>0</v>
      </c>
      <c r="F56" s="10">
        <v>16921400</v>
      </c>
      <c r="G56" s="10">
        <v>13470700</v>
      </c>
      <c r="H56" s="10">
        <v>12853600</v>
      </c>
      <c r="I56" s="10">
        <v>3196400</v>
      </c>
      <c r="J56" s="10">
        <v>46400</v>
      </c>
      <c r="K56" s="10">
        <v>0</v>
      </c>
      <c r="L56" s="10">
        <v>78882358</v>
      </c>
      <c r="M56" s="10">
        <v>49162091</v>
      </c>
      <c r="N56" s="10">
        <v>1106</v>
      </c>
      <c r="O56" s="10">
        <v>656</v>
      </c>
      <c r="P56" s="10">
        <v>1600800</v>
      </c>
      <c r="Q56" s="10">
        <v>1461100</v>
      </c>
      <c r="R56" s="10">
        <v>818500</v>
      </c>
      <c r="S56" s="10">
        <v>1093010</v>
      </c>
      <c r="T56" s="10">
        <v>839700</v>
      </c>
      <c r="U56" s="10">
        <v>431500</v>
      </c>
      <c r="V56" s="10">
        <v>1600800</v>
      </c>
      <c r="W56" s="10">
        <v>1781050</v>
      </c>
      <c r="X56" s="10">
        <v>818500</v>
      </c>
      <c r="Y56" s="10">
        <v>1093010</v>
      </c>
      <c r="Z56" s="10">
        <v>1209300</v>
      </c>
      <c r="AA56" s="10">
        <v>431500</v>
      </c>
      <c r="AB56" s="10">
        <v>-4126975</v>
      </c>
      <c r="AC56" s="10">
        <v>-2411</v>
      </c>
      <c r="AD56" s="10">
        <v>75339</v>
      </c>
      <c r="AE56" s="10">
        <v>3229</v>
      </c>
      <c r="AF56" s="10">
        <v>2714526</v>
      </c>
      <c r="AG56" s="10">
        <v>144389</v>
      </c>
      <c r="AH56" s="10">
        <v>68219</v>
      </c>
      <c r="AI56" s="10">
        <v>430258</v>
      </c>
      <c r="AJ56" s="10">
        <v>414586</v>
      </c>
      <c r="AK56" s="10">
        <v>63291228</v>
      </c>
      <c r="AL56" s="10">
        <v>892239</v>
      </c>
      <c r="AM56" s="3"/>
      <c r="AN56" s="10">
        <v>5166543</v>
      </c>
      <c r="AO56" s="10">
        <v>33859</v>
      </c>
      <c r="AP56" s="10">
        <v>5888427</v>
      </c>
      <c r="AQ56" s="10">
        <v>5297177</v>
      </c>
      <c r="AR56" s="10">
        <v>172618</v>
      </c>
      <c r="AS56" s="3"/>
      <c r="AT56" s="10">
        <v>372842</v>
      </c>
      <c r="AU56" s="3"/>
      <c r="AV56" s="3"/>
      <c r="AW56" s="3"/>
      <c r="AX56" s="10">
        <v>1691</v>
      </c>
      <c r="AY56" s="3"/>
      <c r="AZ56" s="1">
        <v>4611183.18</v>
      </c>
      <c r="BA56" s="1">
        <v>2305592</v>
      </c>
      <c r="BB56" s="19"/>
      <c r="BC56" s="15">
        <v>0</v>
      </c>
      <c r="BD56" s="15">
        <v>0</v>
      </c>
      <c r="BE56" s="20">
        <v>6925374</v>
      </c>
      <c r="BF56" s="20">
        <v>6925374</v>
      </c>
      <c r="BG56" s="20">
        <v>37502468</v>
      </c>
      <c r="BH56" s="20">
        <v>37502468</v>
      </c>
      <c r="BI56" s="19"/>
      <c r="BJ56" s="19"/>
      <c r="BK56" s="19"/>
      <c r="BL56" s="5">
        <v>344086816</v>
      </c>
      <c r="BM56" s="5">
        <v>233169915</v>
      </c>
      <c r="BN56" s="15">
        <v>2495603</v>
      </c>
      <c r="BO56" s="1"/>
      <c r="BP56" s="1"/>
      <c r="BQ56" s="5"/>
      <c r="BR56" s="5"/>
      <c r="BS56" s="5"/>
    </row>
    <row r="57" spans="1:71" x14ac:dyDescent="0.25">
      <c r="A57" s="6" t="s">
        <v>111</v>
      </c>
      <c r="B57" s="10">
        <v>34598992295</v>
      </c>
      <c r="C57" s="10">
        <v>103103930</v>
      </c>
      <c r="D57" s="10">
        <v>13540999180</v>
      </c>
      <c r="E57" s="10">
        <v>0</v>
      </c>
      <c r="F57" s="10">
        <v>1660562696</v>
      </c>
      <c r="G57" s="10">
        <v>146550480</v>
      </c>
      <c r="H57" s="10">
        <v>5275200</v>
      </c>
      <c r="I57" s="10">
        <v>188400</v>
      </c>
      <c r="J57" s="10">
        <v>3282910</v>
      </c>
      <c r="K57" s="10">
        <v>125600</v>
      </c>
      <c r="L57" s="10">
        <v>197811280</v>
      </c>
      <c r="M57" s="10">
        <v>305655570</v>
      </c>
      <c r="N57" s="10">
        <v>53515</v>
      </c>
      <c r="O57" s="10">
        <v>4751</v>
      </c>
      <c r="P57" s="10">
        <v>689321270</v>
      </c>
      <c r="Q57" s="10">
        <v>5637720</v>
      </c>
      <c r="R57" s="10">
        <v>487217720</v>
      </c>
      <c r="S57" s="10">
        <v>92782660</v>
      </c>
      <c r="T57" s="10">
        <v>7063480</v>
      </c>
      <c r="U57" s="10">
        <v>156163930</v>
      </c>
      <c r="V57" s="10">
        <v>689321270</v>
      </c>
      <c r="W57" s="10">
        <v>23480880</v>
      </c>
      <c r="X57" s="10">
        <v>487217720</v>
      </c>
      <c r="Y57" s="10">
        <v>92782660</v>
      </c>
      <c r="Z57" s="10">
        <v>18420020</v>
      </c>
      <c r="AA57" s="10">
        <v>156163930</v>
      </c>
      <c r="AB57" s="10">
        <v>-126764258</v>
      </c>
      <c r="AC57" s="10">
        <v>-75536437</v>
      </c>
      <c r="AD57" s="10">
        <v>0</v>
      </c>
      <c r="AE57" s="10">
        <v>0</v>
      </c>
      <c r="AF57" s="10">
        <v>0</v>
      </c>
      <c r="AG57" s="10">
        <v>0</v>
      </c>
      <c r="AH57" s="3"/>
      <c r="AI57" s="10">
        <v>612953</v>
      </c>
      <c r="AJ57" s="3"/>
      <c r="AK57" s="10">
        <v>4078458039</v>
      </c>
      <c r="AL57" s="10">
        <v>65676864</v>
      </c>
      <c r="AM57" s="10">
        <v>24887774</v>
      </c>
      <c r="AN57" s="10">
        <v>2199083484</v>
      </c>
      <c r="AO57" s="10">
        <v>71908370</v>
      </c>
      <c r="AP57" s="10">
        <v>1616876139</v>
      </c>
      <c r="AQ57" s="10">
        <v>1934770402</v>
      </c>
      <c r="AR57" s="10">
        <v>772490168</v>
      </c>
      <c r="AS57" s="10">
        <v>1011689996</v>
      </c>
      <c r="AT57" s="10">
        <v>2575302254</v>
      </c>
      <c r="AU57" s="3"/>
      <c r="AV57" s="10">
        <v>925009</v>
      </c>
      <c r="AW57" s="10">
        <v>27252794</v>
      </c>
      <c r="AX57" s="10">
        <v>8180427</v>
      </c>
      <c r="AY57" s="10">
        <v>134171017</v>
      </c>
      <c r="AZ57" s="1">
        <v>297142553.92000002</v>
      </c>
      <c r="BA57" s="1">
        <v>148571277</v>
      </c>
      <c r="BB57" s="19">
        <v>16232473</v>
      </c>
      <c r="BC57" s="15">
        <v>11134871</v>
      </c>
      <c r="BD57" s="15">
        <v>22269742</v>
      </c>
      <c r="BE57" s="20">
        <v>453466448</v>
      </c>
      <c r="BF57" s="20">
        <v>449993718</v>
      </c>
      <c r="BG57" s="20">
        <v>1191230505</v>
      </c>
      <c r="BH57" s="20">
        <v>1089822288</v>
      </c>
      <c r="BI57" s="19">
        <v>88173354</v>
      </c>
      <c r="BJ57" s="19"/>
      <c r="BK57" s="19"/>
      <c r="BL57" s="5">
        <v>58381301025</v>
      </c>
      <c r="BM57" s="5">
        <v>52449470614</v>
      </c>
      <c r="BN57" s="15">
        <v>106776730</v>
      </c>
      <c r="BO57" s="1"/>
      <c r="BP57" s="1"/>
      <c r="BQ57" s="5"/>
      <c r="BR57" s="5"/>
      <c r="BS57" s="5"/>
    </row>
    <row r="58" spans="1:71" x14ac:dyDescent="0.25">
      <c r="A58" s="6" t="s">
        <v>112</v>
      </c>
      <c r="B58" s="10">
        <v>2271106121</v>
      </c>
      <c r="C58" s="10">
        <v>222316023</v>
      </c>
      <c r="D58" s="10">
        <v>521384019</v>
      </c>
      <c r="E58" s="10">
        <v>0</v>
      </c>
      <c r="F58" s="10">
        <v>66420620</v>
      </c>
      <c r="G58" s="10">
        <v>9648915</v>
      </c>
      <c r="H58" s="10">
        <v>7351520</v>
      </c>
      <c r="I58" s="10">
        <v>385615</v>
      </c>
      <c r="J58" s="10">
        <v>31400</v>
      </c>
      <c r="K58" s="10">
        <v>31400</v>
      </c>
      <c r="L58" s="10">
        <v>575716572</v>
      </c>
      <c r="M58" s="10">
        <v>158905117</v>
      </c>
      <c r="N58" s="10">
        <v>2391</v>
      </c>
      <c r="O58" s="10">
        <v>333</v>
      </c>
      <c r="P58" s="10">
        <v>177757654</v>
      </c>
      <c r="Q58" s="10">
        <v>15260089</v>
      </c>
      <c r="R58" s="10">
        <v>45702363</v>
      </c>
      <c r="S58" s="10">
        <v>7189476</v>
      </c>
      <c r="T58" s="10">
        <v>3597349</v>
      </c>
      <c r="U58" s="10">
        <v>12481461</v>
      </c>
      <c r="V58" s="10">
        <v>177757654</v>
      </c>
      <c r="W58" s="10">
        <v>16687178</v>
      </c>
      <c r="X58" s="10">
        <v>45702363</v>
      </c>
      <c r="Y58" s="10">
        <v>7189476</v>
      </c>
      <c r="Z58" s="10">
        <v>11404635</v>
      </c>
      <c r="AA58" s="10">
        <v>12481461</v>
      </c>
      <c r="AB58" s="10">
        <v>-4525662</v>
      </c>
      <c r="AC58" s="10">
        <v>-340483</v>
      </c>
      <c r="AD58" s="10">
        <v>0</v>
      </c>
      <c r="AE58" s="10">
        <v>0</v>
      </c>
      <c r="AF58" s="10">
        <v>0</v>
      </c>
      <c r="AG58" s="10">
        <v>89849.42</v>
      </c>
      <c r="AH58" s="3"/>
      <c r="AI58" s="10">
        <v>404000</v>
      </c>
      <c r="AJ58" s="3"/>
      <c r="AK58" s="10">
        <v>287098786</v>
      </c>
      <c r="AL58" s="10">
        <v>7061331</v>
      </c>
      <c r="AM58" s="3"/>
      <c r="AN58" s="10">
        <v>83034163</v>
      </c>
      <c r="AO58" s="10">
        <v>1539949</v>
      </c>
      <c r="AP58" s="10">
        <v>108787975</v>
      </c>
      <c r="AQ58" s="10">
        <v>75072755</v>
      </c>
      <c r="AR58" s="10">
        <v>75637692</v>
      </c>
      <c r="AS58" s="10">
        <v>54385796</v>
      </c>
      <c r="AT58" s="10">
        <v>9267462</v>
      </c>
      <c r="AU58" s="3"/>
      <c r="AV58" s="10">
        <v>2457</v>
      </c>
      <c r="AW58" s="10">
        <v>33710</v>
      </c>
      <c r="AX58" s="3"/>
      <c r="AY58" s="10">
        <v>13876000</v>
      </c>
      <c r="AZ58" s="1">
        <v>20917038.43</v>
      </c>
      <c r="BA58" s="1">
        <v>10458519</v>
      </c>
      <c r="BB58" s="19"/>
      <c r="BC58" s="15">
        <v>870471</v>
      </c>
      <c r="BD58" s="15">
        <v>1740943</v>
      </c>
      <c r="BE58" s="20">
        <v>26285690</v>
      </c>
      <c r="BF58" s="20">
        <v>26285690</v>
      </c>
      <c r="BG58" s="20">
        <v>60102945</v>
      </c>
      <c r="BH58" s="20">
        <v>55527612</v>
      </c>
      <c r="BI58" s="19">
        <v>24788184</v>
      </c>
      <c r="BJ58" s="19"/>
      <c r="BK58" s="19"/>
      <c r="BL58" s="5">
        <v>3586947623</v>
      </c>
      <c r="BM58" s="5">
        <v>3174857030</v>
      </c>
      <c r="BN58" s="15">
        <v>2068750</v>
      </c>
      <c r="BO58" s="1"/>
      <c r="BP58" s="1"/>
      <c r="BQ58" s="5"/>
      <c r="BR58" s="5"/>
      <c r="BS58" s="5"/>
    </row>
    <row r="59" spans="1:71" x14ac:dyDescent="0.25">
      <c r="A59" s="6" t="s">
        <v>113</v>
      </c>
      <c r="B59" s="10">
        <v>358154607</v>
      </c>
      <c r="C59" s="10">
        <v>85289490</v>
      </c>
      <c r="D59" s="10">
        <v>162156635</v>
      </c>
      <c r="E59" s="10">
        <v>0</v>
      </c>
      <c r="F59" s="10">
        <v>38456550</v>
      </c>
      <c r="G59" s="10">
        <v>24858640</v>
      </c>
      <c r="H59" s="10">
        <v>13745021</v>
      </c>
      <c r="I59" s="10">
        <v>5823750</v>
      </c>
      <c r="J59" s="10">
        <v>125600</v>
      </c>
      <c r="K59" s="10">
        <v>31400</v>
      </c>
      <c r="L59" s="10">
        <v>64609763</v>
      </c>
      <c r="M59" s="10">
        <v>38695014</v>
      </c>
      <c r="N59" s="10">
        <v>1890</v>
      </c>
      <c r="O59" s="10">
        <v>1198</v>
      </c>
      <c r="P59" s="10">
        <v>3630000</v>
      </c>
      <c r="Q59" s="10">
        <v>464500</v>
      </c>
      <c r="R59" s="10">
        <v>0</v>
      </c>
      <c r="S59" s="10">
        <v>2440914</v>
      </c>
      <c r="T59" s="10">
        <v>907618</v>
      </c>
      <c r="U59" s="10">
        <v>1264400</v>
      </c>
      <c r="V59" s="10">
        <v>3630000</v>
      </c>
      <c r="W59" s="10">
        <v>464500</v>
      </c>
      <c r="X59" s="10">
        <v>0</v>
      </c>
      <c r="Y59" s="10">
        <v>2440914</v>
      </c>
      <c r="Z59" s="10">
        <v>659300</v>
      </c>
      <c r="AA59" s="10">
        <v>1264400</v>
      </c>
      <c r="AB59" s="10">
        <v>-5628564</v>
      </c>
      <c r="AC59" s="10">
        <v>-629</v>
      </c>
      <c r="AD59" s="10">
        <v>130029</v>
      </c>
      <c r="AE59" s="3"/>
      <c r="AF59" s="10">
        <v>0</v>
      </c>
      <c r="AG59" s="10">
        <v>133721</v>
      </c>
      <c r="AH59" s="10">
        <v>280641</v>
      </c>
      <c r="AI59" s="10">
        <v>19673782</v>
      </c>
      <c r="AJ59" s="10">
        <v>4589620</v>
      </c>
      <c r="AK59" s="10">
        <v>127896772</v>
      </c>
      <c r="AL59" s="10">
        <v>3915397</v>
      </c>
      <c r="AM59" s="10">
        <v>150000</v>
      </c>
      <c r="AN59" s="10">
        <v>35048650</v>
      </c>
      <c r="AO59" s="10">
        <v>236004</v>
      </c>
      <c r="AP59" s="10">
        <v>2571272</v>
      </c>
      <c r="AQ59" s="10">
        <v>31544221</v>
      </c>
      <c r="AR59" s="10">
        <v>8719423</v>
      </c>
      <c r="AS59" s="10">
        <v>2634294</v>
      </c>
      <c r="AT59" s="3"/>
      <c r="AU59" s="3"/>
      <c r="AV59" s="3"/>
      <c r="AW59" s="3"/>
      <c r="AX59" s="3"/>
      <c r="AY59" s="10">
        <v>208027</v>
      </c>
      <c r="AZ59" s="1">
        <v>9318122.9499999993</v>
      </c>
      <c r="BA59" s="1">
        <v>4659061</v>
      </c>
      <c r="BB59" s="19"/>
      <c r="BC59" s="15">
        <v>1900855</v>
      </c>
      <c r="BD59" s="15">
        <v>3801710</v>
      </c>
      <c r="BE59" s="20">
        <v>9662674</v>
      </c>
      <c r="BF59" s="20">
        <v>9597310</v>
      </c>
      <c r="BG59" s="20">
        <v>63202027</v>
      </c>
      <c r="BH59" s="20">
        <v>61318923</v>
      </c>
      <c r="BI59" s="19"/>
      <c r="BJ59" s="19"/>
      <c r="BK59" s="19"/>
      <c r="BL59" s="5">
        <v>906261968</v>
      </c>
      <c r="BM59" s="5">
        <v>696973650</v>
      </c>
      <c r="BN59" s="15">
        <v>9353195</v>
      </c>
      <c r="BO59" s="1"/>
      <c r="BP59" s="1"/>
      <c r="BQ59" s="5"/>
      <c r="BR59" s="5"/>
      <c r="BS59" s="5"/>
    </row>
    <row r="60" spans="1:71" x14ac:dyDescent="0.25">
      <c r="A60" s="6" t="s">
        <v>114</v>
      </c>
      <c r="B60" s="10">
        <v>6759308987</v>
      </c>
      <c r="C60" s="10">
        <v>90297603</v>
      </c>
      <c r="D60" s="10">
        <v>2049416496</v>
      </c>
      <c r="E60" s="10">
        <v>185000</v>
      </c>
      <c r="F60" s="10">
        <v>256940680</v>
      </c>
      <c r="G60" s="10">
        <v>23150000</v>
      </c>
      <c r="H60" s="10">
        <v>5369400</v>
      </c>
      <c r="I60" s="10">
        <v>376700</v>
      </c>
      <c r="J60" s="10">
        <v>1256000</v>
      </c>
      <c r="K60" s="10">
        <v>31400</v>
      </c>
      <c r="L60" s="10">
        <v>173885422</v>
      </c>
      <c r="M60" s="10">
        <v>264183024</v>
      </c>
      <c r="N60" s="10">
        <v>8456</v>
      </c>
      <c r="O60" s="10">
        <v>777</v>
      </c>
      <c r="P60" s="10">
        <v>161329660</v>
      </c>
      <c r="Q60" s="10">
        <v>4003300</v>
      </c>
      <c r="R60" s="10">
        <v>23152750</v>
      </c>
      <c r="S60" s="10">
        <v>12591610</v>
      </c>
      <c r="T60" s="10">
        <v>2805700</v>
      </c>
      <c r="U60" s="10">
        <v>19116325</v>
      </c>
      <c r="V60" s="10">
        <v>161329660</v>
      </c>
      <c r="W60" s="10">
        <v>4003300</v>
      </c>
      <c r="X60" s="10">
        <v>23152750</v>
      </c>
      <c r="Y60" s="10">
        <v>12591610</v>
      </c>
      <c r="Z60" s="10">
        <v>2805700</v>
      </c>
      <c r="AA60" s="10">
        <v>19116325</v>
      </c>
      <c r="AB60" s="10">
        <v>-15330867</v>
      </c>
      <c r="AC60" s="10">
        <v>-13431627</v>
      </c>
      <c r="AD60" s="10">
        <v>0</v>
      </c>
      <c r="AE60" s="10">
        <v>0</v>
      </c>
      <c r="AF60" s="10">
        <v>0</v>
      </c>
      <c r="AG60" s="10">
        <v>0</v>
      </c>
      <c r="AH60" s="3"/>
      <c r="AI60" s="3"/>
      <c r="AJ60" s="3"/>
      <c r="AK60" s="10">
        <v>851086463</v>
      </c>
      <c r="AL60" s="10">
        <v>15652084</v>
      </c>
      <c r="AM60" s="10">
        <v>468492</v>
      </c>
      <c r="AN60" s="10">
        <v>298670217</v>
      </c>
      <c r="AO60" s="10">
        <v>6025478</v>
      </c>
      <c r="AP60" s="10">
        <v>259332477</v>
      </c>
      <c r="AQ60" s="10">
        <v>267739315</v>
      </c>
      <c r="AR60" s="10">
        <v>163462790</v>
      </c>
      <c r="AS60" s="10">
        <v>173329132</v>
      </c>
      <c r="AT60" s="3"/>
      <c r="AU60" s="3"/>
      <c r="AV60" s="3"/>
      <c r="AW60" s="10">
        <v>19642</v>
      </c>
      <c r="AX60" s="10">
        <v>160461</v>
      </c>
      <c r="AY60" s="3"/>
      <c r="AZ60" s="1">
        <v>62007259.310000002</v>
      </c>
      <c r="BA60" s="1">
        <v>31003630</v>
      </c>
      <c r="BB60" s="19">
        <v>4586163</v>
      </c>
      <c r="BC60" s="15">
        <v>7626213</v>
      </c>
      <c r="BD60" s="15">
        <v>15252426</v>
      </c>
      <c r="BE60" s="20">
        <v>110121651</v>
      </c>
      <c r="BF60" s="20">
        <v>110121651</v>
      </c>
      <c r="BG60" s="20">
        <v>184744736</v>
      </c>
      <c r="BH60" s="20">
        <v>174549219</v>
      </c>
      <c r="BI60" s="19"/>
      <c r="BJ60" s="19"/>
      <c r="BK60" s="19"/>
      <c r="BL60" s="5">
        <v>10661497356</v>
      </c>
      <c r="BM60" s="5">
        <v>9471458096</v>
      </c>
      <c r="BN60" s="15">
        <v>4296400</v>
      </c>
      <c r="BO60" s="1"/>
      <c r="BP60" s="1"/>
      <c r="BQ60" s="5"/>
      <c r="BR60" s="5"/>
      <c r="BS60" s="5"/>
    </row>
    <row r="61" spans="1:71" x14ac:dyDescent="0.25">
      <c r="A61" s="6" t="s">
        <v>115</v>
      </c>
      <c r="B61" s="10">
        <v>139291694</v>
      </c>
      <c r="C61" s="10">
        <v>48423219</v>
      </c>
      <c r="D61" s="10">
        <v>79353209</v>
      </c>
      <c r="E61" s="10">
        <v>0</v>
      </c>
      <c r="F61" s="10">
        <v>25111700</v>
      </c>
      <c r="G61" s="10">
        <v>19526100</v>
      </c>
      <c r="H61" s="10">
        <v>13660654</v>
      </c>
      <c r="I61" s="10">
        <v>5118000</v>
      </c>
      <c r="J61" s="10">
        <v>94200</v>
      </c>
      <c r="K61" s="10">
        <v>0</v>
      </c>
      <c r="L61" s="10">
        <v>57452823</v>
      </c>
      <c r="M61" s="10">
        <v>54010452</v>
      </c>
      <c r="N61" s="10">
        <v>1390</v>
      </c>
      <c r="O61" s="10">
        <v>963</v>
      </c>
      <c r="P61" s="10">
        <v>4391300</v>
      </c>
      <c r="Q61" s="10">
        <v>1145100</v>
      </c>
      <c r="R61" s="10">
        <v>1189400</v>
      </c>
      <c r="S61" s="10">
        <v>2296500</v>
      </c>
      <c r="T61" s="10">
        <v>792400</v>
      </c>
      <c r="U61" s="10">
        <v>682157</v>
      </c>
      <c r="V61" s="10">
        <v>4391300</v>
      </c>
      <c r="W61" s="10">
        <v>1417000</v>
      </c>
      <c r="X61" s="10">
        <v>1189400</v>
      </c>
      <c r="Y61" s="10">
        <v>2296500</v>
      </c>
      <c r="Z61" s="10">
        <v>1292000</v>
      </c>
      <c r="AA61" s="10">
        <v>682157</v>
      </c>
      <c r="AB61" s="10">
        <v>-2031550</v>
      </c>
      <c r="AC61" s="10">
        <v>-824012</v>
      </c>
      <c r="AD61" s="10">
        <v>196743</v>
      </c>
      <c r="AE61" s="10">
        <v>0</v>
      </c>
      <c r="AF61" s="10">
        <v>0</v>
      </c>
      <c r="AG61" s="10">
        <v>122586</v>
      </c>
      <c r="AH61" s="10">
        <v>11181758</v>
      </c>
      <c r="AI61" s="10">
        <v>233099366</v>
      </c>
      <c r="AJ61" s="10">
        <v>185219303</v>
      </c>
      <c r="AK61" s="10">
        <v>91478348</v>
      </c>
      <c r="AL61" s="10">
        <v>1307514</v>
      </c>
      <c r="AM61" s="10">
        <v>141150</v>
      </c>
      <c r="AN61" s="10">
        <v>166866306</v>
      </c>
      <c r="AO61" s="10">
        <v>1053914</v>
      </c>
      <c r="AP61" s="10">
        <v>11209863</v>
      </c>
      <c r="AQ61" s="10">
        <v>5816268</v>
      </c>
      <c r="AR61" s="10">
        <v>1017352</v>
      </c>
      <c r="AS61" s="10">
        <v>1875783</v>
      </c>
      <c r="AT61" s="10">
        <v>51486</v>
      </c>
      <c r="AU61" s="3"/>
      <c r="AV61" s="3"/>
      <c r="AW61" s="3"/>
      <c r="AX61" s="3"/>
      <c r="AY61" s="3"/>
      <c r="AZ61" s="1">
        <v>6664800.6900000004</v>
      </c>
      <c r="BA61" s="1">
        <v>3332400</v>
      </c>
      <c r="BB61" s="19"/>
      <c r="BC61" s="15">
        <v>658100</v>
      </c>
      <c r="BD61" s="15">
        <v>1316199</v>
      </c>
      <c r="BE61" s="20">
        <v>10705213</v>
      </c>
      <c r="BF61" s="20">
        <v>10705213</v>
      </c>
      <c r="BG61" s="20">
        <v>57668820</v>
      </c>
      <c r="BH61" s="20">
        <v>56950083</v>
      </c>
      <c r="BI61" s="19"/>
      <c r="BJ61" s="19"/>
      <c r="BK61" s="19"/>
      <c r="BL61" s="5">
        <v>1034736695</v>
      </c>
      <c r="BM61" s="5">
        <v>870305037</v>
      </c>
      <c r="BN61" s="15">
        <v>2230650</v>
      </c>
      <c r="BO61" s="1"/>
      <c r="BP61" s="1"/>
      <c r="BQ61" s="5"/>
      <c r="BR61" s="5"/>
      <c r="BS61" s="5"/>
    </row>
    <row r="62" spans="1:71" x14ac:dyDescent="0.25">
      <c r="A62" s="6" t="s">
        <v>116</v>
      </c>
      <c r="B62" s="10">
        <v>471441026</v>
      </c>
      <c r="C62" s="10">
        <v>85567494</v>
      </c>
      <c r="D62" s="10">
        <v>195371875</v>
      </c>
      <c r="E62" s="10">
        <v>0</v>
      </c>
      <c r="F62" s="10">
        <v>52100570</v>
      </c>
      <c r="G62" s="10">
        <v>31387729</v>
      </c>
      <c r="H62" s="10">
        <v>13901513</v>
      </c>
      <c r="I62" s="10">
        <v>4786199</v>
      </c>
      <c r="J62" s="10">
        <v>153600</v>
      </c>
      <c r="K62" s="10">
        <v>62800</v>
      </c>
      <c r="L62" s="10">
        <v>100403075</v>
      </c>
      <c r="M62" s="10">
        <v>73304934</v>
      </c>
      <c r="N62" s="10">
        <v>2402</v>
      </c>
      <c r="O62" s="10">
        <v>1472</v>
      </c>
      <c r="P62" s="10">
        <v>18836450</v>
      </c>
      <c r="Q62" s="10">
        <v>1638459</v>
      </c>
      <c r="R62" s="10">
        <v>1679800</v>
      </c>
      <c r="S62" s="10">
        <v>7048929</v>
      </c>
      <c r="T62" s="10">
        <v>1734620</v>
      </c>
      <c r="U62" s="10">
        <v>523100</v>
      </c>
      <c r="V62" s="10">
        <v>18836450</v>
      </c>
      <c r="W62" s="10">
        <v>1129500</v>
      </c>
      <c r="X62" s="10">
        <v>1679800</v>
      </c>
      <c r="Y62" s="10">
        <v>7048929</v>
      </c>
      <c r="Z62" s="10">
        <v>1475700</v>
      </c>
      <c r="AA62" s="10">
        <v>523100</v>
      </c>
      <c r="AB62" s="10">
        <v>-9123868</v>
      </c>
      <c r="AC62" s="10">
        <v>-138884</v>
      </c>
      <c r="AD62" s="10">
        <v>124974</v>
      </c>
      <c r="AE62" s="3"/>
      <c r="AF62" s="3"/>
      <c r="AG62" s="3"/>
      <c r="AH62" s="10">
        <v>1511023</v>
      </c>
      <c r="AI62" s="10">
        <v>59379308</v>
      </c>
      <c r="AJ62" s="10">
        <v>3773701</v>
      </c>
      <c r="AK62" s="10">
        <v>148193578</v>
      </c>
      <c r="AL62" s="10">
        <v>2624584</v>
      </c>
      <c r="AM62" s="3"/>
      <c r="AN62" s="10">
        <v>38462304</v>
      </c>
      <c r="AO62" s="10">
        <v>1878181</v>
      </c>
      <c r="AP62" s="10">
        <v>61080282</v>
      </c>
      <c r="AQ62" s="10">
        <v>31583179</v>
      </c>
      <c r="AR62" s="10">
        <v>28200989</v>
      </c>
      <c r="AS62" s="10">
        <v>6264989</v>
      </c>
      <c r="AT62" s="10">
        <v>53269</v>
      </c>
      <c r="AU62" s="3"/>
      <c r="AV62" s="3"/>
      <c r="AW62" s="3"/>
      <c r="AX62" s="10">
        <v>12285</v>
      </c>
      <c r="AY62" s="3"/>
      <c r="AZ62" s="1">
        <v>10796879.07</v>
      </c>
      <c r="BA62" s="1">
        <v>5398440</v>
      </c>
      <c r="BB62" s="19"/>
      <c r="BC62" s="15">
        <v>1635300</v>
      </c>
      <c r="BD62" s="15">
        <v>3270599</v>
      </c>
      <c r="BE62" s="20">
        <v>19762443</v>
      </c>
      <c r="BF62" s="20">
        <v>19762443</v>
      </c>
      <c r="BG62" s="20">
        <v>37534426</v>
      </c>
      <c r="BH62" s="20">
        <v>34653746</v>
      </c>
      <c r="BI62" s="19"/>
      <c r="BJ62" s="19"/>
      <c r="BK62" s="19"/>
      <c r="BL62" s="5">
        <v>1101236182</v>
      </c>
      <c r="BM62" s="5">
        <v>888968091</v>
      </c>
      <c r="BN62" s="15">
        <v>193400</v>
      </c>
      <c r="BO62" s="1"/>
      <c r="BP62" s="1"/>
      <c r="BQ62" s="5"/>
      <c r="BR62" s="5"/>
      <c r="BS62" s="5"/>
    </row>
    <row r="63" spans="1:71" x14ac:dyDescent="0.25">
      <c r="A63" s="6" t="s">
        <v>117</v>
      </c>
      <c r="B63" s="10">
        <v>296144758</v>
      </c>
      <c r="C63" s="10">
        <v>127127954</v>
      </c>
      <c r="D63" s="10">
        <v>55914504</v>
      </c>
      <c r="E63" s="10">
        <v>0</v>
      </c>
      <c r="F63" s="10">
        <v>26620000</v>
      </c>
      <c r="G63" s="10">
        <v>6243400</v>
      </c>
      <c r="H63" s="10">
        <v>11012140</v>
      </c>
      <c r="I63" s="10">
        <v>1210680</v>
      </c>
      <c r="J63" s="10">
        <v>94200</v>
      </c>
      <c r="K63" s="10">
        <v>0</v>
      </c>
      <c r="L63" s="10">
        <v>175172972</v>
      </c>
      <c r="M63" s="10">
        <v>87700153</v>
      </c>
      <c r="N63" s="10">
        <v>1240</v>
      </c>
      <c r="O63" s="10">
        <v>251</v>
      </c>
      <c r="P63" s="10">
        <v>10800259</v>
      </c>
      <c r="Q63" s="10">
        <v>3865301</v>
      </c>
      <c r="R63" s="10">
        <v>390000</v>
      </c>
      <c r="S63" s="10">
        <v>2817390</v>
      </c>
      <c r="T63" s="10">
        <v>1352522</v>
      </c>
      <c r="U63" s="10">
        <v>127900</v>
      </c>
      <c r="V63" s="10">
        <v>10800259</v>
      </c>
      <c r="W63" s="10">
        <v>6744953</v>
      </c>
      <c r="X63" s="10">
        <v>390000</v>
      </c>
      <c r="Y63" s="10">
        <v>2817390</v>
      </c>
      <c r="Z63" s="10">
        <v>1581352</v>
      </c>
      <c r="AA63" s="10">
        <v>127900</v>
      </c>
      <c r="AB63" s="10">
        <v>-2101609</v>
      </c>
      <c r="AC63" s="10">
        <v>-230562</v>
      </c>
      <c r="AD63" s="10">
        <v>50484</v>
      </c>
      <c r="AE63" s="10">
        <v>0</v>
      </c>
      <c r="AF63" s="10">
        <v>0</v>
      </c>
      <c r="AG63" s="10">
        <v>152266</v>
      </c>
      <c r="AH63" s="3"/>
      <c r="AI63" s="3"/>
      <c r="AJ63" s="3"/>
      <c r="AK63" s="10">
        <v>74925398</v>
      </c>
      <c r="AL63" s="10">
        <v>1633680</v>
      </c>
      <c r="AM63" s="3"/>
      <c r="AN63" s="10">
        <v>8655503</v>
      </c>
      <c r="AO63" s="10">
        <v>24421</v>
      </c>
      <c r="AP63" s="10">
        <v>7913514</v>
      </c>
      <c r="AQ63" s="10">
        <v>12930891</v>
      </c>
      <c r="AR63" s="10">
        <v>8663983</v>
      </c>
      <c r="AS63" s="3"/>
      <c r="AT63" s="10">
        <v>202106</v>
      </c>
      <c r="AU63" s="3"/>
      <c r="AV63" s="3"/>
      <c r="AW63" s="10">
        <v>12544</v>
      </c>
      <c r="AX63" s="10">
        <v>4803</v>
      </c>
      <c r="AY63" s="3"/>
      <c r="AZ63" s="1">
        <v>5458808.4299999997</v>
      </c>
      <c r="BA63" s="1">
        <v>2729404</v>
      </c>
      <c r="BB63" s="19"/>
      <c r="BC63" s="15">
        <v>44139</v>
      </c>
      <c r="BD63" s="15">
        <v>88277</v>
      </c>
      <c r="BE63" s="20">
        <v>4568745</v>
      </c>
      <c r="BF63" s="20">
        <v>4568745</v>
      </c>
      <c r="BG63" s="20">
        <v>28122499</v>
      </c>
      <c r="BH63" s="20">
        <v>27961793</v>
      </c>
      <c r="BI63" s="19"/>
      <c r="BJ63" s="19"/>
      <c r="BK63" s="19"/>
      <c r="BL63" s="5">
        <v>612661190</v>
      </c>
      <c r="BM63" s="5">
        <v>500798031</v>
      </c>
      <c r="BN63" s="15">
        <v>1102152</v>
      </c>
      <c r="BO63" s="1"/>
      <c r="BP63" s="1"/>
      <c r="BQ63" s="5"/>
      <c r="BR63" s="5"/>
      <c r="BS63" s="5"/>
    </row>
    <row r="64" spans="1:71" x14ac:dyDescent="0.25">
      <c r="A64" s="6" t="s">
        <v>118</v>
      </c>
      <c r="B64" s="10">
        <v>1231524541</v>
      </c>
      <c r="C64" s="10">
        <v>173856424</v>
      </c>
      <c r="D64" s="10">
        <v>589829970</v>
      </c>
      <c r="E64" s="10">
        <v>10621011</v>
      </c>
      <c r="F64" s="10">
        <v>99722649</v>
      </c>
      <c r="G64" s="10">
        <v>44385350</v>
      </c>
      <c r="H64" s="10">
        <v>22325100</v>
      </c>
      <c r="I64" s="10">
        <v>4735176</v>
      </c>
      <c r="J64" s="10">
        <v>188400</v>
      </c>
      <c r="K64" s="10">
        <v>0</v>
      </c>
      <c r="L64" s="10">
        <v>352424700</v>
      </c>
      <c r="M64" s="10">
        <v>152366400</v>
      </c>
      <c r="N64" s="10">
        <v>4008</v>
      </c>
      <c r="O64" s="10">
        <v>1643</v>
      </c>
      <c r="P64" s="10">
        <v>24885400</v>
      </c>
      <c r="Q64" s="10">
        <v>3876000</v>
      </c>
      <c r="R64" s="10">
        <v>17866700</v>
      </c>
      <c r="S64" s="10">
        <v>4543800</v>
      </c>
      <c r="T64" s="10">
        <v>412200</v>
      </c>
      <c r="U64" s="10">
        <v>17458600</v>
      </c>
      <c r="V64" s="10">
        <v>24885400</v>
      </c>
      <c r="W64" s="10">
        <v>4053000</v>
      </c>
      <c r="X64" s="10">
        <v>17866700</v>
      </c>
      <c r="Y64" s="10">
        <v>4543800</v>
      </c>
      <c r="Z64" s="10">
        <v>1335500</v>
      </c>
      <c r="AA64" s="10">
        <v>17458600</v>
      </c>
      <c r="AB64" s="10">
        <v>-29056484</v>
      </c>
      <c r="AC64" s="10">
        <v>-943406</v>
      </c>
      <c r="AD64" s="10">
        <v>83557</v>
      </c>
      <c r="AE64" s="10">
        <v>0</v>
      </c>
      <c r="AF64" s="10">
        <v>0</v>
      </c>
      <c r="AG64" s="10">
        <v>141008</v>
      </c>
      <c r="AH64" s="10">
        <v>133922</v>
      </c>
      <c r="AI64" s="10">
        <v>483427</v>
      </c>
      <c r="AJ64" s="10">
        <v>252500</v>
      </c>
      <c r="AK64" s="10">
        <v>345534596</v>
      </c>
      <c r="AL64" s="10">
        <v>15244238</v>
      </c>
      <c r="AM64" s="10">
        <v>1501280</v>
      </c>
      <c r="AN64" s="10">
        <v>144817445</v>
      </c>
      <c r="AO64" s="10">
        <v>19094542</v>
      </c>
      <c r="AP64" s="10">
        <v>158011494</v>
      </c>
      <c r="AQ64" s="10">
        <v>131303494</v>
      </c>
      <c r="AR64" s="10">
        <v>72175787</v>
      </c>
      <c r="AS64" s="10">
        <v>19579658</v>
      </c>
      <c r="AT64" s="10">
        <v>4114953</v>
      </c>
      <c r="AU64" s="3"/>
      <c r="AV64" s="3"/>
      <c r="AW64" s="10">
        <v>5972244</v>
      </c>
      <c r="AX64" s="10">
        <v>2215187</v>
      </c>
      <c r="AY64" s="10">
        <v>20631919</v>
      </c>
      <c r="AZ64" s="1">
        <v>25174473.129999999</v>
      </c>
      <c r="BA64" s="1">
        <v>12587237</v>
      </c>
      <c r="BB64" s="19"/>
      <c r="BC64" s="15">
        <v>1362509</v>
      </c>
      <c r="BD64" s="15">
        <v>2725017</v>
      </c>
      <c r="BE64" s="20">
        <v>27055393</v>
      </c>
      <c r="BF64" s="20">
        <v>27055393</v>
      </c>
      <c r="BG64" s="20">
        <v>92998261</v>
      </c>
      <c r="BH64" s="20">
        <v>87364739</v>
      </c>
      <c r="BI64" s="19"/>
      <c r="BJ64" s="19"/>
      <c r="BK64" s="19"/>
      <c r="BL64" s="5">
        <v>2780444977</v>
      </c>
      <c r="BM64" s="5">
        <v>2291296265</v>
      </c>
      <c r="BN64" s="15">
        <v>2364200</v>
      </c>
      <c r="BO64" s="1"/>
      <c r="BP64" s="1"/>
      <c r="BQ64" s="5"/>
      <c r="BR64" s="5"/>
      <c r="BS64" s="5"/>
    </row>
    <row r="65" spans="1:71" x14ac:dyDescent="0.25">
      <c r="A65" s="6" t="s">
        <v>119</v>
      </c>
      <c r="B65" s="10">
        <v>210632358</v>
      </c>
      <c r="C65" s="10">
        <v>93017085</v>
      </c>
      <c r="D65" s="10">
        <v>74294167</v>
      </c>
      <c r="E65" s="10">
        <v>0</v>
      </c>
      <c r="F65" s="10">
        <v>23008237</v>
      </c>
      <c r="G65" s="10">
        <v>9696800</v>
      </c>
      <c r="H65" s="10">
        <v>12195653</v>
      </c>
      <c r="I65" s="10">
        <v>4870601</v>
      </c>
      <c r="J65" s="10">
        <v>94200</v>
      </c>
      <c r="K65" s="10">
        <v>64800</v>
      </c>
      <c r="L65" s="10">
        <v>110435655</v>
      </c>
      <c r="M65" s="10">
        <v>68545700</v>
      </c>
      <c r="N65" s="10">
        <v>1292</v>
      </c>
      <c r="O65" s="10">
        <v>554</v>
      </c>
      <c r="P65" s="10">
        <v>8374300</v>
      </c>
      <c r="Q65" s="10">
        <v>4058700</v>
      </c>
      <c r="R65" s="10">
        <v>1157000</v>
      </c>
      <c r="S65" s="10">
        <v>1255400</v>
      </c>
      <c r="T65" s="10">
        <v>305000</v>
      </c>
      <c r="U65" s="10">
        <v>77000</v>
      </c>
      <c r="V65" s="10">
        <v>8374300</v>
      </c>
      <c r="W65" s="10">
        <v>4101000</v>
      </c>
      <c r="X65" s="10">
        <v>1157000</v>
      </c>
      <c r="Y65" s="10">
        <v>1255400</v>
      </c>
      <c r="Z65" s="10">
        <v>332700</v>
      </c>
      <c r="AA65" s="10">
        <v>77000</v>
      </c>
      <c r="AB65" s="10">
        <v>-3411730</v>
      </c>
      <c r="AC65" s="10">
        <v>0</v>
      </c>
      <c r="AD65" s="3"/>
      <c r="AE65" s="3"/>
      <c r="AF65" s="3"/>
      <c r="AG65" s="3"/>
      <c r="AH65" s="10">
        <v>1763688</v>
      </c>
      <c r="AI65" s="10">
        <v>14829835</v>
      </c>
      <c r="AJ65" s="10">
        <v>8332102</v>
      </c>
      <c r="AK65" s="10">
        <v>79064496</v>
      </c>
      <c r="AL65" s="10">
        <v>3256689</v>
      </c>
      <c r="AM65" s="10">
        <v>145000</v>
      </c>
      <c r="AN65" s="10">
        <v>28143419</v>
      </c>
      <c r="AO65" s="10">
        <v>1182785</v>
      </c>
      <c r="AP65" s="10">
        <v>3992769</v>
      </c>
      <c r="AQ65" s="10">
        <v>11833355</v>
      </c>
      <c r="AR65" s="10">
        <v>553708</v>
      </c>
      <c r="AS65" s="10">
        <v>1398</v>
      </c>
      <c r="AT65" s="10">
        <v>130000</v>
      </c>
      <c r="AU65" s="3"/>
      <c r="AV65" s="3"/>
      <c r="AW65" s="3"/>
      <c r="AX65" s="3"/>
      <c r="AY65" s="3"/>
      <c r="AZ65" s="1">
        <v>5760369.0099999998</v>
      </c>
      <c r="BA65" s="1">
        <v>2880185</v>
      </c>
      <c r="BB65" s="19"/>
      <c r="BC65" s="15">
        <v>1684503</v>
      </c>
      <c r="BD65" s="15">
        <v>3369007</v>
      </c>
      <c r="BE65" s="20">
        <v>22908218</v>
      </c>
      <c r="BF65" s="20">
        <v>22908218</v>
      </c>
      <c r="BG65" s="20">
        <v>74406759</v>
      </c>
      <c r="BH65" s="20">
        <v>71215397</v>
      </c>
      <c r="BI65" s="19"/>
      <c r="BJ65" s="19"/>
      <c r="BK65" s="19"/>
      <c r="BL65" s="5">
        <v>625038282</v>
      </c>
      <c r="BM65" s="5">
        <v>444028794</v>
      </c>
      <c r="BN65" s="15">
        <v>478500</v>
      </c>
      <c r="BO65" s="1"/>
      <c r="BP65" s="1"/>
      <c r="BQ65" s="5"/>
      <c r="BR65" s="5"/>
      <c r="BS65" s="5"/>
    </row>
    <row r="66" spans="1:71" x14ac:dyDescent="0.25">
      <c r="A66" s="6" t="s">
        <v>120</v>
      </c>
      <c r="B66" s="10">
        <v>73899021</v>
      </c>
      <c r="C66" s="10">
        <v>35932631</v>
      </c>
      <c r="D66" s="10">
        <v>46054556</v>
      </c>
      <c r="E66" s="10">
        <v>0</v>
      </c>
      <c r="F66" s="10">
        <v>10036910</v>
      </c>
      <c r="G66" s="10">
        <v>10265725</v>
      </c>
      <c r="H66" s="10">
        <v>4573395</v>
      </c>
      <c r="I66" s="10">
        <v>3408900</v>
      </c>
      <c r="J66" s="10">
        <v>0</v>
      </c>
      <c r="K66" s="10">
        <v>0</v>
      </c>
      <c r="L66" s="10">
        <v>28349197</v>
      </c>
      <c r="M66" s="10">
        <v>24551579</v>
      </c>
      <c r="N66" s="10">
        <v>552</v>
      </c>
      <c r="O66" s="10">
        <v>596</v>
      </c>
      <c r="P66" s="10">
        <v>1727806</v>
      </c>
      <c r="Q66" s="10">
        <v>415450</v>
      </c>
      <c r="R66" s="10">
        <v>488566</v>
      </c>
      <c r="S66" s="10">
        <v>1027450</v>
      </c>
      <c r="T66" s="10">
        <v>792216</v>
      </c>
      <c r="U66" s="10">
        <v>67400</v>
      </c>
      <c r="V66" s="10">
        <v>1727806</v>
      </c>
      <c r="W66" s="10">
        <v>547660</v>
      </c>
      <c r="X66" s="10">
        <v>488566</v>
      </c>
      <c r="Y66" s="10">
        <v>1027450</v>
      </c>
      <c r="Z66" s="10">
        <v>942190</v>
      </c>
      <c r="AA66" s="10">
        <v>67400</v>
      </c>
      <c r="AB66" s="10">
        <v>-2367264</v>
      </c>
      <c r="AC66" s="10">
        <v>-1136746</v>
      </c>
      <c r="AD66" s="10">
        <v>86146</v>
      </c>
      <c r="AE66" s="10">
        <v>0</v>
      </c>
      <c r="AF66" s="10">
        <v>0</v>
      </c>
      <c r="AG66" s="10">
        <v>103850</v>
      </c>
      <c r="AH66" s="10">
        <v>15877090</v>
      </c>
      <c r="AI66" s="3"/>
      <c r="AJ66" s="10">
        <v>129969</v>
      </c>
      <c r="AK66" s="10">
        <v>34261248</v>
      </c>
      <c r="AL66" s="10">
        <v>544139</v>
      </c>
      <c r="AM66" s="3"/>
      <c r="AN66" s="10">
        <v>8223067</v>
      </c>
      <c r="AO66" s="10">
        <v>75593</v>
      </c>
      <c r="AP66" s="10">
        <v>746425</v>
      </c>
      <c r="AQ66" s="10">
        <v>5513824</v>
      </c>
      <c r="AR66" s="10">
        <v>4127382</v>
      </c>
      <c r="AS66" s="3"/>
      <c r="AT66" s="10">
        <v>44987</v>
      </c>
      <c r="AU66" s="3"/>
      <c r="AV66" s="3"/>
      <c r="AW66" s="3"/>
      <c r="AX66" s="3"/>
      <c r="AY66" s="10">
        <v>119000</v>
      </c>
      <c r="AZ66" s="1">
        <v>2496157.77</v>
      </c>
      <c r="BA66" s="1">
        <v>1248079</v>
      </c>
      <c r="BB66" s="19"/>
      <c r="BC66" s="15">
        <v>1209471</v>
      </c>
      <c r="BD66" s="15">
        <v>2418941</v>
      </c>
      <c r="BE66" s="20">
        <v>6521605</v>
      </c>
      <c r="BF66" s="20">
        <v>6521605</v>
      </c>
      <c r="BG66" s="20">
        <v>26123332</v>
      </c>
      <c r="BH66" s="20">
        <v>20924131</v>
      </c>
      <c r="BI66" s="19"/>
      <c r="BJ66" s="19"/>
      <c r="BK66" s="19"/>
      <c r="BL66" s="5">
        <v>250414424</v>
      </c>
      <c r="BM66" s="5">
        <v>185705751</v>
      </c>
      <c r="BN66" s="15">
        <v>173000</v>
      </c>
      <c r="BO66" s="1"/>
      <c r="BP66" s="1"/>
      <c r="BQ66" s="5"/>
      <c r="BR66" s="5"/>
      <c r="BS66" s="5"/>
    </row>
    <row r="67" spans="1:71" x14ac:dyDescent="0.25">
      <c r="A67" s="6" t="s">
        <v>121</v>
      </c>
      <c r="B67" s="10">
        <v>101651318</v>
      </c>
      <c r="C67" s="10">
        <v>48096669</v>
      </c>
      <c r="D67" s="10">
        <v>25049475</v>
      </c>
      <c r="E67" s="10">
        <v>0</v>
      </c>
      <c r="F67" s="10">
        <v>19387885</v>
      </c>
      <c r="G67" s="10">
        <v>22699050</v>
      </c>
      <c r="H67" s="10">
        <v>7511050</v>
      </c>
      <c r="I67" s="10">
        <v>3889478</v>
      </c>
      <c r="J67" s="10">
        <v>157000</v>
      </c>
      <c r="K67" s="10">
        <v>31400</v>
      </c>
      <c r="L67" s="10">
        <v>37878871</v>
      </c>
      <c r="M67" s="10">
        <v>28367100</v>
      </c>
      <c r="N67" s="3"/>
      <c r="O67" s="3"/>
      <c r="P67" s="10">
        <v>4139360</v>
      </c>
      <c r="Q67" s="10">
        <v>330300</v>
      </c>
      <c r="R67" s="10">
        <v>713700</v>
      </c>
      <c r="S67" s="10">
        <v>4850425</v>
      </c>
      <c r="T67" s="10">
        <v>864060</v>
      </c>
      <c r="U67" s="10">
        <v>215600</v>
      </c>
      <c r="V67" s="10">
        <v>4139360</v>
      </c>
      <c r="W67" s="10">
        <v>333800</v>
      </c>
      <c r="X67" s="10">
        <v>713700</v>
      </c>
      <c r="Y67" s="10">
        <v>4850425</v>
      </c>
      <c r="Z67" s="10">
        <v>789235</v>
      </c>
      <c r="AA67" s="10">
        <v>215600</v>
      </c>
      <c r="AB67" s="10">
        <v>-1830075</v>
      </c>
      <c r="AC67" s="10">
        <v>-26957</v>
      </c>
      <c r="AD67" s="10">
        <v>181243</v>
      </c>
      <c r="AE67" s="10">
        <v>0</v>
      </c>
      <c r="AF67" s="10">
        <v>0</v>
      </c>
      <c r="AG67" s="10">
        <v>193900</v>
      </c>
      <c r="AH67" s="10">
        <v>18241773</v>
      </c>
      <c r="AI67" s="10">
        <v>37363493</v>
      </c>
      <c r="AJ67" s="10">
        <v>123814963</v>
      </c>
      <c r="AK67" s="10">
        <v>61756815</v>
      </c>
      <c r="AL67" s="10">
        <v>2504392</v>
      </c>
      <c r="AM67" s="3"/>
      <c r="AN67" s="10">
        <v>59606473</v>
      </c>
      <c r="AO67" s="10">
        <v>2830527</v>
      </c>
      <c r="AP67" s="10">
        <v>14381125</v>
      </c>
      <c r="AQ67" s="10">
        <v>8611868</v>
      </c>
      <c r="AR67" s="10">
        <v>978396</v>
      </c>
      <c r="AS67" s="3"/>
      <c r="AT67" s="3"/>
      <c r="AU67" s="3"/>
      <c r="AV67" s="3"/>
      <c r="AW67" s="3"/>
      <c r="AX67" s="3"/>
      <c r="AY67" s="3"/>
      <c r="AZ67" s="1">
        <v>4499391.08</v>
      </c>
      <c r="BA67" s="1">
        <v>2249696</v>
      </c>
      <c r="BB67" s="19"/>
      <c r="BC67" s="15">
        <v>0</v>
      </c>
      <c r="BD67" s="15">
        <v>0</v>
      </c>
      <c r="BE67" s="20">
        <v>566763</v>
      </c>
      <c r="BF67" s="20">
        <v>566763</v>
      </c>
      <c r="BG67" s="20">
        <v>27788366</v>
      </c>
      <c r="BH67" s="20">
        <v>27788366</v>
      </c>
      <c r="BI67" s="19"/>
      <c r="BJ67" s="19"/>
      <c r="BK67" s="19"/>
      <c r="BL67" s="5">
        <v>520132591</v>
      </c>
      <c r="BM67" s="5">
        <v>425266559</v>
      </c>
      <c r="BN67" s="15">
        <v>542535</v>
      </c>
      <c r="BO67" s="1"/>
      <c r="BP67" s="1"/>
      <c r="BQ67" s="5"/>
      <c r="BR67" s="5"/>
      <c r="BS67" s="5"/>
    </row>
    <row r="68" spans="1:71" x14ac:dyDescent="0.25">
      <c r="A68" s="6" t="s">
        <v>122</v>
      </c>
      <c r="B68" s="10">
        <v>201084166</v>
      </c>
      <c r="C68" s="10">
        <v>45342913</v>
      </c>
      <c r="D68" s="10">
        <v>107988685</v>
      </c>
      <c r="E68" s="10">
        <v>0</v>
      </c>
      <c r="F68" s="10">
        <v>38745835</v>
      </c>
      <c r="G68" s="10">
        <v>32177609</v>
      </c>
      <c r="H68" s="10">
        <v>12112450</v>
      </c>
      <c r="I68" s="10">
        <v>4952200</v>
      </c>
      <c r="J68" s="10">
        <v>0</v>
      </c>
      <c r="K68" s="10">
        <v>0</v>
      </c>
      <c r="L68" s="10">
        <v>67966487</v>
      </c>
      <c r="M68" s="10">
        <v>22516</v>
      </c>
      <c r="N68" s="10">
        <v>2127</v>
      </c>
      <c r="O68" s="10">
        <v>1644</v>
      </c>
      <c r="P68" s="10">
        <v>1963500</v>
      </c>
      <c r="Q68" s="10">
        <v>324000</v>
      </c>
      <c r="R68" s="10">
        <v>201874</v>
      </c>
      <c r="S68" s="10">
        <v>923800</v>
      </c>
      <c r="T68" s="10">
        <v>105500</v>
      </c>
      <c r="U68" s="10">
        <v>481500</v>
      </c>
      <c r="V68" s="10">
        <v>1963500</v>
      </c>
      <c r="W68" s="10">
        <v>415000</v>
      </c>
      <c r="X68" s="10">
        <v>201874</v>
      </c>
      <c r="Y68" s="10">
        <v>923800</v>
      </c>
      <c r="Z68" s="10">
        <v>92500</v>
      </c>
      <c r="AA68" s="10">
        <v>481500</v>
      </c>
      <c r="AB68" s="10">
        <v>-4897836</v>
      </c>
      <c r="AC68" s="10">
        <v>-6629225</v>
      </c>
      <c r="AD68" s="10">
        <v>141430</v>
      </c>
      <c r="AE68" s="10">
        <v>0</v>
      </c>
      <c r="AF68" s="10">
        <v>0</v>
      </c>
      <c r="AG68" s="10">
        <v>147287</v>
      </c>
      <c r="AH68" s="10">
        <v>7168648</v>
      </c>
      <c r="AI68" s="10">
        <v>112365290</v>
      </c>
      <c r="AJ68" s="10">
        <v>126328014</v>
      </c>
      <c r="AK68" s="10">
        <v>142397965</v>
      </c>
      <c r="AL68" s="10">
        <v>2431691</v>
      </c>
      <c r="AM68" s="3"/>
      <c r="AN68" s="10">
        <v>98659025</v>
      </c>
      <c r="AO68" s="10">
        <v>628791</v>
      </c>
      <c r="AP68" s="10">
        <v>28281240</v>
      </c>
      <c r="AQ68" s="10">
        <v>21579266</v>
      </c>
      <c r="AR68" s="10">
        <v>2270680</v>
      </c>
      <c r="AS68" s="10">
        <v>269</v>
      </c>
      <c r="AT68" s="10">
        <v>600</v>
      </c>
      <c r="AU68" s="3"/>
      <c r="AV68" s="3"/>
      <c r="AW68" s="3"/>
      <c r="AX68" s="10">
        <v>14025</v>
      </c>
      <c r="AY68" s="3"/>
      <c r="AZ68" s="1">
        <v>10374630.460000001</v>
      </c>
      <c r="BA68" s="1">
        <v>5187315</v>
      </c>
      <c r="BB68" s="19"/>
      <c r="BC68" s="15">
        <v>1431249</v>
      </c>
      <c r="BD68" s="15">
        <v>2862498</v>
      </c>
      <c r="BE68" s="20">
        <v>6047578</v>
      </c>
      <c r="BF68" s="20">
        <v>6047578</v>
      </c>
      <c r="BG68" s="20">
        <v>47517061</v>
      </c>
      <c r="BH68" s="20">
        <v>44786077</v>
      </c>
      <c r="BI68" s="19"/>
      <c r="BJ68" s="19"/>
      <c r="BK68" s="19"/>
      <c r="BL68" s="5">
        <v>923426673</v>
      </c>
      <c r="BM68" s="5">
        <v>721144798</v>
      </c>
      <c r="BN68" s="15">
        <v>141750</v>
      </c>
      <c r="BO68" s="1"/>
      <c r="BP68" s="1"/>
      <c r="BQ68" s="5"/>
      <c r="BR68" s="5"/>
      <c r="BS68" s="5"/>
    </row>
    <row r="69" spans="1:71" x14ac:dyDescent="0.25">
      <c r="A69" s="6" t="s">
        <v>123</v>
      </c>
      <c r="B69" s="10">
        <v>165080800</v>
      </c>
      <c r="C69" s="10">
        <v>94121100</v>
      </c>
      <c r="D69" s="10">
        <v>28850200</v>
      </c>
      <c r="E69" s="10">
        <v>0</v>
      </c>
      <c r="F69" s="10">
        <v>20668900</v>
      </c>
      <c r="G69" s="10">
        <v>9621900</v>
      </c>
      <c r="H69" s="10">
        <v>9449200</v>
      </c>
      <c r="I69" s="10">
        <v>1742200</v>
      </c>
      <c r="J69" s="10">
        <v>60800</v>
      </c>
      <c r="K69" s="10">
        <v>0</v>
      </c>
      <c r="L69" s="10">
        <v>66870100</v>
      </c>
      <c r="M69" s="10">
        <v>0</v>
      </c>
      <c r="N69" s="10">
        <v>1105</v>
      </c>
      <c r="O69" s="10">
        <v>464</v>
      </c>
      <c r="P69" s="10">
        <v>6307400</v>
      </c>
      <c r="Q69" s="10">
        <v>1121500</v>
      </c>
      <c r="R69" s="10">
        <v>419000</v>
      </c>
      <c r="S69" s="10">
        <v>1004400</v>
      </c>
      <c r="T69" s="10">
        <v>206500</v>
      </c>
      <c r="U69" s="10">
        <v>221200</v>
      </c>
      <c r="V69" s="10">
        <v>6307400</v>
      </c>
      <c r="W69" s="10">
        <v>1028500</v>
      </c>
      <c r="X69" s="10">
        <v>419000</v>
      </c>
      <c r="Y69" s="10">
        <v>1004400</v>
      </c>
      <c r="Z69" s="10">
        <v>261400</v>
      </c>
      <c r="AA69" s="10">
        <v>221200</v>
      </c>
      <c r="AB69" s="10">
        <v>-2220500</v>
      </c>
      <c r="AC69" s="10">
        <v>-235246</v>
      </c>
      <c r="AD69" s="10">
        <v>178959</v>
      </c>
      <c r="AE69" s="3"/>
      <c r="AF69" s="3"/>
      <c r="AG69" s="10">
        <v>292431</v>
      </c>
      <c r="AH69" s="3"/>
      <c r="AI69" s="3"/>
      <c r="AJ69" s="3"/>
      <c r="AK69" s="10">
        <v>65675308</v>
      </c>
      <c r="AL69" s="10">
        <v>1036721</v>
      </c>
      <c r="AM69" s="3"/>
      <c r="AN69" s="10">
        <v>10543859</v>
      </c>
      <c r="AO69" s="10">
        <v>427243</v>
      </c>
      <c r="AP69" s="10">
        <v>4845809</v>
      </c>
      <c r="AQ69" s="10">
        <v>6429853</v>
      </c>
      <c r="AR69" s="10">
        <v>923430</v>
      </c>
      <c r="AS69" s="3"/>
      <c r="AT69" s="10">
        <v>144937</v>
      </c>
      <c r="AU69" s="3"/>
      <c r="AV69" s="3"/>
      <c r="AW69" s="3"/>
      <c r="AX69" s="3"/>
      <c r="AY69" s="10">
        <v>50000</v>
      </c>
      <c r="AZ69" s="1">
        <v>4784879.13</v>
      </c>
      <c r="BA69" s="1">
        <v>2392440</v>
      </c>
      <c r="BB69" s="19">
        <v>19097033</v>
      </c>
      <c r="BC69" s="15">
        <v>1503969</v>
      </c>
      <c r="BD69" s="15">
        <v>3007938</v>
      </c>
      <c r="BE69" s="20">
        <v>31647162</v>
      </c>
      <c r="BF69" s="20">
        <v>31647162</v>
      </c>
      <c r="BG69" s="20">
        <v>60747127</v>
      </c>
      <c r="BH69" s="20">
        <v>51387332</v>
      </c>
      <c r="BI69" s="19"/>
      <c r="BJ69" s="19"/>
      <c r="BK69" s="19"/>
      <c r="BL69" s="5">
        <v>459095987</v>
      </c>
      <c r="BM69" s="5">
        <v>305453055</v>
      </c>
      <c r="BN69" s="15">
        <v>1379000</v>
      </c>
      <c r="BO69" s="1"/>
      <c r="BP69" s="1"/>
      <c r="BQ69" s="5"/>
      <c r="BR69" s="5"/>
      <c r="BS69" s="5"/>
    </row>
    <row r="70" spans="1:71" x14ac:dyDescent="0.25">
      <c r="A70" s="6" t="s">
        <v>124</v>
      </c>
      <c r="B70" s="10">
        <v>449128113</v>
      </c>
      <c r="C70" s="10">
        <v>154698531</v>
      </c>
      <c r="D70" s="10">
        <v>89511186</v>
      </c>
      <c r="E70" s="10">
        <v>0</v>
      </c>
      <c r="F70" s="10">
        <v>45169012</v>
      </c>
      <c r="G70" s="10">
        <v>14582803</v>
      </c>
      <c r="H70" s="10">
        <v>15786668</v>
      </c>
      <c r="I70" s="10">
        <v>2081150</v>
      </c>
      <c r="J70" s="10">
        <v>157000</v>
      </c>
      <c r="K70" s="10">
        <v>0</v>
      </c>
      <c r="L70" s="10">
        <v>251053361</v>
      </c>
      <c r="M70" s="10">
        <v>57611210</v>
      </c>
      <c r="N70" s="10">
        <v>2147</v>
      </c>
      <c r="O70" s="10">
        <v>649</v>
      </c>
      <c r="P70" s="10">
        <v>14914120</v>
      </c>
      <c r="Q70" s="10">
        <v>3877620</v>
      </c>
      <c r="R70" s="10">
        <v>1470500</v>
      </c>
      <c r="S70" s="10">
        <v>5974609</v>
      </c>
      <c r="T70" s="10">
        <v>2435783</v>
      </c>
      <c r="U70" s="10">
        <v>1124700</v>
      </c>
      <c r="V70" s="10">
        <v>14914120</v>
      </c>
      <c r="W70" s="10">
        <v>2938200</v>
      </c>
      <c r="X70" s="10">
        <v>1470500</v>
      </c>
      <c r="Y70" s="10">
        <v>5974609</v>
      </c>
      <c r="Z70" s="10">
        <v>2163485</v>
      </c>
      <c r="AA70" s="10">
        <v>1124700</v>
      </c>
      <c r="AB70" s="10">
        <v>-3605739</v>
      </c>
      <c r="AC70" s="10">
        <v>-1127763</v>
      </c>
      <c r="AD70" s="10">
        <v>52812</v>
      </c>
      <c r="AE70" s="10">
        <v>0</v>
      </c>
      <c r="AF70" s="10">
        <v>0</v>
      </c>
      <c r="AG70" s="10">
        <v>178529</v>
      </c>
      <c r="AH70" s="10">
        <v>0</v>
      </c>
      <c r="AI70" s="10">
        <v>0</v>
      </c>
      <c r="AJ70" s="3"/>
      <c r="AK70" s="10">
        <v>121812826</v>
      </c>
      <c r="AL70" s="10">
        <v>2779037</v>
      </c>
      <c r="AM70" s="3"/>
      <c r="AN70" s="10">
        <v>18195948</v>
      </c>
      <c r="AO70" s="10">
        <v>1861411</v>
      </c>
      <c r="AP70" s="10">
        <v>11453451</v>
      </c>
      <c r="AQ70" s="10">
        <v>16624929</v>
      </c>
      <c r="AR70" s="10">
        <v>12112552</v>
      </c>
      <c r="AS70" s="10">
        <v>745128</v>
      </c>
      <c r="AT70" s="10">
        <v>461358</v>
      </c>
      <c r="AU70" s="3"/>
      <c r="AV70" s="3"/>
      <c r="AW70" s="10">
        <v>28587</v>
      </c>
      <c r="AX70" s="10">
        <v>13953</v>
      </c>
      <c r="AY70" s="3"/>
      <c r="AZ70" s="1">
        <v>8874867.3800000008</v>
      </c>
      <c r="BA70" s="1">
        <v>4437434</v>
      </c>
      <c r="BB70" s="19"/>
      <c r="BC70" s="15">
        <v>1298110</v>
      </c>
      <c r="BD70" s="15">
        <v>2596219</v>
      </c>
      <c r="BE70" s="20">
        <v>31882322</v>
      </c>
      <c r="BF70" s="20">
        <v>31882322</v>
      </c>
      <c r="BG70" s="20">
        <v>55204134</v>
      </c>
      <c r="BH70" s="20">
        <v>48466115</v>
      </c>
      <c r="BI70" s="19"/>
      <c r="BJ70" s="19"/>
      <c r="BK70" s="19"/>
      <c r="BL70" s="5">
        <v>940695962</v>
      </c>
      <c r="BM70" s="5">
        <v>730020118</v>
      </c>
      <c r="BN70" s="15">
        <v>474500</v>
      </c>
      <c r="BO70" s="1"/>
      <c r="BP70" s="1"/>
      <c r="BQ70" s="5"/>
      <c r="BR70" s="5"/>
      <c r="BS70" s="5"/>
    </row>
    <row r="71" spans="1:71" x14ac:dyDescent="0.25">
      <c r="A71" s="6" t="s">
        <v>125</v>
      </c>
      <c r="B71" s="10">
        <v>194005110</v>
      </c>
      <c r="C71" s="10">
        <v>94566962</v>
      </c>
      <c r="D71" s="10">
        <v>63143297</v>
      </c>
      <c r="E71" s="10">
        <v>0</v>
      </c>
      <c r="F71" s="10">
        <v>21706950</v>
      </c>
      <c r="G71" s="10">
        <v>6005400</v>
      </c>
      <c r="H71" s="10">
        <v>6995100</v>
      </c>
      <c r="I71" s="10">
        <v>883000</v>
      </c>
      <c r="J71" s="10">
        <v>62800</v>
      </c>
      <c r="K71" s="10">
        <v>0</v>
      </c>
      <c r="L71" s="10">
        <v>131179500</v>
      </c>
      <c r="M71" s="10">
        <v>51604250</v>
      </c>
      <c r="N71" s="10">
        <v>1013</v>
      </c>
      <c r="O71" s="10">
        <v>245</v>
      </c>
      <c r="P71" s="10">
        <v>6996550</v>
      </c>
      <c r="Q71" s="10">
        <v>1891800</v>
      </c>
      <c r="R71" s="10">
        <v>6318820</v>
      </c>
      <c r="S71" s="10">
        <v>2429350</v>
      </c>
      <c r="T71" s="10">
        <v>1352750</v>
      </c>
      <c r="U71" s="10">
        <v>656300</v>
      </c>
      <c r="V71" s="10">
        <v>6996550</v>
      </c>
      <c r="W71" s="10">
        <v>1874600</v>
      </c>
      <c r="X71" s="10">
        <v>6318820</v>
      </c>
      <c r="Y71" s="10">
        <v>2429350</v>
      </c>
      <c r="Z71" s="10">
        <v>2109400</v>
      </c>
      <c r="AA71" s="10">
        <v>656300</v>
      </c>
      <c r="AB71" s="10">
        <v>-2150300</v>
      </c>
      <c r="AC71" s="10">
        <v>-572013</v>
      </c>
      <c r="AD71" s="10">
        <v>91253</v>
      </c>
      <c r="AE71" s="10">
        <v>0</v>
      </c>
      <c r="AF71" s="10">
        <v>0</v>
      </c>
      <c r="AG71" s="10">
        <v>180687</v>
      </c>
      <c r="AH71" s="3"/>
      <c r="AI71" s="10">
        <v>6413438</v>
      </c>
      <c r="AJ71" s="3"/>
      <c r="AK71" s="10">
        <v>60106808</v>
      </c>
      <c r="AL71" s="10">
        <v>5691270</v>
      </c>
      <c r="AM71" s="10">
        <v>4677503</v>
      </c>
      <c r="AN71" s="10">
        <v>46314076</v>
      </c>
      <c r="AO71" s="10">
        <v>2930748</v>
      </c>
      <c r="AP71" s="10">
        <v>86896333</v>
      </c>
      <c r="AQ71" s="10">
        <v>10451355</v>
      </c>
      <c r="AR71" s="10">
        <v>2813698</v>
      </c>
      <c r="AS71" s="10">
        <v>10215641</v>
      </c>
      <c r="AT71" s="10">
        <v>28074</v>
      </c>
      <c r="AU71" s="3"/>
      <c r="AV71" s="3"/>
      <c r="AW71" s="3"/>
      <c r="AX71" s="3"/>
      <c r="AY71" s="3"/>
      <c r="AZ71" s="1">
        <v>4379177.2</v>
      </c>
      <c r="BA71" s="1">
        <v>2189589</v>
      </c>
      <c r="BB71" s="19">
        <v>39413551</v>
      </c>
      <c r="BC71" s="15">
        <v>206221</v>
      </c>
      <c r="BD71" s="15">
        <v>412443</v>
      </c>
      <c r="BE71" s="20">
        <v>6269270</v>
      </c>
      <c r="BF71" s="20">
        <v>5933759</v>
      </c>
      <c r="BG71" s="20">
        <v>18665144</v>
      </c>
      <c r="BH71" s="20">
        <v>18187703</v>
      </c>
      <c r="BI71" s="19"/>
      <c r="BJ71" s="19"/>
      <c r="BK71" s="19"/>
      <c r="BL71" s="5">
        <v>510140336</v>
      </c>
      <c r="BM71" s="5">
        <v>417824986</v>
      </c>
      <c r="BN71" s="15">
        <v>378050</v>
      </c>
      <c r="BO71" s="1"/>
      <c r="BP71" s="1"/>
      <c r="BQ71" s="5"/>
      <c r="BR71" s="5"/>
      <c r="BS71" s="5"/>
    </row>
    <row r="72" spans="1:71" x14ac:dyDescent="0.25">
      <c r="A72" s="6" t="s">
        <v>126</v>
      </c>
      <c r="B72" s="10">
        <v>500751991</v>
      </c>
      <c r="C72" s="10">
        <v>220599298</v>
      </c>
      <c r="D72" s="10">
        <v>170206743</v>
      </c>
      <c r="E72" s="10">
        <v>0</v>
      </c>
      <c r="F72" s="10">
        <v>51345563</v>
      </c>
      <c r="G72" s="10">
        <v>9372000</v>
      </c>
      <c r="H72" s="10">
        <v>13366725</v>
      </c>
      <c r="I72" s="10">
        <v>864955</v>
      </c>
      <c r="J72" s="10">
        <v>62800</v>
      </c>
      <c r="K72" s="10">
        <v>31400</v>
      </c>
      <c r="L72" s="10">
        <v>530921388</v>
      </c>
      <c r="M72" s="10">
        <v>0</v>
      </c>
      <c r="N72" s="10">
        <v>2207</v>
      </c>
      <c r="O72" s="10">
        <v>358</v>
      </c>
      <c r="P72" s="10">
        <v>11546879</v>
      </c>
      <c r="Q72" s="10">
        <v>7904859</v>
      </c>
      <c r="R72" s="10">
        <v>4669280</v>
      </c>
      <c r="S72" s="10">
        <v>4680919</v>
      </c>
      <c r="T72" s="10">
        <v>2234526</v>
      </c>
      <c r="U72" s="10">
        <v>388564</v>
      </c>
      <c r="V72" s="10">
        <v>11546879</v>
      </c>
      <c r="W72" s="10">
        <v>9865591</v>
      </c>
      <c r="X72" s="10">
        <v>4669280</v>
      </c>
      <c r="Y72" s="10">
        <v>4680919</v>
      </c>
      <c r="Z72" s="10">
        <v>2425509</v>
      </c>
      <c r="AA72" s="10">
        <v>388564</v>
      </c>
      <c r="AB72" s="10">
        <v>-2744955</v>
      </c>
      <c r="AC72" s="10">
        <v>-252479</v>
      </c>
      <c r="AD72" s="10">
        <v>107573</v>
      </c>
      <c r="AE72" s="10">
        <v>4448100</v>
      </c>
      <c r="AF72" s="10">
        <v>523029196</v>
      </c>
      <c r="AG72" s="10">
        <v>318182</v>
      </c>
      <c r="AH72" s="10">
        <v>21648</v>
      </c>
      <c r="AI72" s="10">
        <v>261633</v>
      </c>
      <c r="AJ72" s="3"/>
      <c r="AK72" s="10">
        <v>140432837</v>
      </c>
      <c r="AL72" s="10">
        <v>3732888</v>
      </c>
      <c r="AM72" s="3"/>
      <c r="AN72" s="10">
        <v>36708374</v>
      </c>
      <c r="AO72" s="10">
        <v>9160524</v>
      </c>
      <c r="AP72" s="10">
        <v>364376637</v>
      </c>
      <c r="AQ72" s="10">
        <v>80289308</v>
      </c>
      <c r="AR72" s="10">
        <v>265846620</v>
      </c>
      <c r="AS72" s="10">
        <v>6078524</v>
      </c>
      <c r="AT72" s="10">
        <v>1141402</v>
      </c>
      <c r="AU72" s="3"/>
      <c r="AV72" s="10">
        <v>239193</v>
      </c>
      <c r="AW72" s="10">
        <v>2206905</v>
      </c>
      <c r="AX72" s="10">
        <v>364902</v>
      </c>
      <c r="AY72" s="10">
        <v>307250</v>
      </c>
      <c r="AZ72" s="1">
        <v>10231457.93</v>
      </c>
      <c r="BA72" s="1">
        <v>5115729</v>
      </c>
      <c r="BB72" s="19"/>
      <c r="BC72" s="15">
        <v>1329585</v>
      </c>
      <c r="BD72" s="15">
        <v>2659171</v>
      </c>
      <c r="BE72" s="20">
        <v>10023673</v>
      </c>
      <c r="BF72" s="20">
        <v>10023673</v>
      </c>
      <c r="BG72" s="20">
        <v>45518411</v>
      </c>
      <c r="BH72" s="20">
        <v>43506158</v>
      </c>
      <c r="BI72" s="19"/>
      <c r="BJ72" s="19">
        <v>2630891</v>
      </c>
      <c r="BK72" s="19"/>
      <c r="BL72" s="5">
        <v>1224771280</v>
      </c>
      <c r="BM72" s="5">
        <v>1017999519</v>
      </c>
      <c r="BN72" s="15">
        <v>3179332</v>
      </c>
      <c r="BO72" s="1"/>
      <c r="BP72" s="1"/>
      <c r="BQ72" s="5"/>
      <c r="BR72" s="5"/>
      <c r="BS72" s="5"/>
    </row>
    <row r="73" spans="1:71" x14ac:dyDescent="0.25">
      <c r="A73" s="6" t="s">
        <v>127</v>
      </c>
      <c r="B73" s="10">
        <v>366058951</v>
      </c>
      <c r="C73" s="10">
        <v>50705412</v>
      </c>
      <c r="D73" s="10">
        <v>71389354</v>
      </c>
      <c r="E73" s="10">
        <v>0</v>
      </c>
      <c r="F73" s="10">
        <v>21847835</v>
      </c>
      <c r="G73" s="10">
        <v>4248645</v>
      </c>
      <c r="H73" s="10">
        <v>5035910</v>
      </c>
      <c r="I73" s="10">
        <v>445400</v>
      </c>
      <c r="J73" s="10">
        <v>125600</v>
      </c>
      <c r="K73" s="10">
        <v>0</v>
      </c>
      <c r="L73" s="10">
        <v>54784615</v>
      </c>
      <c r="M73" s="10">
        <v>28731870</v>
      </c>
      <c r="N73" s="10">
        <v>913</v>
      </c>
      <c r="O73" s="10">
        <v>170</v>
      </c>
      <c r="P73" s="10">
        <v>6164200</v>
      </c>
      <c r="Q73" s="10">
        <v>130000</v>
      </c>
      <c r="R73" s="10">
        <v>550000</v>
      </c>
      <c r="S73" s="10">
        <v>689640</v>
      </c>
      <c r="T73" s="10">
        <v>121770</v>
      </c>
      <c r="U73" s="10">
        <v>191565</v>
      </c>
      <c r="V73" s="10">
        <v>6164200</v>
      </c>
      <c r="W73" s="10">
        <v>0</v>
      </c>
      <c r="X73" s="10">
        <v>550000</v>
      </c>
      <c r="Y73" s="10">
        <v>689640</v>
      </c>
      <c r="Z73" s="10">
        <v>7000</v>
      </c>
      <c r="AA73" s="10">
        <v>191565</v>
      </c>
      <c r="AB73" s="10">
        <v>-1379837</v>
      </c>
      <c r="AC73" s="10">
        <v>0</v>
      </c>
      <c r="AD73" s="10">
        <v>21875</v>
      </c>
      <c r="AE73" s="10">
        <v>0</v>
      </c>
      <c r="AF73" s="10">
        <v>0</v>
      </c>
      <c r="AG73" s="10">
        <v>0</v>
      </c>
      <c r="AH73" s="3"/>
      <c r="AI73" s="3"/>
      <c r="AJ73" s="3"/>
      <c r="AK73" s="10">
        <v>50179220</v>
      </c>
      <c r="AL73" s="10">
        <v>10963845</v>
      </c>
      <c r="AM73" s="10">
        <v>2376665</v>
      </c>
      <c r="AN73" s="10">
        <v>9911188</v>
      </c>
      <c r="AO73" s="10">
        <v>270361</v>
      </c>
      <c r="AP73" s="10">
        <v>5846114</v>
      </c>
      <c r="AQ73" s="10">
        <v>8934585</v>
      </c>
      <c r="AR73" s="10">
        <v>287472</v>
      </c>
      <c r="AS73" s="10">
        <v>5768196</v>
      </c>
      <c r="AT73" s="3"/>
      <c r="AU73" s="3"/>
      <c r="AV73" s="3"/>
      <c r="AW73" s="10">
        <v>2169115</v>
      </c>
      <c r="AX73" s="3"/>
      <c r="AY73" s="3"/>
      <c r="AZ73" s="1">
        <v>3655886.97</v>
      </c>
      <c r="BA73" s="1">
        <v>1827943</v>
      </c>
      <c r="BB73" s="19">
        <v>15804123</v>
      </c>
      <c r="BC73" s="15">
        <v>609619</v>
      </c>
      <c r="BD73" s="15">
        <v>1219239</v>
      </c>
      <c r="BE73" s="20">
        <v>7436878</v>
      </c>
      <c r="BF73" s="20">
        <v>5698117</v>
      </c>
      <c r="BG73" s="20">
        <v>15323978</v>
      </c>
      <c r="BH73" s="20">
        <v>14286778</v>
      </c>
      <c r="BI73" s="19"/>
      <c r="BJ73" s="19"/>
      <c r="BK73" s="19"/>
      <c r="BL73" s="5">
        <v>590835373</v>
      </c>
      <c r="BM73" s="5">
        <v>507269851</v>
      </c>
      <c r="BN73" s="15">
        <v>662507</v>
      </c>
      <c r="BO73" s="1"/>
      <c r="BP73" s="1"/>
      <c r="BQ73" s="5"/>
      <c r="BR73" s="5"/>
      <c r="BS73" s="5"/>
    </row>
    <row r="74" spans="1:71" x14ac:dyDescent="0.25">
      <c r="A74" s="6" t="s">
        <v>128</v>
      </c>
      <c r="B74" s="10">
        <v>1876000741</v>
      </c>
      <c r="C74" s="10">
        <v>100242229</v>
      </c>
      <c r="D74" s="10">
        <v>904183992</v>
      </c>
      <c r="E74" s="10">
        <v>1196900</v>
      </c>
      <c r="F74" s="10">
        <v>144958563</v>
      </c>
      <c r="G74" s="10">
        <v>20484486</v>
      </c>
      <c r="H74" s="10">
        <v>8880429</v>
      </c>
      <c r="I74" s="10">
        <v>664863</v>
      </c>
      <c r="J74" s="10">
        <v>189500</v>
      </c>
      <c r="K74" s="10">
        <v>30000</v>
      </c>
      <c r="L74" s="10">
        <v>71678994</v>
      </c>
      <c r="M74" s="10">
        <v>0</v>
      </c>
      <c r="N74" s="10">
        <v>5293</v>
      </c>
      <c r="O74" s="10">
        <v>780</v>
      </c>
      <c r="P74" s="10">
        <v>20987477</v>
      </c>
      <c r="Q74" s="10">
        <v>743346</v>
      </c>
      <c r="R74" s="10">
        <v>12447750</v>
      </c>
      <c r="S74" s="10">
        <v>10831867</v>
      </c>
      <c r="T74" s="10">
        <v>490994</v>
      </c>
      <c r="U74" s="10">
        <v>732170</v>
      </c>
      <c r="V74" s="10">
        <v>20987477</v>
      </c>
      <c r="W74" s="10">
        <v>2228604</v>
      </c>
      <c r="X74" s="10">
        <v>12447750</v>
      </c>
      <c r="Y74" s="10">
        <v>10831867</v>
      </c>
      <c r="Z74" s="10">
        <v>271002</v>
      </c>
      <c r="AA74" s="10">
        <v>732170</v>
      </c>
      <c r="AB74" s="10">
        <v>-11639870</v>
      </c>
      <c r="AC74" s="10">
        <v>-2283413</v>
      </c>
      <c r="AD74" s="10">
        <v>0</v>
      </c>
      <c r="AE74" s="10">
        <v>0</v>
      </c>
      <c r="AF74" s="10">
        <v>0</v>
      </c>
      <c r="AG74" s="10">
        <v>0</v>
      </c>
      <c r="AH74" s="3"/>
      <c r="AI74" s="10">
        <v>82281</v>
      </c>
      <c r="AJ74" s="3"/>
      <c r="AK74" s="10">
        <v>411629381</v>
      </c>
      <c r="AL74" s="10">
        <v>11295361</v>
      </c>
      <c r="AM74" s="10">
        <v>127300</v>
      </c>
      <c r="AN74" s="10">
        <v>218915552</v>
      </c>
      <c r="AO74" s="10">
        <v>13142175</v>
      </c>
      <c r="AP74" s="10">
        <v>49203892</v>
      </c>
      <c r="AQ74" s="10">
        <v>423039041</v>
      </c>
      <c r="AR74" s="10">
        <v>2383545955</v>
      </c>
      <c r="AS74" s="10">
        <v>372450150</v>
      </c>
      <c r="AT74" s="10">
        <v>480640</v>
      </c>
      <c r="AU74" s="3"/>
      <c r="AV74" s="3"/>
      <c r="AW74" s="3"/>
      <c r="AX74" s="10">
        <v>8623</v>
      </c>
      <c r="AY74" s="10">
        <v>3504016</v>
      </c>
      <c r="AZ74" s="1">
        <v>29989913.93</v>
      </c>
      <c r="BA74" s="1">
        <v>14994957</v>
      </c>
      <c r="BB74" s="19">
        <v>29098134</v>
      </c>
      <c r="BC74" s="15">
        <v>2624077</v>
      </c>
      <c r="BD74" s="15">
        <v>5248154</v>
      </c>
      <c r="BE74" s="20">
        <v>41285325</v>
      </c>
      <c r="BF74" s="20">
        <v>35635150</v>
      </c>
      <c r="BG74" s="20">
        <v>110238405</v>
      </c>
      <c r="BH74" s="20">
        <v>95112888</v>
      </c>
      <c r="BI74" s="19"/>
      <c r="BJ74" s="19">
        <v>30836799</v>
      </c>
      <c r="BK74" s="19"/>
      <c r="BL74" s="5">
        <v>4142230754</v>
      </c>
      <c r="BM74" s="5">
        <v>3535606011</v>
      </c>
      <c r="BN74" s="15">
        <v>17895409</v>
      </c>
      <c r="BO74" s="1"/>
      <c r="BP74" s="1"/>
      <c r="BQ74" s="5"/>
      <c r="BR74" s="5"/>
      <c r="BS74" s="5"/>
    </row>
    <row r="75" spans="1:71" x14ac:dyDescent="0.25">
      <c r="A75" s="6" t="s">
        <v>129</v>
      </c>
      <c r="B75" s="10">
        <v>196647060</v>
      </c>
      <c r="C75" s="10">
        <v>49968053</v>
      </c>
      <c r="D75" s="10">
        <v>67352130</v>
      </c>
      <c r="E75" s="10">
        <v>0</v>
      </c>
      <c r="F75" s="10">
        <v>24724550</v>
      </c>
      <c r="G75" s="10">
        <v>20627450</v>
      </c>
      <c r="H75" s="10">
        <v>5612250</v>
      </c>
      <c r="I75" s="10">
        <v>1851200</v>
      </c>
      <c r="J75" s="10">
        <v>74800</v>
      </c>
      <c r="K75" s="10">
        <v>53200</v>
      </c>
      <c r="L75" s="10">
        <v>16180045</v>
      </c>
      <c r="M75" s="10">
        <v>136400</v>
      </c>
      <c r="N75" s="10">
        <v>1148</v>
      </c>
      <c r="O75" s="10">
        <v>880</v>
      </c>
      <c r="P75" s="10">
        <v>4147600</v>
      </c>
      <c r="Q75" s="10">
        <v>451100</v>
      </c>
      <c r="R75" s="10">
        <v>1655400</v>
      </c>
      <c r="S75" s="10">
        <v>2969800</v>
      </c>
      <c r="T75" s="10">
        <v>1162645</v>
      </c>
      <c r="U75" s="10">
        <v>2484200</v>
      </c>
      <c r="V75" s="10">
        <v>4147600</v>
      </c>
      <c r="W75" s="10">
        <v>858500</v>
      </c>
      <c r="X75" s="10">
        <v>1655400</v>
      </c>
      <c r="Y75" s="10">
        <v>2969800</v>
      </c>
      <c r="Z75" s="10">
        <v>915110</v>
      </c>
      <c r="AA75" s="10">
        <v>2484200</v>
      </c>
      <c r="AB75" s="10">
        <v>-2802750</v>
      </c>
      <c r="AC75" s="10">
        <v>186141</v>
      </c>
      <c r="AD75" s="10">
        <v>34579</v>
      </c>
      <c r="AE75" s="3"/>
      <c r="AF75" s="3"/>
      <c r="AG75" s="10">
        <v>47695</v>
      </c>
      <c r="AH75" s="10">
        <v>322094</v>
      </c>
      <c r="AI75" s="10">
        <v>56750</v>
      </c>
      <c r="AJ75" s="10">
        <v>2294453</v>
      </c>
      <c r="AK75" s="10">
        <v>66825528</v>
      </c>
      <c r="AL75" s="10">
        <v>1825189</v>
      </c>
      <c r="AM75" s="10">
        <v>110000</v>
      </c>
      <c r="AN75" s="10">
        <v>6830107</v>
      </c>
      <c r="AO75" s="10">
        <v>33902</v>
      </c>
      <c r="AP75" s="10">
        <v>5931230</v>
      </c>
      <c r="AQ75" s="10">
        <v>13140638</v>
      </c>
      <c r="AR75" s="10">
        <v>4179604</v>
      </c>
      <c r="AS75" s="3"/>
      <c r="AT75" s="10">
        <v>311544</v>
      </c>
      <c r="AU75" s="3"/>
      <c r="AV75" s="3"/>
      <c r="AW75" s="3"/>
      <c r="AX75" s="10">
        <v>45470</v>
      </c>
      <c r="AY75" s="10">
        <v>12500</v>
      </c>
      <c r="AZ75" s="1">
        <v>4868680.24</v>
      </c>
      <c r="BA75" s="1">
        <v>2434340</v>
      </c>
      <c r="BB75" s="19"/>
      <c r="BC75" s="15">
        <v>1912794</v>
      </c>
      <c r="BD75" s="15">
        <v>3825588</v>
      </c>
      <c r="BE75" s="20">
        <v>15149242</v>
      </c>
      <c r="BF75" s="20">
        <v>15149242</v>
      </c>
      <c r="BG75" s="20">
        <v>33547494</v>
      </c>
      <c r="BH75" s="20">
        <v>26812296</v>
      </c>
      <c r="BI75" s="19"/>
      <c r="BJ75" s="19"/>
      <c r="BK75" s="19"/>
      <c r="BL75" s="5">
        <v>448859004</v>
      </c>
      <c r="BM75" s="5">
        <v>336645187</v>
      </c>
      <c r="BN75" s="15">
        <v>611800</v>
      </c>
      <c r="BO75" s="1"/>
      <c r="BP75" s="1"/>
      <c r="BQ75" s="5"/>
      <c r="BR75" s="5"/>
      <c r="BS75" s="5"/>
    </row>
    <row r="76" spans="1:71" x14ac:dyDescent="0.25">
      <c r="A76" s="6" t="s">
        <v>130</v>
      </c>
      <c r="B76" s="10">
        <v>151178857</v>
      </c>
      <c r="C76" s="10">
        <v>128364685</v>
      </c>
      <c r="D76" s="10">
        <v>39193750</v>
      </c>
      <c r="E76" s="10">
        <v>0</v>
      </c>
      <c r="F76" s="10">
        <v>18499923</v>
      </c>
      <c r="G76" s="10">
        <v>4677808</v>
      </c>
      <c r="H76" s="10">
        <v>5137650</v>
      </c>
      <c r="I76" s="10">
        <v>363620</v>
      </c>
      <c r="J76" s="10">
        <v>0</v>
      </c>
      <c r="K76" s="10">
        <v>0</v>
      </c>
      <c r="L76" s="10">
        <v>142639027</v>
      </c>
      <c r="M76" s="10">
        <v>0</v>
      </c>
      <c r="N76" s="10">
        <v>851</v>
      </c>
      <c r="O76" s="10">
        <v>191</v>
      </c>
      <c r="P76" s="10">
        <v>2044250</v>
      </c>
      <c r="Q76" s="10">
        <v>1764510</v>
      </c>
      <c r="R76" s="10">
        <v>29760</v>
      </c>
      <c r="S76" s="10">
        <v>1585727</v>
      </c>
      <c r="T76" s="10">
        <v>104700</v>
      </c>
      <c r="U76" s="10">
        <v>269115</v>
      </c>
      <c r="V76" s="10">
        <v>2044250</v>
      </c>
      <c r="W76" s="10">
        <v>1815010</v>
      </c>
      <c r="X76" s="10">
        <v>29760</v>
      </c>
      <c r="Y76" s="10">
        <v>1585727</v>
      </c>
      <c r="Z76" s="10">
        <v>857583</v>
      </c>
      <c r="AA76" s="10">
        <v>269115</v>
      </c>
      <c r="AB76" s="10">
        <v>-1969870</v>
      </c>
      <c r="AC76" s="10">
        <v>-41956</v>
      </c>
      <c r="AD76" s="10">
        <v>16722</v>
      </c>
      <c r="AE76" s="10">
        <v>2485</v>
      </c>
      <c r="AF76" s="10">
        <v>4914837</v>
      </c>
      <c r="AG76" s="10">
        <v>149441</v>
      </c>
      <c r="AH76" s="10">
        <v>6005749</v>
      </c>
      <c r="AI76" s="3"/>
      <c r="AJ76" s="10">
        <v>228000</v>
      </c>
      <c r="AK76" s="10">
        <v>56527228</v>
      </c>
      <c r="AL76" s="10">
        <v>1912802</v>
      </c>
      <c r="AM76" s="3"/>
      <c r="AN76" s="10">
        <v>8638980</v>
      </c>
      <c r="AO76" s="10">
        <v>801768</v>
      </c>
      <c r="AP76" s="10">
        <v>6783848</v>
      </c>
      <c r="AQ76" s="10">
        <v>9481707</v>
      </c>
      <c r="AR76" s="10">
        <v>9898076</v>
      </c>
      <c r="AS76" s="3"/>
      <c r="AT76" s="3"/>
      <c r="AU76" s="3"/>
      <c r="AV76" s="10">
        <v>11303</v>
      </c>
      <c r="AW76" s="10">
        <v>10409687</v>
      </c>
      <c r="AX76" s="3"/>
      <c r="AY76" s="10">
        <v>171800</v>
      </c>
      <c r="AZ76" s="1">
        <v>4118381.2</v>
      </c>
      <c r="BA76" s="1">
        <v>2059191</v>
      </c>
      <c r="BB76" s="19">
        <v>9125115</v>
      </c>
      <c r="BC76" s="15">
        <v>0</v>
      </c>
      <c r="BD76" s="15">
        <v>0</v>
      </c>
      <c r="BE76" s="20">
        <v>5060695</v>
      </c>
      <c r="BF76" s="20">
        <v>5060695</v>
      </c>
      <c r="BG76" s="20">
        <v>21249360</v>
      </c>
      <c r="BH76" s="20">
        <v>21249360</v>
      </c>
      <c r="BI76" s="19"/>
      <c r="BJ76" s="19"/>
      <c r="BK76" s="19"/>
      <c r="BL76" s="5">
        <v>437959644</v>
      </c>
      <c r="BM76" s="5">
        <v>343893496</v>
      </c>
      <c r="BN76" s="15">
        <v>535470</v>
      </c>
      <c r="BO76" s="1"/>
      <c r="BP76" s="1"/>
      <c r="BQ76" s="5"/>
      <c r="BR76" s="5"/>
      <c r="BS76" s="5"/>
    </row>
    <row r="77" spans="1:71" x14ac:dyDescent="0.25">
      <c r="A77" s="6" t="s">
        <v>131</v>
      </c>
      <c r="B77" s="10">
        <v>2486083663</v>
      </c>
      <c r="C77" s="10">
        <v>240612876</v>
      </c>
      <c r="D77" s="10">
        <v>695760167</v>
      </c>
      <c r="E77" s="10">
        <v>0</v>
      </c>
      <c r="F77" s="10">
        <v>117749877</v>
      </c>
      <c r="G77" s="10">
        <v>23626514</v>
      </c>
      <c r="H77" s="10">
        <v>15081804</v>
      </c>
      <c r="I77" s="10">
        <v>1427417</v>
      </c>
      <c r="J77" s="10">
        <v>408200</v>
      </c>
      <c r="K77" s="10">
        <v>0</v>
      </c>
      <c r="L77" s="10">
        <v>275885908</v>
      </c>
      <c r="M77" s="10">
        <v>139650620</v>
      </c>
      <c r="N77" s="10">
        <v>4428</v>
      </c>
      <c r="O77" s="10">
        <v>857</v>
      </c>
      <c r="P77" s="10">
        <v>113589425</v>
      </c>
      <c r="Q77" s="10">
        <v>2857780</v>
      </c>
      <c r="R77" s="10">
        <v>15018861</v>
      </c>
      <c r="S77" s="10">
        <v>12272243</v>
      </c>
      <c r="T77" s="10">
        <v>3124705</v>
      </c>
      <c r="U77" s="10">
        <v>5075294</v>
      </c>
      <c r="V77" s="10">
        <v>113589425</v>
      </c>
      <c r="W77" s="10">
        <v>903425</v>
      </c>
      <c r="X77" s="10">
        <v>15018861</v>
      </c>
      <c r="Y77" s="10">
        <v>12272243</v>
      </c>
      <c r="Z77" s="10">
        <v>2540880</v>
      </c>
      <c r="AA77" s="10">
        <v>5075294</v>
      </c>
      <c r="AB77" s="10">
        <v>-14029894</v>
      </c>
      <c r="AC77" s="10">
        <v>-122940</v>
      </c>
      <c r="AD77" s="10">
        <v>2203</v>
      </c>
      <c r="AE77" s="10">
        <v>14150</v>
      </c>
      <c r="AF77" s="10">
        <v>65891239</v>
      </c>
      <c r="AG77" s="10">
        <v>238553</v>
      </c>
      <c r="AH77" s="3"/>
      <c r="AI77" s="10">
        <v>459938</v>
      </c>
      <c r="AJ77" s="3"/>
      <c r="AK77" s="10">
        <v>433682854</v>
      </c>
      <c r="AL77" s="10">
        <v>10136931</v>
      </c>
      <c r="AM77" s="10">
        <v>15000</v>
      </c>
      <c r="AN77" s="10">
        <v>112717509</v>
      </c>
      <c r="AO77" s="10">
        <v>13258306</v>
      </c>
      <c r="AP77" s="10">
        <v>452525557</v>
      </c>
      <c r="AQ77" s="10">
        <v>124121425</v>
      </c>
      <c r="AR77" s="10">
        <v>201485441</v>
      </c>
      <c r="AS77" s="10">
        <v>68880699</v>
      </c>
      <c r="AT77" s="10">
        <v>461219</v>
      </c>
      <c r="AU77" s="3"/>
      <c r="AV77" s="3"/>
      <c r="AW77" s="10">
        <v>62787572</v>
      </c>
      <c r="AX77" s="10">
        <v>847775</v>
      </c>
      <c r="AY77" s="10">
        <v>433800</v>
      </c>
      <c r="AZ77" s="1">
        <v>31596654.809999999</v>
      </c>
      <c r="BA77" s="1">
        <v>15798327</v>
      </c>
      <c r="BB77" s="19"/>
      <c r="BC77" s="15">
        <v>1064754</v>
      </c>
      <c r="BD77" s="15">
        <v>2129507</v>
      </c>
      <c r="BE77" s="20">
        <v>33855698</v>
      </c>
      <c r="BF77" s="20">
        <v>33855698</v>
      </c>
      <c r="BG77" s="20">
        <v>105474903</v>
      </c>
      <c r="BH77" s="20">
        <v>101388470</v>
      </c>
      <c r="BI77" s="19"/>
      <c r="BJ77" s="19"/>
      <c r="BK77" s="19"/>
      <c r="BL77" s="5">
        <v>4199870809</v>
      </c>
      <c r="BM77" s="5">
        <v>3673013884</v>
      </c>
      <c r="BN77" s="15">
        <v>3067810</v>
      </c>
      <c r="BO77" s="1"/>
      <c r="BP77" s="1"/>
      <c r="BQ77" s="5"/>
      <c r="BR77" s="5"/>
      <c r="BS77" s="5"/>
    </row>
    <row r="78" spans="1:71" x14ac:dyDescent="0.25">
      <c r="A78" s="6" t="s">
        <v>132</v>
      </c>
      <c r="B78" s="10">
        <v>98189850</v>
      </c>
      <c r="C78" s="10">
        <v>44567640</v>
      </c>
      <c r="D78" s="10">
        <v>30950415</v>
      </c>
      <c r="E78" s="10">
        <v>0</v>
      </c>
      <c r="F78" s="10">
        <v>12863800</v>
      </c>
      <c r="G78" s="10">
        <v>16348550</v>
      </c>
      <c r="H78" s="10">
        <v>8498941</v>
      </c>
      <c r="I78" s="10">
        <v>5614250</v>
      </c>
      <c r="J78" s="10">
        <v>15000</v>
      </c>
      <c r="K78" s="10">
        <v>0</v>
      </c>
      <c r="L78" s="10">
        <v>67374158</v>
      </c>
      <c r="M78" s="10">
        <v>11956950</v>
      </c>
      <c r="N78" s="10">
        <v>826</v>
      </c>
      <c r="O78" s="10">
        <v>930</v>
      </c>
      <c r="P78" s="10">
        <v>3224000</v>
      </c>
      <c r="Q78" s="10">
        <v>1084000</v>
      </c>
      <c r="R78" s="10">
        <v>558000</v>
      </c>
      <c r="S78" s="10">
        <v>1868700</v>
      </c>
      <c r="T78" s="10">
        <v>111500</v>
      </c>
      <c r="U78" s="10">
        <v>649000</v>
      </c>
      <c r="V78" s="10">
        <v>3224000</v>
      </c>
      <c r="W78" s="10">
        <v>1287600</v>
      </c>
      <c r="X78" s="10">
        <v>558000</v>
      </c>
      <c r="Y78" s="10">
        <v>1868700</v>
      </c>
      <c r="Z78" s="10">
        <v>104000</v>
      </c>
      <c r="AA78" s="10">
        <v>649000</v>
      </c>
      <c r="AB78" s="10">
        <v>-1426700</v>
      </c>
      <c r="AC78" s="10">
        <v>0</v>
      </c>
      <c r="AD78" s="10">
        <v>148268</v>
      </c>
      <c r="AE78" s="10">
        <v>0</v>
      </c>
      <c r="AF78" s="10">
        <v>0</v>
      </c>
      <c r="AG78" s="10">
        <v>191807</v>
      </c>
      <c r="AH78" s="10">
        <v>5941766</v>
      </c>
      <c r="AI78" s="10">
        <v>17063880</v>
      </c>
      <c r="AJ78" s="10">
        <v>21973234</v>
      </c>
      <c r="AK78" s="10">
        <v>63522113</v>
      </c>
      <c r="AL78" s="10">
        <v>986714</v>
      </c>
      <c r="AM78" s="3"/>
      <c r="AN78" s="10">
        <v>36808814</v>
      </c>
      <c r="AO78" s="10">
        <v>44127</v>
      </c>
      <c r="AP78" s="10">
        <v>131141</v>
      </c>
      <c r="AQ78" s="10">
        <v>4527211</v>
      </c>
      <c r="AR78" s="10">
        <v>207967</v>
      </c>
      <c r="AS78" s="3"/>
      <c r="AT78" s="10">
        <v>39674</v>
      </c>
      <c r="AU78" s="3"/>
      <c r="AV78" s="3"/>
      <c r="AW78" s="3"/>
      <c r="AX78" s="3"/>
      <c r="AY78" s="3"/>
      <c r="AZ78" s="1">
        <v>4628004.68</v>
      </c>
      <c r="BA78" s="1">
        <v>2314002</v>
      </c>
      <c r="BB78" s="19"/>
      <c r="BC78" s="15">
        <v>495655</v>
      </c>
      <c r="BD78" s="15">
        <v>991310</v>
      </c>
      <c r="BE78" s="20">
        <v>2892560</v>
      </c>
      <c r="BF78" s="20">
        <v>2824794</v>
      </c>
      <c r="BG78" s="20">
        <v>36534608</v>
      </c>
      <c r="BH78" s="20">
        <v>36391172</v>
      </c>
      <c r="BI78" s="19"/>
      <c r="BJ78" s="19"/>
      <c r="BK78" s="19"/>
      <c r="BL78" s="5">
        <v>366658668</v>
      </c>
      <c r="BM78" s="5">
        <v>260066937</v>
      </c>
      <c r="BN78" s="15">
        <v>272365</v>
      </c>
      <c r="BO78" s="1"/>
      <c r="BP78" s="1"/>
      <c r="BQ78" s="5"/>
      <c r="BR78" s="5"/>
      <c r="BS78" s="5"/>
    </row>
    <row r="79" spans="1:71" x14ac:dyDescent="0.25">
      <c r="A79" s="6" t="s">
        <v>133</v>
      </c>
      <c r="B79" s="10">
        <v>378225242</v>
      </c>
      <c r="C79" s="10">
        <v>169914103</v>
      </c>
      <c r="D79" s="10">
        <v>205995965</v>
      </c>
      <c r="E79" s="10">
        <v>3500000</v>
      </c>
      <c r="F79" s="10">
        <v>32896830</v>
      </c>
      <c r="G79" s="10">
        <v>9363985</v>
      </c>
      <c r="H79" s="10">
        <v>10241100</v>
      </c>
      <c r="I79" s="10">
        <v>1471500</v>
      </c>
      <c r="J79" s="10">
        <v>62800</v>
      </c>
      <c r="K79" s="10">
        <v>62800</v>
      </c>
      <c r="L79" s="10">
        <v>271818233</v>
      </c>
      <c r="M79" s="10">
        <v>96993191</v>
      </c>
      <c r="N79" s="10">
        <v>1417</v>
      </c>
      <c r="O79" s="10">
        <v>394</v>
      </c>
      <c r="P79" s="10">
        <v>7372950</v>
      </c>
      <c r="Q79" s="10">
        <v>2087000</v>
      </c>
      <c r="R79" s="10">
        <v>3946500</v>
      </c>
      <c r="S79" s="10">
        <v>2788240</v>
      </c>
      <c r="T79" s="10">
        <v>478400</v>
      </c>
      <c r="U79" s="10">
        <v>2130410</v>
      </c>
      <c r="V79" s="10">
        <v>7372950</v>
      </c>
      <c r="W79" s="10">
        <v>2235500</v>
      </c>
      <c r="X79" s="10">
        <v>3946500</v>
      </c>
      <c r="Y79" s="10">
        <v>2788240</v>
      </c>
      <c r="Z79" s="10">
        <v>1112920</v>
      </c>
      <c r="AA79" s="10">
        <v>2130410</v>
      </c>
      <c r="AB79" s="10">
        <v>-2470275</v>
      </c>
      <c r="AC79" s="10">
        <v>-353842</v>
      </c>
      <c r="AD79" s="10">
        <v>57311</v>
      </c>
      <c r="AE79" s="10">
        <v>0</v>
      </c>
      <c r="AF79" s="10">
        <v>0</v>
      </c>
      <c r="AG79" s="10">
        <v>205070</v>
      </c>
      <c r="AH79" s="3"/>
      <c r="AI79" s="10">
        <v>203414</v>
      </c>
      <c r="AJ79" s="3"/>
      <c r="AK79" s="10">
        <v>96912330</v>
      </c>
      <c r="AL79" s="10">
        <v>1679622</v>
      </c>
      <c r="AM79" s="10">
        <v>22500</v>
      </c>
      <c r="AN79" s="10">
        <v>28889687</v>
      </c>
      <c r="AO79" s="10">
        <v>6563080</v>
      </c>
      <c r="AP79" s="10">
        <v>180869864</v>
      </c>
      <c r="AQ79" s="10">
        <v>19257529</v>
      </c>
      <c r="AR79" s="10">
        <v>43311558</v>
      </c>
      <c r="AS79" s="10">
        <v>1009965</v>
      </c>
      <c r="AT79" s="10">
        <v>728222</v>
      </c>
      <c r="AU79" s="3"/>
      <c r="AV79" s="10">
        <v>52072</v>
      </c>
      <c r="AW79" s="10">
        <v>70645</v>
      </c>
      <c r="AX79" s="3"/>
      <c r="AY79" s="3"/>
      <c r="AZ79" s="1">
        <v>7060702.0999999996</v>
      </c>
      <c r="BA79" s="1">
        <v>3530351</v>
      </c>
      <c r="BB79" s="19"/>
      <c r="BC79" s="15">
        <v>0</v>
      </c>
      <c r="BD79" s="15">
        <v>0</v>
      </c>
      <c r="BE79" s="20">
        <v>8542456</v>
      </c>
      <c r="BF79" s="20">
        <v>8542456</v>
      </c>
      <c r="BG79" s="20">
        <v>25024471</v>
      </c>
      <c r="BH79" s="20">
        <v>25024471</v>
      </c>
      <c r="BI79" s="19">
        <v>42998671</v>
      </c>
      <c r="BJ79" s="19"/>
      <c r="BK79" s="19"/>
      <c r="BL79" s="5">
        <v>1076526609</v>
      </c>
      <c r="BM79" s="5">
        <v>809049020</v>
      </c>
      <c r="BN79" s="15">
        <v>632000</v>
      </c>
      <c r="BO79" s="1"/>
      <c r="BP79" s="1"/>
      <c r="BQ79" s="5"/>
      <c r="BR79" s="5"/>
      <c r="BS79" s="5"/>
    </row>
    <row r="80" spans="1:71" x14ac:dyDescent="0.25">
      <c r="A80" s="6" t="s">
        <v>134</v>
      </c>
      <c r="B80" s="10">
        <v>1029825963</v>
      </c>
      <c r="C80" s="10">
        <v>144820673</v>
      </c>
      <c r="D80" s="10">
        <v>291675645</v>
      </c>
      <c r="E80" s="10">
        <v>0</v>
      </c>
      <c r="F80" s="10">
        <v>83204214</v>
      </c>
      <c r="G80" s="10">
        <v>15014600</v>
      </c>
      <c r="H80" s="10">
        <v>15557415</v>
      </c>
      <c r="I80" s="10">
        <v>1698398</v>
      </c>
      <c r="J80" s="10">
        <v>368500</v>
      </c>
      <c r="K80" s="10">
        <v>31400</v>
      </c>
      <c r="L80" s="10">
        <v>173267876</v>
      </c>
      <c r="M80" s="10">
        <v>115265243</v>
      </c>
      <c r="N80" s="10">
        <v>2899</v>
      </c>
      <c r="O80" s="10">
        <v>602</v>
      </c>
      <c r="P80" s="10">
        <v>34492916</v>
      </c>
      <c r="Q80" s="10">
        <v>5180780</v>
      </c>
      <c r="R80" s="10">
        <v>8752100</v>
      </c>
      <c r="S80" s="10">
        <v>3276886</v>
      </c>
      <c r="T80" s="10">
        <v>95900</v>
      </c>
      <c r="U80" s="10">
        <v>203000</v>
      </c>
      <c r="V80" s="10">
        <v>34492916</v>
      </c>
      <c r="W80" s="10">
        <v>5180780</v>
      </c>
      <c r="X80" s="10">
        <v>8752100</v>
      </c>
      <c r="Y80" s="10">
        <v>3276886</v>
      </c>
      <c r="Z80" s="10">
        <v>95900</v>
      </c>
      <c r="AA80" s="10">
        <v>203000</v>
      </c>
      <c r="AB80" s="10">
        <v>-6296247</v>
      </c>
      <c r="AC80" s="10">
        <v>-433465</v>
      </c>
      <c r="AD80" s="10">
        <v>0</v>
      </c>
      <c r="AE80" s="10">
        <v>0</v>
      </c>
      <c r="AF80" s="10">
        <v>0</v>
      </c>
      <c r="AG80" s="10">
        <v>225247</v>
      </c>
      <c r="AH80" s="3"/>
      <c r="AI80" s="3"/>
      <c r="AJ80" s="3"/>
      <c r="AK80" s="10">
        <v>204964700</v>
      </c>
      <c r="AL80" s="10">
        <v>18359451</v>
      </c>
      <c r="AM80" s="10">
        <v>5913148</v>
      </c>
      <c r="AN80" s="10">
        <v>58964339</v>
      </c>
      <c r="AO80" s="10">
        <v>20234258</v>
      </c>
      <c r="AP80" s="10">
        <v>661577919</v>
      </c>
      <c r="AQ80" s="10">
        <v>51163994</v>
      </c>
      <c r="AR80" s="10">
        <v>159850944</v>
      </c>
      <c r="AS80" s="10">
        <v>86758445</v>
      </c>
      <c r="AT80" s="10">
        <v>345210</v>
      </c>
      <c r="AU80" s="3"/>
      <c r="AV80" s="10">
        <v>192953</v>
      </c>
      <c r="AW80" s="10">
        <v>486913</v>
      </c>
      <c r="AX80" s="3"/>
      <c r="AY80" s="10">
        <v>202900</v>
      </c>
      <c r="AZ80" s="1">
        <v>14933029.550000001</v>
      </c>
      <c r="BA80" s="1">
        <v>7466515</v>
      </c>
      <c r="BB80" s="19">
        <v>13802546</v>
      </c>
      <c r="BC80" s="15">
        <v>1037981</v>
      </c>
      <c r="BD80" s="15">
        <v>2075962</v>
      </c>
      <c r="BE80" s="20">
        <v>15653706</v>
      </c>
      <c r="BF80" s="20">
        <v>13328608</v>
      </c>
      <c r="BG80" s="20">
        <v>54140622</v>
      </c>
      <c r="BH80" s="20">
        <v>52845451</v>
      </c>
      <c r="BI80" s="19"/>
      <c r="BJ80" s="19">
        <v>2373296</v>
      </c>
      <c r="BK80" s="19"/>
      <c r="BL80" s="5">
        <v>1900074380</v>
      </c>
      <c r="BM80" s="5">
        <v>1596684872</v>
      </c>
      <c r="BN80" s="15">
        <v>1999321</v>
      </c>
      <c r="BO80" s="1"/>
      <c r="BP80" s="1"/>
      <c r="BQ80" s="5"/>
      <c r="BR80" s="5"/>
      <c r="BS80" s="5"/>
    </row>
    <row r="81" spans="1:71" x14ac:dyDescent="0.25">
      <c r="A81" s="6" t="s">
        <v>135</v>
      </c>
      <c r="B81" s="10">
        <v>84743721</v>
      </c>
      <c r="C81" s="10">
        <v>30934167</v>
      </c>
      <c r="D81" s="10">
        <v>51789437</v>
      </c>
      <c r="E81" s="10">
        <v>0</v>
      </c>
      <c r="F81" s="10">
        <v>10732400</v>
      </c>
      <c r="G81" s="10">
        <v>21601600</v>
      </c>
      <c r="H81" s="10">
        <v>5658887</v>
      </c>
      <c r="I81" s="10">
        <v>4872690</v>
      </c>
      <c r="J81" s="10">
        <v>61400</v>
      </c>
      <c r="K81" s="10">
        <v>31400</v>
      </c>
      <c r="L81" s="10">
        <v>17313401</v>
      </c>
      <c r="M81" s="10">
        <v>650</v>
      </c>
      <c r="N81" s="10">
        <v>677</v>
      </c>
      <c r="O81" s="10">
        <v>1154</v>
      </c>
      <c r="P81" s="10">
        <v>2580100</v>
      </c>
      <c r="Q81" s="10">
        <v>93880</v>
      </c>
      <c r="R81" s="10">
        <v>599600</v>
      </c>
      <c r="S81" s="10">
        <v>1874850</v>
      </c>
      <c r="T81" s="10">
        <v>168410</v>
      </c>
      <c r="U81" s="10">
        <v>332500</v>
      </c>
      <c r="V81" s="10">
        <v>2580100</v>
      </c>
      <c r="W81" s="10">
        <v>151250</v>
      </c>
      <c r="X81" s="10">
        <v>599600</v>
      </c>
      <c r="Y81" s="10">
        <v>1874850</v>
      </c>
      <c r="Z81" s="10">
        <v>149340</v>
      </c>
      <c r="AA81" s="10">
        <v>332500</v>
      </c>
      <c r="AB81" s="10">
        <v>-2706255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1382734</v>
      </c>
      <c r="AI81" s="10">
        <v>123981114</v>
      </c>
      <c r="AJ81" s="10">
        <v>91720617</v>
      </c>
      <c r="AK81" s="10">
        <v>66185818</v>
      </c>
      <c r="AL81" s="10">
        <v>2441606</v>
      </c>
      <c r="AM81" s="10">
        <v>20655</v>
      </c>
      <c r="AN81" s="10">
        <v>92494335</v>
      </c>
      <c r="AO81" s="10">
        <v>2022668</v>
      </c>
      <c r="AP81" s="10">
        <v>26814133</v>
      </c>
      <c r="AQ81" s="10">
        <v>8758364</v>
      </c>
      <c r="AR81" s="10">
        <v>6076634</v>
      </c>
      <c r="AS81" s="3"/>
      <c r="AT81" s="3"/>
      <c r="AU81" s="3"/>
      <c r="AV81" s="3"/>
      <c r="AW81" s="3"/>
      <c r="AX81" s="10">
        <v>1443</v>
      </c>
      <c r="AY81" s="10">
        <v>7976099</v>
      </c>
      <c r="AZ81" s="1">
        <v>4822073.1500000004</v>
      </c>
      <c r="BA81" s="1">
        <v>2411037</v>
      </c>
      <c r="BB81" s="19"/>
      <c r="BC81" s="15">
        <v>1505055</v>
      </c>
      <c r="BD81" s="15">
        <v>3010109</v>
      </c>
      <c r="BE81" s="20">
        <v>9310044</v>
      </c>
      <c r="BF81" s="20">
        <v>9310044</v>
      </c>
      <c r="BG81" s="20">
        <v>33263614</v>
      </c>
      <c r="BH81" s="20">
        <v>29963203</v>
      </c>
      <c r="BI81" s="19"/>
      <c r="BJ81" s="19"/>
      <c r="BK81" s="19"/>
      <c r="BL81" s="5">
        <v>576440242</v>
      </c>
      <c r="BM81" s="5">
        <v>487827157</v>
      </c>
      <c r="BN81" s="15">
        <v>1282530</v>
      </c>
      <c r="BO81" s="1"/>
      <c r="BP81" s="1"/>
      <c r="BQ81" s="5"/>
      <c r="BR81" s="5"/>
      <c r="BS81" s="5"/>
    </row>
    <row r="82" spans="1:71" x14ac:dyDescent="0.25">
      <c r="A82" s="6" t="s">
        <v>136</v>
      </c>
      <c r="B82" s="10">
        <v>363642005</v>
      </c>
      <c r="C82" s="10">
        <v>94363101</v>
      </c>
      <c r="D82" s="10">
        <v>222191033</v>
      </c>
      <c r="E82" s="10">
        <v>18887320</v>
      </c>
      <c r="F82" s="10">
        <v>34114185</v>
      </c>
      <c r="G82" s="10">
        <v>4737800</v>
      </c>
      <c r="H82" s="10">
        <v>5115279</v>
      </c>
      <c r="I82" s="10">
        <v>685307</v>
      </c>
      <c r="J82" s="10">
        <v>114500</v>
      </c>
      <c r="K82" s="10">
        <v>0</v>
      </c>
      <c r="L82" s="10">
        <v>206973533</v>
      </c>
      <c r="M82" s="10">
        <v>56091971</v>
      </c>
      <c r="N82" s="10">
        <v>1330</v>
      </c>
      <c r="O82" s="10">
        <v>190</v>
      </c>
      <c r="P82" s="10">
        <v>8339663</v>
      </c>
      <c r="Q82" s="10">
        <v>2177294</v>
      </c>
      <c r="R82" s="10">
        <v>7076405</v>
      </c>
      <c r="S82" s="10">
        <v>1208972</v>
      </c>
      <c r="T82" s="10">
        <v>49889</v>
      </c>
      <c r="U82" s="10">
        <v>425000</v>
      </c>
      <c r="V82" s="10">
        <v>8339663</v>
      </c>
      <c r="W82" s="10">
        <v>2347521</v>
      </c>
      <c r="X82" s="10">
        <v>7076405</v>
      </c>
      <c r="Y82" s="10">
        <v>1208972</v>
      </c>
      <c r="Z82" s="10">
        <v>477723</v>
      </c>
      <c r="AA82" s="10">
        <v>425000</v>
      </c>
      <c r="AB82" s="10">
        <v>-3100490</v>
      </c>
      <c r="AC82" s="10">
        <v>-2836477</v>
      </c>
      <c r="AD82" s="10">
        <v>0</v>
      </c>
      <c r="AE82" s="10">
        <v>0</v>
      </c>
      <c r="AF82" s="10">
        <v>0</v>
      </c>
      <c r="AG82" s="10">
        <v>137430</v>
      </c>
      <c r="AH82" s="3"/>
      <c r="AI82" s="10">
        <v>2108813</v>
      </c>
      <c r="AJ82" s="3"/>
      <c r="AK82" s="10">
        <v>97996738</v>
      </c>
      <c r="AL82" s="10">
        <v>1276938</v>
      </c>
      <c r="AM82" s="3"/>
      <c r="AN82" s="10">
        <v>88685608</v>
      </c>
      <c r="AO82" s="10">
        <v>9593439</v>
      </c>
      <c r="AP82" s="10">
        <v>201591620</v>
      </c>
      <c r="AQ82" s="10">
        <v>34215396</v>
      </c>
      <c r="AR82" s="10">
        <v>38299252</v>
      </c>
      <c r="AS82" s="10">
        <v>18617703</v>
      </c>
      <c r="AT82" s="3"/>
      <c r="AU82" s="3"/>
      <c r="AV82" s="3"/>
      <c r="AW82" s="10">
        <v>23657868</v>
      </c>
      <c r="AX82" s="3"/>
      <c r="AY82" s="10">
        <v>298315</v>
      </c>
      <c r="AZ82" s="1">
        <v>7139708.3700000001</v>
      </c>
      <c r="BA82" s="1">
        <v>3569854</v>
      </c>
      <c r="BB82" s="19">
        <v>8322701</v>
      </c>
      <c r="BC82" s="15">
        <v>1870826</v>
      </c>
      <c r="BD82" s="15">
        <v>3741652</v>
      </c>
      <c r="BE82" s="20">
        <v>65267139</v>
      </c>
      <c r="BF82" s="20">
        <v>65267139</v>
      </c>
      <c r="BG82" s="20">
        <v>61941974</v>
      </c>
      <c r="BH82" s="20">
        <v>57089476</v>
      </c>
      <c r="BI82" s="19"/>
      <c r="BJ82" s="19"/>
      <c r="BK82" s="19"/>
      <c r="BL82" s="5">
        <v>1003022787</v>
      </c>
      <c r="BM82" s="5">
        <v>814799395</v>
      </c>
      <c r="BN82" s="15">
        <v>496424</v>
      </c>
      <c r="BO82" s="1"/>
      <c r="BP82" s="1"/>
      <c r="BQ82" s="5"/>
      <c r="BR82" s="5"/>
      <c r="BS82" s="5"/>
    </row>
    <row r="83" spans="1:71" x14ac:dyDescent="0.25">
      <c r="A83" s="6" t="s">
        <v>137</v>
      </c>
      <c r="B83" s="10">
        <v>641868960</v>
      </c>
      <c r="C83" s="10">
        <v>128069850</v>
      </c>
      <c r="D83" s="10">
        <v>83827700</v>
      </c>
      <c r="E83" s="10">
        <v>0</v>
      </c>
      <c r="F83" s="10">
        <v>35231100</v>
      </c>
      <c r="G83" s="10">
        <v>10173100</v>
      </c>
      <c r="H83" s="10">
        <v>10558800</v>
      </c>
      <c r="I83" s="10">
        <v>1263800</v>
      </c>
      <c r="J83" s="10">
        <v>125600</v>
      </c>
      <c r="K83" s="10">
        <v>0</v>
      </c>
      <c r="L83" s="10">
        <v>289797225</v>
      </c>
      <c r="M83" s="10">
        <v>429689675</v>
      </c>
      <c r="N83" s="10">
        <v>1623</v>
      </c>
      <c r="O83" s="10">
        <v>442</v>
      </c>
      <c r="P83" s="10">
        <v>23543100</v>
      </c>
      <c r="Q83" s="10">
        <v>2600350</v>
      </c>
      <c r="R83" s="10">
        <v>1504100</v>
      </c>
      <c r="S83" s="10">
        <v>340400</v>
      </c>
      <c r="T83" s="10">
        <v>39650</v>
      </c>
      <c r="U83" s="10">
        <v>0</v>
      </c>
      <c r="V83" s="10">
        <v>23543100</v>
      </c>
      <c r="W83" s="10">
        <v>2600350</v>
      </c>
      <c r="X83" s="10">
        <v>1504100</v>
      </c>
      <c r="Y83" s="10">
        <v>340400</v>
      </c>
      <c r="Z83" s="10">
        <v>39650</v>
      </c>
      <c r="AA83" s="10">
        <v>0</v>
      </c>
      <c r="AB83" s="10">
        <v>-3157500</v>
      </c>
      <c r="AC83" s="10">
        <v>0</v>
      </c>
      <c r="AD83" s="10">
        <v>12782</v>
      </c>
      <c r="AE83" s="10">
        <v>0</v>
      </c>
      <c r="AF83" s="10">
        <v>0</v>
      </c>
      <c r="AG83" s="10">
        <v>23706</v>
      </c>
      <c r="AH83" s="3"/>
      <c r="AI83" s="10">
        <v>20127937</v>
      </c>
      <c r="AJ83" s="3"/>
      <c r="AK83" s="10">
        <v>144779476</v>
      </c>
      <c r="AL83" s="10">
        <v>5535032</v>
      </c>
      <c r="AM83" s="3"/>
      <c r="AN83" s="10">
        <v>27887420</v>
      </c>
      <c r="AO83" s="10">
        <v>60693</v>
      </c>
      <c r="AP83" s="10">
        <v>70065329</v>
      </c>
      <c r="AQ83" s="10">
        <v>48031223</v>
      </c>
      <c r="AR83" s="10">
        <v>19805762</v>
      </c>
      <c r="AS83" s="10">
        <v>30485696</v>
      </c>
      <c r="AT83" s="3"/>
      <c r="AU83" s="3"/>
      <c r="AV83" s="10">
        <v>33483</v>
      </c>
      <c r="AW83" s="10">
        <v>388097</v>
      </c>
      <c r="AX83" s="10">
        <v>19465</v>
      </c>
      <c r="AY83" s="3"/>
      <c r="AZ83" s="1">
        <v>10548139.23</v>
      </c>
      <c r="BA83" s="1">
        <v>5274070</v>
      </c>
      <c r="BB83" s="19">
        <v>24739336</v>
      </c>
      <c r="BC83" s="15">
        <v>995290</v>
      </c>
      <c r="BD83" s="15">
        <v>1990579</v>
      </c>
      <c r="BE83" s="20">
        <v>11385067</v>
      </c>
      <c r="BF83" s="20">
        <v>11091162</v>
      </c>
      <c r="BG83" s="20">
        <v>59937981</v>
      </c>
      <c r="BH83" s="20">
        <v>58096403</v>
      </c>
      <c r="BI83" s="19"/>
      <c r="BJ83" s="19"/>
      <c r="BK83" s="19"/>
      <c r="BL83" s="5">
        <v>1175645216</v>
      </c>
      <c r="BM83" s="5">
        <v>949873783</v>
      </c>
      <c r="BN83" s="15">
        <v>3191350</v>
      </c>
      <c r="BO83" s="1"/>
      <c r="BP83" s="1"/>
      <c r="BQ83" s="5"/>
      <c r="BR83" s="5"/>
      <c r="BS83" s="5"/>
    </row>
    <row r="84" spans="1:71" x14ac:dyDescent="0.25">
      <c r="A84" s="6" t="s">
        <v>138</v>
      </c>
      <c r="B84" s="10">
        <v>87653422</v>
      </c>
      <c r="C84" s="10">
        <v>30615866</v>
      </c>
      <c r="D84" s="10">
        <v>9033054</v>
      </c>
      <c r="E84" s="10">
        <v>0</v>
      </c>
      <c r="F84" s="10">
        <v>8516725</v>
      </c>
      <c r="G84" s="10">
        <v>7511895</v>
      </c>
      <c r="H84" s="10">
        <v>5283345</v>
      </c>
      <c r="I84" s="10">
        <v>1206120</v>
      </c>
      <c r="J84" s="10">
        <v>0</v>
      </c>
      <c r="K84" s="10">
        <v>0</v>
      </c>
      <c r="L84" s="10">
        <v>20111473</v>
      </c>
      <c r="M84" s="10">
        <v>18601531</v>
      </c>
      <c r="N84" s="10">
        <v>512</v>
      </c>
      <c r="O84" s="10">
        <v>346</v>
      </c>
      <c r="P84" s="10">
        <v>2417650</v>
      </c>
      <c r="Q84" s="10">
        <v>35595</v>
      </c>
      <c r="R84" s="10">
        <v>113500</v>
      </c>
      <c r="S84" s="10">
        <v>979763</v>
      </c>
      <c r="T84" s="10">
        <v>273955</v>
      </c>
      <c r="U84" s="10">
        <v>114000</v>
      </c>
      <c r="V84" s="10">
        <v>2417650</v>
      </c>
      <c r="W84" s="10">
        <v>121000</v>
      </c>
      <c r="X84" s="10">
        <v>113500</v>
      </c>
      <c r="Y84" s="10">
        <v>979763</v>
      </c>
      <c r="Z84" s="10">
        <v>461291</v>
      </c>
      <c r="AA84" s="10">
        <v>114000</v>
      </c>
      <c r="AB84" s="10">
        <v>-1432844</v>
      </c>
      <c r="AC84" s="10">
        <v>-329</v>
      </c>
      <c r="AD84" s="10">
        <v>65471</v>
      </c>
      <c r="AE84" s="3"/>
      <c r="AF84" s="10">
        <v>3877985</v>
      </c>
      <c r="AG84" s="10">
        <v>75871</v>
      </c>
      <c r="AH84" s="3"/>
      <c r="AI84" s="10">
        <v>243125</v>
      </c>
      <c r="AJ84" s="3"/>
      <c r="AK84" s="10">
        <v>30888782</v>
      </c>
      <c r="AL84" s="10">
        <v>1032916</v>
      </c>
      <c r="AM84" s="3"/>
      <c r="AN84" s="10">
        <v>3462189</v>
      </c>
      <c r="AO84" s="10">
        <v>18062</v>
      </c>
      <c r="AP84" s="10">
        <v>3674244</v>
      </c>
      <c r="AQ84" s="10">
        <v>4217940</v>
      </c>
      <c r="AR84" s="10">
        <v>2817128</v>
      </c>
      <c r="AS84" s="3"/>
      <c r="AT84" s="10">
        <v>91197</v>
      </c>
      <c r="AU84" s="3"/>
      <c r="AV84" s="3"/>
      <c r="AW84" s="3"/>
      <c r="AX84" s="3"/>
      <c r="AY84" s="3"/>
      <c r="AZ84" s="1">
        <v>2250451.39</v>
      </c>
      <c r="BA84" s="1">
        <v>1125226</v>
      </c>
      <c r="BB84" s="19"/>
      <c r="BC84" s="15">
        <v>0</v>
      </c>
      <c r="BD84" s="15">
        <v>0</v>
      </c>
      <c r="BE84" s="20">
        <v>2498088</v>
      </c>
      <c r="BF84" s="20">
        <v>2498088</v>
      </c>
      <c r="BG84" s="20">
        <v>13571481</v>
      </c>
      <c r="BH84" s="20">
        <v>13571481</v>
      </c>
      <c r="BI84" s="19"/>
      <c r="BJ84" s="19"/>
      <c r="BK84" s="19"/>
      <c r="BL84" s="5">
        <v>184360151</v>
      </c>
      <c r="BM84" s="5">
        <v>135243658</v>
      </c>
      <c r="BN84" s="15">
        <v>0</v>
      </c>
      <c r="BO84" s="1"/>
      <c r="BP84" s="1"/>
      <c r="BQ84" s="5"/>
      <c r="BR84" s="5"/>
      <c r="BS84" s="5"/>
    </row>
    <row r="85" spans="1:71" x14ac:dyDescent="0.25">
      <c r="A85" s="6" t="s">
        <v>139</v>
      </c>
      <c r="B85" s="10">
        <v>695472302</v>
      </c>
      <c r="C85" s="10">
        <v>203667160</v>
      </c>
      <c r="D85" s="10">
        <v>147654584</v>
      </c>
      <c r="E85" s="10">
        <v>0</v>
      </c>
      <c r="F85" s="10">
        <v>49718004</v>
      </c>
      <c r="G85" s="10">
        <v>6624903</v>
      </c>
      <c r="H85" s="10">
        <v>11481215</v>
      </c>
      <c r="I85" s="10">
        <v>1470645</v>
      </c>
      <c r="J85" s="10">
        <v>31400</v>
      </c>
      <c r="K85" s="10">
        <v>0</v>
      </c>
      <c r="L85" s="10">
        <v>247159371</v>
      </c>
      <c r="M85" s="10">
        <v>157938237</v>
      </c>
      <c r="N85" s="10">
        <v>1986</v>
      </c>
      <c r="O85" s="10">
        <v>264</v>
      </c>
      <c r="P85" s="10">
        <v>13426104</v>
      </c>
      <c r="Q85" s="10">
        <v>5843695</v>
      </c>
      <c r="R85" s="10">
        <v>8831231</v>
      </c>
      <c r="S85" s="10">
        <v>2378047</v>
      </c>
      <c r="T85" s="10">
        <v>127633</v>
      </c>
      <c r="U85" s="10">
        <v>951084</v>
      </c>
      <c r="V85" s="10">
        <v>13426104</v>
      </c>
      <c r="W85" s="10">
        <v>5864952</v>
      </c>
      <c r="X85" s="10">
        <v>8831231</v>
      </c>
      <c r="Y85" s="10">
        <v>2378047</v>
      </c>
      <c r="Z85" s="10">
        <v>264890</v>
      </c>
      <c r="AA85" s="10">
        <v>951084</v>
      </c>
      <c r="AB85" s="10">
        <v>-2532848</v>
      </c>
      <c r="AC85" s="10">
        <v>-255209</v>
      </c>
      <c r="AD85" s="10">
        <v>3338</v>
      </c>
      <c r="AE85" s="10">
        <v>0</v>
      </c>
      <c r="AF85" s="10">
        <v>0</v>
      </c>
      <c r="AG85" s="10">
        <v>11379</v>
      </c>
      <c r="AH85" s="3"/>
      <c r="AI85" s="10">
        <v>77555</v>
      </c>
      <c r="AJ85" s="3"/>
      <c r="AK85" s="10">
        <v>133498389</v>
      </c>
      <c r="AL85" s="10">
        <v>5955201</v>
      </c>
      <c r="AM85" s="10">
        <v>971036</v>
      </c>
      <c r="AN85" s="10">
        <v>32210740</v>
      </c>
      <c r="AO85" s="10">
        <v>1484926</v>
      </c>
      <c r="AP85" s="10">
        <v>225903586</v>
      </c>
      <c r="AQ85" s="10">
        <v>32334623</v>
      </c>
      <c r="AR85" s="10">
        <v>18961987</v>
      </c>
      <c r="AS85" s="10">
        <v>2760733</v>
      </c>
      <c r="AT85" s="10">
        <v>91177905</v>
      </c>
      <c r="AU85" s="3"/>
      <c r="AV85" s="3"/>
      <c r="AW85" s="10">
        <v>16307</v>
      </c>
      <c r="AX85" s="10">
        <v>205145</v>
      </c>
      <c r="AY85" s="10">
        <v>22500</v>
      </c>
      <c r="AZ85" s="1">
        <v>9726237.6799999997</v>
      </c>
      <c r="BA85" s="1">
        <v>4863119</v>
      </c>
      <c r="BB85" s="19"/>
      <c r="BC85" s="15">
        <v>1244203</v>
      </c>
      <c r="BD85" s="15">
        <v>2488405</v>
      </c>
      <c r="BE85" s="20">
        <v>33511167</v>
      </c>
      <c r="BF85" s="20">
        <v>33511167</v>
      </c>
      <c r="BG85" s="20">
        <v>54953408</v>
      </c>
      <c r="BH85" s="20">
        <v>49997869</v>
      </c>
      <c r="BI85" s="19"/>
      <c r="BJ85" s="19"/>
      <c r="BK85" s="19"/>
      <c r="BL85" s="5">
        <v>1341971838</v>
      </c>
      <c r="BM85" s="5">
        <v>1112901890</v>
      </c>
      <c r="BN85" s="15">
        <v>1044423</v>
      </c>
      <c r="BO85" s="1"/>
      <c r="BP85" s="1"/>
      <c r="BQ85" s="5"/>
      <c r="BR85" s="5"/>
      <c r="BS85" s="5"/>
    </row>
    <row r="86" spans="1:71" x14ac:dyDescent="0.25">
      <c r="A86" s="6" t="s">
        <v>140</v>
      </c>
      <c r="B86" s="10">
        <v>98583817</v>
      </c>
      <c r="C86" s="10">
        <v>100363769</v>
      </c>
      <c r="D86" s="10">
        <v>46847388</v>
      </c>
      <c r="E86" s="10">
        <v>0</v>
      </c>
      <c r="F86" s="10">
        <v>15227100</v>
      </c>
      <c r="G86" s="10">
        <v>4534560</v>
      </c>
      <c r="H86" s="10">
        <v>12118500</v>
      </c>
      <c r="I86" s="10">
        <v>1626950</v>
      </c>
      <c r="J86" s="10">
        <v>34400</v>
      </c>
      <c r="K86" s="10">
        <v>56400</v>
      </c>
      <c r="L86" s="10">
        <v>95857892</v>
      </c>
      <c r="M86" s="10">
        <v>0</v>
      </c>
      <c r="N86" s="10">
        <v>963</v>
      </c>
      <c r="O86" s="10">
        <v>261</v>
      </c>
      <c r="P86" s="10">
        <v>1527981</v>
      </c>
      <c r="Q86" s="10">
        <v>1653400</v>
      </c>
      <c r="R86" s="10">
        <v>1870000</v>
      </c>
      <c r="S86" s="10">
        <v>469000</v>
      </c>
      <c r="T86" s="10">
        <v>219776</v>
      </c>
      <c r="U86" s="10">
        <v>61500</v>
      </c>
      <c r="V86" s="10">
        <v>1527981</v>
      </c>
      <c r="W86" s="10">
        <v>0</v>
      </c>
      <c r="X86" s="10">
        <v>1870000</v>
      </c>
      <c r="Y86" s="10">
        <v>469000</v>
      </c>
      <c r="Z86" s="10">
        <v>2000</v>
      </c>
      <c r="AA86" s="10">
        <v>61500</v>
      </c>
      <c r="AB86" s="10">
        <v>-1206146</v>
      </c>
      <c r="AC86" s="10">
        <v>-9800</v>
      </c>
      <c r="AD86" s="10">
        <v>74997</v>
      </c>
      <c r="AE86" s="10">
        <v>0</v>
      </c>
      <c r="AF86" s="10">
        <v>0</v>
      </c>
      <c r="AG86" s="10">
        <v>0</v>
      </c>
      <c r="AH86" s="10">
        <v>1307695</v>
      </c>
      <c r="AI86" s="3"/>
      <c r="AJ86" s="3"/>
      <c r="AK86" s="10">
        <v>48008193</v>
      </c>
      <c r="AL86" s="10">
        <v>862562</v>
      </c>
      <c r="AM86" s="3"/>
      <c r="AN86" s="10">
        <v>7585224</v>
      </c>
      <c r="AO86" s="10">
        <v>1405585</v>
      </c>
      <c r="AP86" s="10">
        <v>82716764</v>
      </c>
      <c r="AQ86" s="10">
        <v>6231939</v>
      </c>
      <c r="AR86" s="10">
        <v>15281121</v>
      </c>
      <c r="AS86" s="10">
        <v>8399417</v>
      </c>
      <c r="AT86" s="10">
        <v>85611</v>
      </c>
      <c r="AU86" s="3"/>
      <c r="AV86" s="3"/>
      <c r="AW86" s="3"/>
      <c r="AX86" s="3"/>
      <c r="AY86" s="3"/>
      <c r="AZ86" s="1">
        <v>3497713.34</v>
      </c>
      <c r="BA86" s="1">
        <v>1748857</v>
      </c>
      <c r="BB86" s="19"/>
      <c r="BC86" s="15">
        <v>0</v>
      </c>
      <c r="BD86" s="15">
        <v>0</v>
      </c>
      <c r="BE86" s="20">
        <v>11233890</v>
      </c>
      <c r="BF86" s="20">
        <v>11233890</v>
      </c>
      <c r="BG86" s="20">
        <v>36463981</v>
      </c>
      <c r="BH86" s="20">
        <v>36463981</v>
      </c>
      <c r="BI86" s="19"/>
      <c r="BJ86" s="19"/>
      <c r="BK86" s="19"/>
      <c r="BL86" s="5">
        <v>360642900</v>
      </c>
      <c r="BM86" s="5">
        <v>262325417</v>
      </c>
      <c r="BN86" s="15">
        <v>445398</v>
      </c>
      <c r="BO86" s="1"/>
      <c r="BP86" s="1"/>
      <c r="BQ86" s="5"/>
      <c r="BR86" s="5"/>
      <c r="BS86" s="5"/>
    </row>
    <row r="87" spans="1:71" x14ac:dyDescent="0.25">
      <c r="A87" s="6" t="s">
        <v>141</v>
      </c>
      <c r="B87" s="10">
        <v>130115660</v>
      </c>
      <c r="C87" s="10">
        <v>86467050</v>
      </c>
      <c r="D87" s="10">
        <v>42926329</v>
      </c>
      <c r="E87" s="10">
        <v>0</v>
      </c>
      <c r="F87" s="10">
        <v>23645100</v>
      </c>
      <c r="G87" s="10">
        <v>7272800</v>
      </c>
      <c r="H87" s="10">
        <v>10553200</v>
      </c>
      <c r="I87" s="10">
        <v>760400</v>
      </c>
      <c r="J87" s="10">
        <v>60800</v>
      </c>
      <c r="K87" s="10">
        <v>0</v>
      </c>
      <c r="L87" s="10">
        <v>173479543</v>
      </c>
      <c r="M87" s="10">
        <v>0</v>
      </c>
      <c r="N87" s="10">
        <v>1176</v>
      </c>
      <c r="O87" s="10">
        <v>302</v>
      </c>
      <c r="P87" s="10">
        <v>2809300</v>
      </c>
      <c r="Q87" s="10">
        <v>1712500</v>
      </c>
      <c r="R87" s="10">
        <v>100000</v>
      </c>
      <c r="S87" s="10">
        <v>235667</v>
      </c>
      <c r="T87" s="10">
        <v>15000</v>
      </c>
      <c r="U87" s="10">
        <v>0</v>
      </c>
      <c r="V87" s="10">
        <v>2809300</v>
      </c>
      <c r="W87" s="10">
        <v>2165000</v>
      </c>
      <c r="X87" s="10">
        <v>100000</v>
      </c>
      <c r="Y87" s="10">
        <v>235667</v>
      </c>
      <c r="Z87" s="10">
        <v>0</v>
      </c>
      <c r="AA87" s="10">
        <v>0</v>
      </c>
      <c r="AB87" s="10">
        <v>-1112000</v>
      </c>
      <c r="AC87" s="10">
        <v>-195401</v>
      </c>
      <c r="AD87" s="10">
        <v>86568</v>
      </c>
      <c r="AE87" s="10">
        <v>0</v>
      </c>
      <c r="AF87" s="10">
        <v>0</v>
      </c>
      <c r="AG87" s="10">
        <v>0</v>
      </c>
      <c r="AH87" s="10">
        <v>63211</v>
      </c>
      <c r="AI87" s="10">
        <v>66328</v>
      </c>
      <c r="AJ87" s="3"/>
      <c r="AK87" s="10">
        <v>59520551</v>
      </c>
      <c r="AL87" s="10">
        <v>745916</v>
      </c>
      <c r="AM87" s="3"/>
      <c r="AN87" s="10">
        <v>10485372</v>
      </c>
      <c r="AO87" s="10">
        <v>494020</v>
      </c>
      <c r="AP87" s="10">
        <v>20144704</v>
      </c>
      <c r="AQ87" s="10">
        <v>19731294</v>
      </c>
      <c r="AR87" s="10">
        <v>7188637</v>
      </c>
      <c r="AS87" s="3"/>
      <c r="AT87" s="10">
        <v>442519</v>
      </c>
      <c r="AU87" s="3"/>
      <c r="AV87" s="10">
        <v>2216787</v>
      </c>
      <c r="AW87" s="3"/>
      <c r="AX87" s="3"/>
      <c r="AY87" s="3"/>
      <c r="AZ87" s="1">
        <v>4336464.51</v>
      </c>
      <c r="BA87" s="1">
        <v>2168232</v>
      </c>
      <c r="BB87" s="19"/>
      <c r="BC87" s="15">
        <v>0</v>
      </c>
      <c r="BD87" s="15">
        <v>0</v>
      </c>
      <c r="BE87" s="20">
        <v>9936441</v>
      </c>
      <c r="BF87" s="20">
        <v>9936441</v>
      </c>
      <c r="BG87" s="20">
        <v>21694309</v>
      </c>
      <c r="BH87" s="20">
        <v>21693786</v>
      </c>
      <c r="BI87" s="19"/>
      <c r="BJ87" s="19"/>
      <c r="BK87" s="19"/>
      <c r="BL87" s="5">
        <v>384414190</v>
      </c>
      <c r="BM87" s="5">
        <v>290349264</v>
      </c>
      <c r="BN87" s="15">
        <v>162000</v>
      </c>
      <c r="BO87" s="1"/>
      <c r="BP87" s="1"/>
      <c r="BQ87" s="5"/>
      <c r="BR87" s="5"/>
      <c r="BS87" s="5"/>
    </row>
    <row r="88" spans="1:71" x14ac:dyDescent="0.25">
      <c r="A88" s="6" t="s">
        <v>142</v>
      </c>
      <c r="B88" s="10">
        <v>676043335</v>
      </c>
      <c r="C88" s="10">
        <v>97989390</v>
      </c>
      <c r="D88" s="10">
        <v>227669891</v>
      </c>
      <c r="E88" s="10">
        <v>31933602</v>
      </c>
      <c r="F88" s="10">
        <v>42550600</v>
      </c>
      <c r="G88" s="10">
        <v>15064800</v>
      </c>
      <c r="H88" s="10">
        <v>7259850</v>
      </c>
      <c r="I88" s="10">
        <v>1570950</v>
      </c>
      <c r="J88" s="10">
        <v>157000</v>
      </c>
      <c r="K88" s="10">
        <v>0</v>
      </c>
      <c r="L88" s="10">
        <v>138818939</v>
      </c>
      <c r="M88" s="10">
        <v>0</v>
      </c>
      <c r="N88" s="10">
        <v>1668</v>
      </c>
      <c r="O88" s="10">
        <v>582</v>
      </c>
      <c r="P88" s="10">
        <v>26726240</v>
      </c>
      <c r="Q88" s="10">
        <v>2621950</v>
      </c>
      <c r="R88" s="10">
        <v>5659000</v>
      </c>
      <c r="S88" s="10">
        <v>4390328</v>
      </c>
      <c r="T88" s="10">
        <v>1774547</v>
      </c>
      <c r="U88" s="10">
        <v>2083450</v>
      </c>
      <c r="V88" s="10">
        <v>26726240</v>
      </c>
      <c r="W88" s="10">
        <v>1071700</v>
      </c>
      <c r="X88" s="10">
        <v>5659000</v>
      </c>
      <c r="Y88" s="10">
        <v>4390328</v>
      </c>
      <c r="Z88" s="10">
        <v>1436950</v>
      </c>
      <c r="AA88" s="10">
        <v>2083450</v>
      </c>
      <c r="AB88" s="10">
        <v>-2275600</v>
      </c>
      <c r="AC88" s="10">
        <v>-167124</v>
      </c>
      <c r="AD88" s="10">
        <v>5678</v>
      </c>
      <c r="AE88" s="10">
        <v>0</v>
      </c>
      <c r="AF88" s="10">
        <v>0</v>
      </c>
      <c r="AG88" s="10">
        <v>109758</v>
      </c>
      <c r="AH88" s="3"/>
      <c r="AI88" s="10">
        <v>227023</v>
      </c>
      <c r="AJ88" s="3"/>
      <c r="AK88" s="10">
        <v>138926319</v>
      </c>
      <c r="AL88" s="10">
        <v>3533678</v>
      </c>
      <c r="AM88" s="3"/>
      <c r="AN88" s="10">
        <v>45377110</v>
      </c>
      <c r="AO88" s="10">
        <v>1461963</v>
      </c>
      <c r="AP88" s="10">
        <v>107088223</v>
      </c>
      <c r="AQ88" s="10">
        <v>41187836</v>
      </c>
      <c r="AR88" s="10">
        <v>80734031</v>
      </c>
      <c r="AS88" s="3"/>
      <c r="AT88" s="10">
        <v>2758758</v>
      </c>
      <c r="AU88" s="3"/>
      <c r="AV88" s="3"/>
      <c r="AW88" s="10">
        <v>13919637</v>
      </c>
      <c r="AX88" s="3"/>
      <c r="AY88" s="10">
        <v>4062115</v>
      </c>
      <c r="AZ88" s="1">
        <v>10121698.16</v>
      </c>
      <c r="BA88" s="1">
        <v>5060849</v>
      </c>
      <c r="BB88" s="19"/>
      <c r="BC88" s="15">
        <v>0</v>
      </c>
      <c r="BD88" s="15">
        <v>0</v>
      </c>
      <c r="BE88" s="20">
        <v>26329538</v>
      </c>
      <c r="BF88" s="20">
        <v>26329538</v>
      </c>
      <c r="BG88" s="20">
        <v>36637719</v>
      </c>
      <c r="BH88" s="20">
        <v>35581654</v>
      </c>
      <c r="BI88" s="19"/>
      <c r="BJ88" s="19"/>
      <c r="BK88" s="19"/>
      <c r="BL88" s="5">
        <v>1299388586</v>
      </c>
      <c r="BM88" s="5">
        <v>1089956548</v>
      </c>
      <c r="BN88" s="15">
        <v>1248100</v>
      </c>
      <c r="BO88" s="1"/>
      <c r="BP88" s="1"/>
      <c r="BQ88" s="5"/>
      <c r="BR88" s="5"/>
      <c r="BS88" s="5"/>
    </row>
    <row r="89" spans="1:71" x14ac:dyDescent="0.25">
      <c r="A89" s="6" t="s">
        <v>143</v>
      </c>
      <c r="B89" s="10">
        <v>118369500</v>
      </c>
      <c r="C89" s="10">
        <v>85951400</v>
      </c>
      <c r="D89" s="10">
        <v>38165665</v>
      </c>
      <c r="E89" s="10">
        <v>0</v>
      </c>
      <c r="F89" s="10">
        <v>13928200</v>
      </c>
      <c r="G89" s="10">
        <v>10226200</v>
      </c>
      <c r="H89" s="10">
        <v>11120900</v>
      </c>
      <c r="I89" s="10">
        <v>3455000</v>
      </c>
      <c r="J89" s="10">
        <v>62800</v>
      </c>
      <c r="K89" s="10">
        <v>0</v>
      </c>
      <c r="L89" s="10">
        <v>61318200</v>
      </c>
      <c r="M89" s="10">
        <v>0</v>
      </c>
      <c r="N89" s="10">
        <v>799</v>
      </c>
      <c r="O89" s="10">
        <v>435</v>
      </c>
      <c r="P89" s="10">
        <v>2026600</v>
      </c>
      <c r="Q89" s="10">
        <v>715500</v>
      </c>
      <c r="R89" s="10">
        <v>1362500</v>
      </c>
      <c r="S89" s="10">
        <v>289000</v>
      </c>
      <c r="T89" s="10">
        <v>124000</v>
      </c>
      <c r="U89" s="10">
        <v>145000</v>
      </c>
      <c r="V89" s="10">
        <v>2026600</v>
      </c>
      <c r="W89" s="10">
        <v>945000</v>
      </c>
      <c r="X89" s="10">
        <v>1362500</v>
      </c>
      <c r="Y89" s="10">
        <v>289000</v>
      </c>
      <c r="Z89" s="10">
        <v>173000</v>
      </c>
      <c r="AA89" s="10">
        <v>145000</v>
      </c>
      <c r="AB89" s="10">
        <v>-2371100</v>
      </c>
      <c r="AC89" s="10">
        <v>-82900</v>
      </c>
      <c r="AD89" s="10">
        <v>176068</v>
      </c>
      <c r="AE89" s="10">
        <v>0</v>
      </c>
      <c r="AF89" s="10">
        <v>0</v>
      </c>
      <c r="AG89" s="10">
        <v>0</v>
      </c>
      <c r="AH89" s="10">
        <v>238188</v>
      </c>
      <c r="AI89" s="10">
        <v>1995154</v>
      </c>
      <c r="AJ89" s="10">
        <v>759047</v>
      </c>
      <c r="AK89" s="10">
        <v>65173978</v>
      </c>
      <c r="AL89" s="10">
        <v>1433682</v>
      </c>
      <c r="AM89" s="3"/>
      <c r="AN89" s="10">
        <v>24201521</v>
      </c>
      <c r="AO89" s="10">
        <v>30763</v>
      </c>
      <c r="AP89" s="10">
        <v>3843709</v>
      </c>
      <c r="AQ89" s="10">
        <v>7349516</v>
      </c>
      <c r="AR89" s="10">
        <v>7305219</v>
      </c>
      <c r="AS89" s="3"/>
      <c r="AT89" s="10">
        <v>249770</v>
      </c>
      <c r="AU89" s="3"/>
      <c r="AV89" s="3"/>
      <c r="AW89" s="3"/>
      <c r="AX89" s="3"/>
      <c r="AY89" s="10">
        <v>47500</v>
      </c>
      <c r="AZ89" s="1">
        <v>4748353.93</v>
      </c>
      <c r="BA89" s="1">
        <v>2374177</v>
      </c>
      <c r="BB89" s="19"/>
      <c r="BC89" s="15">
        <v>0</v>
      </c>
      <c r="BD89" s="15">
        <v>0</v>
      </c>
      <c r="BE89" s="20">
        <v>1278390</v>
      </c>
      <c r="BF89" s="20">
        <v>1278390</v>
      </c>
      <c r="BG89" s="20">
        <v>31324723</v>
      </c>
      <c r="BH89" s="20">
        <v>31324723</v>
      </c>
      <c r="BI89" s="19"/>
      <c r="BJ89" s="19"/>
      <c r="BK89" s="19"/>
      <c r="BL89" s="5">
        <v>378645704</v>
      </c>
      <c r="BM89" s="5">
        <v>277060754</v>
      </c>
      <c r="BN89" s="15">
        <v>2200175</v>
      </c>
      <c r="BO89" s="1"/>
      <c r="BP89" s="1"/>
      <c r="BQ89" s="5"/>
      <c r="BR89" s="5"/>
      <c r="BS89" s="5"/>
    </row>
    <row r="90" spans="1:71" x14ac:dyDescent="0.25">
      <c r="A90" s="6" t="s">
        <v>144</v>
      </c>
      <c r="B90" s="10">
        <v>495451749</v>
      </c>
      <c r="C90" s="10">
        <v>128710274</v>
      </c>
      <c r="D90" s="10">
        <v>158919861</v>
      </c>
      <c r="E90" s="10">
        <v>0</v>
      </c>
      <c r="F90" s="10">
        <v>69784360</v>
      </c>
      <c r="G90" s="10">
        <v>27086240</v>
      </c>
      <c r="H90" s="10">
        <v>11196900</v>
      </c>
      <c r="I90" s="10">
        <v>2654100</v>
      </c>
      <c r="J90" s="10">
        <v>0</v>
      </c>
      <c r="K90" s="10">
        <v>0</v>
      </c>
      <c r="L90" s="10">
        <v>97724907</v>
      </c>
      <c r="M90" s="10">
        <v>239896181</v>
      </c>
      <c r="N90" s="10">
        <v>2817</v>
      </c>
      <c r="O90" s="10">
        <v>1106</v>
      </c>
      <c r="P90" s="10">
        <v>21696733</v>
      </c>
      <c r="Q90" s="10">
        <v>9774822</v>
      </c>
      <c r="R90" s="10">
        <v>8760700</v>
      </c>
      <c r="S90" s="10">
        <v>6222433</v>
      </c>
      <c r="T90" s="10">
        <v>2575000</v>
      </c>
      <c r="U90" s="10">
        <v>4822060</v>
      </c>
      <c r="V90" s="10">
        <v>21696733</v>
      </c>
      <c r="W90" s="10">
        <v>9774822</v>
      </c>
      <c r="X90" s="10">
        <v>8760700</v>
      </c>
      <c r="Y90" s="10">
        <v>6222433</v>
      </c>
      <c r="Z90" s="10">
        <v>2575000</v>
      </c>
      <c r="AA90" s="10">
        <v>4822060</v>
      </c>
      <c r="AB90" s="10">
        <v>-12833880</v>
      </c>
      <c r="AC90" s="10">
        <v>657763</v>
      </c>
      <c r="AD90" s="10">
        <v>68397</v>
      </c>
      <c r="AE90" s="10">
        <v>0</v>
      </c>
      <c r="AF90" s="10">
        <v>278325311</v>
      </c>
      <c r="AG90" s="10">
        <v>182934</v>
      </c>
      <c r="AH90" s="10">
        <v>8956018</v>
      </c>
      <c r="AI90" s="10">
        <v>2555673</v>
      </c>
      <c r="AJ90" s="10">
        <v>25477078</v>
      </c>
      <c r="AK90" s="10">
        <v>212876882</v>
      </c>
      <c r="AL90" s="10">
        <v>4870466</v>
      </c>
      <c r="AM90" s="3"/>
      <c r="AN90" s="10">
        <v>53306612</v>
      </c>
      <c r="AO90" s="10">
        <v>1566573</v>
      </c>
      <c r="AP90" s="10">
        <v>20831437</v>
      </c>
      <c r="AQ90" s="10">
        <v>30593507</v>
      </c>
      <c r="AR90" s="10">
        <v>17098155</v>
      </c>
      <c r="AS90" s="3"/>
      <c r="AT90" s="10">
        <v>1586103</v>
      </c>
      <c r="AU90" s="3"/>
      <c r="AV90" s="3"/>
      <c r="AW90" s="10">
        <v>1472057</v>
      </c>
      <c r="AX90" s="10">
        <v>28504</v>
      </c>
      <c r="AY90" s="10">
        <v>228500</v>
      </c>
      <c r="AZ90" s="1">
        <v>15509484.17</v>
      </c>
      <c r="BA90" s="1">
        <v>7754742</v>
      </c>
      <c r="BB90" s="19">
        <v>6843836</v>
      </c>
      <c r="BC90" s="15">
        <v>2028929</v>
      </c>
      <c r="BD90" s="15">
        <v>4057859</v>
      </c>
      <c r="BE90" s="20">
        <v>56946933</v>
      </c>
      <c r="BF90" s="20">
        <v>54431317</v>
      </c>
      <c r="BG90" s="20">
        <v>94033039</v>
      </c>
      <c r="BH90" s="20">
        <v>92032753</v>
      </c>
      <c r="BI90" s="19"/>
      <c r="BJ90" s="19"/>
      <c r="BK90" s="19"/>
      <c r="BL90" s="5">
        <v>1279532434</v>
      </c>
      <c r="BM90" s="5">
        <v>905537345</v>
      </c>
      <c r="BN90" s="15">
        <v>448640</v>
      </c>
      <c r="BO90" s="1"/>
      <c r="BP90" s="1"/>
      <c r="BQ90" s="5"/>
      <c r="BR90" s="5"/>
      <c r="BS90" s="5"/>
    </row>
    <row r="91" spans="1:71" x14ac:dyDescent="0.25">
      <c r="A91" s="6" t="s">
        <v>145</v>
      </c>
      <c r="B91" s="10">
        <v>1396818705</v>
      </c>
      <c r="C91" s="10">
        <v>294320141</v>
      </c>
      <c r="D91" s="10">
        <v>412662943</v>
      </c>
      <c r="E91" s="10">
        <v>16520900</v>
      </c>
      <c r="F91" s="10">
        <v>63660995</v>
      </c>
      <c r="G91" s="10">
        <v>14714352</v>
      </c>
      <c r="H91" s="10">
        <v>16182560</v>
      </c>
      <c r="I91" s="10">
        <v>1454430</v>
      </c>
      <c r="J91" s="10">
        <v>219800</v>
      </c>
      <c r="K91" s="10">
        <v>0</v>
      </c>
      <c r="L91" s="10">
        <v>563311222</v>
      </c>
      <c r="M91" s="10">
        <v>228269477</v>
      </c>
      <c r="N91" s="10">
        <v>2584</v>
      </c>
      <c r="O91" s="10">
        <v>541</v>
      </c>
      <c r="P91" s="10">
        <v>34939400</v>
      </c>
      <c r="Q91" s="10">
        <v>6253002</v>
      </c>
      <c r="R91" s="10">
        <v>24029645</v>
      </c>
      <c r="S91" s="10">
        <v>3171598</v>
      </c>
      <c r="T91" s="10">
        <v>794945</v>
      </c>
      <c r="U91" s="10">
        <v>2770780</v>
      </c>
      <c r="V91" s="10">
        <v>34939400</v>
      </c>
      <c r="W91" s="10">
        <v>7601291</v>
      </c>
      <c r="X91" s="10">
        <v>24029645</v>
      </c>
      <c r="Y91" s="10">
        <v>3171598</v>
      </c>
      <c r="Z91" s="10">
        <v>1842200</v>
      </c>
      <c r="AA91" s="10">
        <v>2770780</v>
      </c>
      <c r="AB91" s="10">
        <v>-15264494</v>
      </c>
      <c r="AC91" s="10">
        <v>-562351</v>
      </c>
      <c r="AD91" s="10">
        <v>31274</v>
      </c>
      <c r="AE91" s="10">
        <v>0</v>
      </c>
      <c r="AF91" s="10">
        <v>0</v>
      </c>
      <c r="AG91" s="10">
        <v>241612</v>
      </c>
      <c r="AH91" s="3"/>
      <c r="AI91" s="10">
        <v>254906</v>
      </c>
      <c r="AJ91" s="3"/>
      <c r="AK91" s="10">
        <v>254474018</v>
      </c>
      <c r="AL91" s="10">
        <v>6174434</v>
      </c>
      <c r="AM91" s="3"/>
      <c r="AN91" s="10">
        <v>74320037</v>
      </c>
      <c r="AO91" s="10">
        <v>5832034</v>
      </c>
      <c r="AP91" s="10">
        <v>254075851</v>
      </c>
      <c r="AQ91" s="10">
        <v>68099023</v>
      </c>
      <c r="AR91" s="10">
        <v>43740182</v>
      </c>
      <c r="AS91" s="10">
        <v>1726293</v>
      </c>
      <c r="AT91" s="10">
        <v>29972</v>
      </c>
      <c r="AU91" s="3"/>
      <c r="AV91" s="3"/>
      <c r="AW91" s="10">
        <v>8973500</v>
      </c>
      <c r="AX91" s="10">
        <v>42230</v>
      </c>
      <c r="AY91" s="10">
        <v>3452315</v>
      </c>
      <c r="AZ91" s="1">
        <v>18540109.739999998</v>
      </c>
      <c r="BA91" s="1">
        <v>9270055</v>
      </c>
      <c r="BB91" s="19"/>
      <c r="BC91" s="15">
        <v>464903</v>
      </c>
      <c r="BD91" s="15">
        <v>929805</v>
      </c>
      <c r="BE91" s="20">
        <v>9200671</v>
      </c>
      <c r="BF91" s="20">
        <v>9047237</v>
      </c>
      <c r="BG91" s="20">
        <v>40375052</v>
      </c>
      <c r="BH91" s="20">
        <v>40058163</v>
      </c>
      <c r="BI91" s="19">
        <v>261995431</v>
      </c>
      <c r="BJ91" s="19"/>
      <c r="BK91" s="19"/>
      <c r="BL91" s="5">
        <v>2833792030</v>
      </c>
      <c r="BM91" s="5">
        <v>2252307789</v>
      </c>
      <c r="BN91" s="15">
        <v>3137540</v>
      </c>
      <c r="BO91" s="1"/>
      <c r="BP91" s="1"/>
      <c r="BQ91" s="5"/>
      <c r="BR91" s="5"/>
      <c r="BS91" s="5"/>
    </row>
    <row r="92" spans="1:71" x14ac:dyDescent="0.25">
      <c r="A92" s="6" t="s">
        <v>146</v>
      </c>
      <c r="B92" s="10">
        <v>100520068</v>
      </c>
      <c r="C92" s="10">
        <v>81278809</v>
      </c>
      <c r="D92" s="10">
        <v>16300340</v>
      </c>
      <c r="E92" s="10">
        <v>0</v>
      </c>
      <c r="F92" s="10">
        <v>13959625</v>
      </c>
      <c r="G92" s="10">
        <v>3195700</v>
      </c>
      <c r="H92" s="10">
        <v>5449800</v>
      </c>
      <c r="I92" s="10">
        <v>906400</v>
      </c>
      <c r="J92" s="10">
        <v>94200</v>
      </c>
      <c r="K92" s="10">
        <v>0</v>
      </c>
      <c r="L92" s="10">
        <v>45439702</v>
      </c>
      <c r="M92" s="10">
        <v>36870250</v>
      </c>
      <c r="N92" s="10">
        <v>662</v>
      </c>
      <c r="O92" s="10">
        <v>150</v>
      </c>
      <c r="P92" s="10">
        <v>3097253</v>
      </c>
      <c r="Q92" s="10">
        <v>2747175</v>
      </c>
      <c r="R92" s="10">
        <v>42000</v>
      </c>
      <c r="S92" s="10">
        <v>899323</v>
      </c>
      <c r="T92" s="10">
        <v>498385</v>
      </c>
      <c r="U92" s="10">
        <v>0</v>
      </c>
      <c r="V92" s="10">
        <v>3097253</v>
      </c>
      <c r="W92" s="10">
        <v>2742625</v>
      </c>
      <c r="X92" s="10">
        <v>42000</v>
      </c>
      <c r="Y92" s="10">
        <v>899323</v>
      </c>
      <c r="Z92" s="10">
        <v>482745</v>
      </c>
      <c r="AA92" s="10">
        <v>0</v>
      </c>
      <c r="AB92" s="10">
        <v>-1691184</v>
      </c>
      <c r="AC92" s="10">
        <v>-20019</v>
      </c>
      <c r="AD92" s="10">
        <v>0</v>
      </c>
      <c r="AE92" s="10">
        <v>0</v>
      </c>
      <c r="AF92" s="10">
        <v>0</v>
      </c>
      <c r="AG92" s="10">
        <v>115102</v>
      </c>
      <c r="AH92" s="3"/>
      <c r="AI92" s="3"/>
      <c r="AJ92" s="3"/>
      <c r="AK92" s="10">
        <v>40988287</v>
      </c>
      <c r="AL92" s="10">
        <v>767912</v>
      </c>
      <c r="AM92" s="3"/>
      <c r="AN92" s="10">
        <v>2246953</v>
      </c>
      <c r="AO92" s="10">
        <v>13497</v>
      </c>
      <c r="AP92" s="10">
        <v>2791587</v>
      </c>
      <c r="AQ92" s="10">
        <v>1991202</v>
      </c>
      <c r="AR92" s="10">
        <v>315441</v>
      </c>
      <c r="AS92" s="3"/>
      <c r="AT92" s="10">
        <v>119211</v>
      </c>
      <c r="AU92" s="3"/>
      <c r="AV92" s="3"/>
      <c r="AW92" s="10">
        <v>7553</v>
      </c>
      <c r="AX92" s="3"/>
      <c r="AY92" s="3"/>
      <c r="AZ92" s="1">
        <v>2986266.91</v>
      </c>
      <c r="BA92" s="1">
        <v>1493133</v>
      </c>
      <c r="BB92" s="19"/>
      <c r="BC92" s="15">
        <v>569461</v>
      </c>
      <c r="BD92" s="15">
        <v>1138921</v>
      </c>
      <c r="BE92" s="20">
        <v>5020085</v>
      </c>
      <c r="BF92" s="20">
        <v>5020085</v>
      </c>
      <c r="BG92" s="20">
        <v>12598919</v>
      </c>
      <c r="BH92" s="20">
        <v>12150281</v>
      </c>
      <c r="BI92" s="19"/>
      <c r="BJ92" s="19"/>
      <c r="BK92" s="19"/>
      <c r="BL92" s="5">
        <v>263340028</v>
      </c>
      <c r="BM92" s="5">
        <v>202350869</v>
      </c>
      <c r="BN92" s="15">
        <v>241950</v>
      </c>
      <c r="BO92" s="1"/>
      <c r="BP92" s="1"/>
      <c r="BQ92" s="5"/>
      <c r="BR92" s="5"/>
      <c r="BS92" s="5"/>
    </row>
    <row r="93" spans="1:71" x14ac:dyDescent="0.25">
      <c r="A93" s="6" t="s">
        <v>147</v>
      </c>
      <c r="B93" s="10">
        <v>321782784</v>
      </c>
      <c r="C93" s="10">
        <v>181040173</v>
      </c>
      <c r="D93" s="10">
        <v>119178853</v>
      </c>
      <c r="E93" s="10">
        <v>0</v>
      </c>
      <c r="F93" s="10">
        <v>39196115</v>
      </c>
      <c r="G93" s="10">
        <v>12404008</v>
      </c>
      <c r="H93" s="10">
        <v>14614555</v>
      </c>
      <c r="I93" s="10">
        <v>2614620</v>
      </c>
      <c r="J93" s="10">
        <v>125600</v>
      </c>
      <c r="K93" s="10">
        <v>31400</v>
      </c>
      <c r="L93" s="10">
        <v>192772109</v>
      </c>
      <c r="M93" s="10">
        <v>5221234</v>
      </c>
      <c r="N93" s="10">
        <v>1897</v>
      </c>
      <c r="O93" s="10">
        <v>574</v>
      </c>
      <c r="P93" s="10">
        <v>5345840</v>
      </c>
      <c r="Q93" s="10">
        <v>2345817</v>
      </c>
      <c r="R93" s="10">
        <v>1389200</v>
      </c>
      <c r="S93" s="10">
        <v>3253416</v>
      </c>
      <c r="T93" s="10">
        <v>555240</v>
      </c>
      <c r="U93" s="10">
        <v>1030649</v>
      </c>
      <c r="V93" s="10">
        <v>5345840</v>
      </c>
      <c r="W93" s="10">
        <v>152200</v>
      </c>
      <c r="X93" s="10">
        <v>1389200</v>
      </c>
      <c r="Y93" s="10">
        <v>3253416</v>
      </c>
      <c r="Z93" s="10">
        <v>518900</v>
      </c>
      <c r="AA93" s="10">
        <v>1030649</v>
      </c>
      <c r="AB93" s="10">
        <v>-3763280</v>
      </c>
      <c r="AC93" s="10">
        <v>0</v>
      </c>
      <c r="AD93" s="10">
        <v>324437</v>
      </c>
      <c r="AE93" s="10">
        <v>19142</v>
      </c>
      <c r="AF93" s="10">
        <v>13656820</v>
      </c>
      <c r="AG93" s="10">
        <v>324382</v>
      </c>
      <c r="AH93" s="10">
        <v>5097636</v>
      </c>
      <c r="AI93" s="10">
        <v>417711</v>
      </c>
      <c r="AJ93" s="10">
        <v>5272711</v>
      </c>
      <c r="AK93" s="10">
        <v>108110844</v>
      </c>
      <c r="AL93" s="10">
        <v>2408089</v>
      </c>
      <c r="AM93" s="3"/>
      <c r="AN93" s="10">
        <v>28346246</v>
      </c>
      <c r="AO93" s="10">
        <v>2373130</v>
      </c>
      <c r="AP93" s="10">
        <v>69204805</v>
      </c>
      <c r="AQ93" s="10">
        <v>20948433</v>
      </c>
      <c r="AR93" s="10">
        <v>18195742</v>
      </c>
      <c r="AS93" s="10">
        <v>752327</v>
      </c>
      <c r="AT93" s="10">
        <v>2731495</v>
      </c>
      <c r="AU93" s="3"/>
      <c r="AV93" s="10">
        <v>15574</v>
      </c>
      <c r="AW93" s="10">
        <v>1802225</v>
      </c>
      <c r="AX93" s="10">
        <v>839</v>
      </c>
      <c r="AY93" s="10">
        <v>56940</v>
      </c>
      <c r="AZ93" s="1">
        <v>7876587.6699999999</v>
      </c>
      <c r="BA93" s="1">
        <v>3938294</v>
      </c>
      <c r="BB93" s="19">
        <v>10645967</v>
      </c>
      <c r="BC93" s="15">
        <v>1247097</v>
      </c>
      <c r="BD93" s="15">
        <v>2494194</v>
      </c>
      <c r="BE93" s="20">
        <v>64097826</v>
      </c>
      <c r="BF93" s="20">
        <v>60100172</v>
      </c>
      <c r="BG93" s="20">
        <v>48143969</v>
      </c>
      <c r="BH93" s="20">
        <v>45764914</v>
      </c>
      <c r="BI93" s="19"/>
      <c r="BJ93" s="19"/>
      <c r="BK93" s="19"/>
      <c r="BL93" s="5">
        <v>906027087</v>
      </c>
      <c r="BM93" s="5">
        <v>684457677</v>
      </c>
      <c r="BN93" s="15">
        <v>595111</v>
      </c>
      <c r="BO93" s="1"/>
      <c r="BP93" s="1"/>
      <c r="BQ93" s="5"/>
      <c r="BR93" s="5"/>
      <c r="BS93" s="5"/>
    </row>
    <row r="94" spans="1:71" x14ac:dyDescent="0.25">
      <c r="A94" s="6" t="s">
        <v>148</v>
      </c>
      <c r="B94" s="10">
        <v>4471254824</v>
      </c>
      <c r="C94" s="10">
        <v>210685350</v>
      </c>
      <c r="D94" s="10">
        <v>359293100</v>
      </c>
      <c r="E94" s="10">
        <v>0</v>
      </c>
      <c r="F94" s="10">
        <v>69325500</v>
      </c>
      <c r="G94" s="10">
        <v>8901700</v>
      </c>
      <c r="H94" s="10">
        <v>4490200</v>
      </c>
      <c r="I94" s="10">
        <v>282600</v>
      </c>
      <c r="J94" s="10">
        <v>125600</v>
      </c>
      <c r="K94" s="10">
        <v>0</v>
      </c>
      <c r="L94" s="10">
        <v>468723466</v>
      </c>
      <c r="M94" s="10">
        <v>153654500</v>
      </c>
      <c r="N94" s="10">
        <v>2369</v>
      </c>
      <c r="O94" s="10">
        <v>295</v>
      </c>
      <c r="P94" s="10">
        <v>224920564</v>
      </c>
      <c r="Q94" s="10">
        <v>9359950</v>
      </c>
      <c r="R94" s="10">
        <v>6227504</v>
      </c>
      <c r="S94" s="10">
        <v>11163800</v>
      </c>
      <c r="T94" s="10">
        <v>1792115</v>
      </c>
      <c r="U94" s="10">
        <v>4315000</v>
      </c>
      <c r="V94" s="10">
        <v>225491304</v>
      </c>
      <c r="W94" s="10">
        <v>15984800</v>
      </c>
      <c r="X94" s="10">
        <v>6227504</v>
      </c>
      <c r="Y94" s="10">
        <v>11163800</v>
      </c>
      <c r="Z94" s="10">
        <v>8851565</v>
      </c>
      <c r="AA94" s="10">
        <v>4315000</v>
      </c>
      <c r="AB94" s="10">
        <v>-11284150</v>
      </c>
      <c r="AC94" s="10">
        <v>-189019</v>
      </c>
      <c r="AD94" s="10">
        <v>0</v>
      </c>
      <c r="AE94" s="10">
        <v>0</v>
      </c>
      <c r="AF94" s="10">
        <v>0</v>
      </c>
      <c r="AG94" s="10">
        <v>67931</v>
      </c>
      <c r="AH94" s="3"/>
      <c r="AI94" s="10">
        <v>2007734</v>
      </c>
      <c r="AJ94" s="3"/>
      <c r="AK94" s="10">
        <v>407669473</v>
      </c>
      <c r="AL94" s="10">
        <v>13303422</v>
      </c>
      <c r="AM94" s="10">
        <v>4093507</v>
      </c>
      <c r="AN94" s="10">
        <v>47756497</v>
      </c>
      <c r="AO94" s="10">
        <v>778205</v>
      </c>
      <c r="AP94" s="10">
        <v>21688386</v>
      </c>
      <c r="AQ94" s="10">
        <v>26631354</v>
      </c>
      <c r="AR94" s="10">
        <v>26111493</v>
      </c>
      <c r="AS94" s="3"/>
      <c r="AT94" s="10">
        <v>5939625</v>
      </c>
      <c r="AU94" s="3"/>
      <c r="AV94" s="3"/>
      <c r="AW94" s="10">
        <v>12760</v>
      </c>
      <c r="AX94" s="3"/>
      <c r="AY94" s="10">
        <v>46000</v>
      </c>
      <c r="AZ94" s="1">
        <v>29701408.52</v>
      </c>
      <c r="BA94" s="1">
        <v>14850704</v>
      </c>
      <c r="BB94" s="19">
        <v>7378402</v>
      </c>
      <c r="BC94" s="15">
        <v>538708</v>
      </c>
      <c r="BD94" s="15">
        <v>1077416</v>
      </c>
      <c r="BE94" s="20">
        <v>22340139</v>
      </c>
      <c r="BF94" s="20">
        <v>22340139</v>
      </c>
      <c r="BG94" s="20">
        <v>48758678</v>
      </c>
      <c r="BH94" s="20">
        <v>47352374</v>
      </c>
      <c r="BI94" s="19"/>
      <c r="BJ94" s="19"/>
      <c r="BK94" s="19"/>
      <c r="BL94" s="5">
        <v>5624461884</v>
      </c>
      <c r="BM94" s="5">
        <v>5118407064</v>
      </c>
      <c r="BN94" s="15">
        <v>1418000</v>
      </c>
      <c r="BO94" s="1"/>
      <c r="BP94" s="1"/>
      <c r="BQ94" s="5"/>
      <c r="BR94" s="5"/>
      <c r="BS94" s="5"/>
    </row>
    <row r="95" spans="1:71" x14ac:dyDescent="0.25">
      <c r="A95" s="6" t="s">
        <v>149</v>
      </c>
      <c r="B95" s="10">
        <v>224762685</v>
      </c>
      <c r="C95" s="10">
        <v>114475075</v>
      </c>
      <c r="D95" s="10">
        <v>35064950</v>
      </c>
      <c r="E95" s="10">
        <v>0</v>
      </c>
      <c r="F95" s="10">
        <v>17161500</v>
      </c>
      <c r="G95" s="10">
        <v>3125700</v>
      </c>
      <c r="H95" s="10">
        <v>8120100</v>
      </c>
      <c r="I95" s="10">
        <v>847500</v>
      </c>
      <c r="J95" s="10">
        <v>94200</v>
      </c>
      <c r="K95" s="10">
        <v>23500</v>
      </c>
      <c r="L95" s="10">
        <v>275461560</v>
      </c>
      <c r="M95" s="10">
        <v>0</v>
      </c>
      <c r="N95" s="10">
        <v>853</v>
      </c>
      <c r="O95" s="10">
        <v>149</v>
      </c>
      <c r="P95" s="10">
        <v>10567000</v>
      </c>
      <c r="Q95" s="10">
        <v>4037585</v>
      </c>
      <c r="R95" s="10">
        <v>1730400</v>
      </c>
      <c r="S95" s="10">
        <v>1577630</v>
      </c>
      <c r="T95" s="10">
        <v>718250</v>
      </c>
      <c r="U95" s="10">
        <v>165150</v>
      </c>
      <c r="V95" s="10">
        <v>10567000</v>
      </c>
      <c r="W95" s="10">
        <v>4022200</v>
      </c>
      <c r="X95" s="10">
        <v>1730400</v>
      </c>
      <c r="Y95" s="10">
        <v>1577630</v>
      </c>
      <c r="Z95" s="10">
        <v>2018921</v>
      </c>
      <c r="AA95" s="10">
        <v>165150</v>
      </c>
      <c r="AB95" s="10">
        <v>-946200</v>
      </c>
      <c r="AC95" s="10">
        <v>0</v>
      </c>
      <c r="AD95" s="10">
        <v>71863</v>
      </c>
      <c r="AE95" s="10">
        <v>0</v>
      </c>
      <c r="AF95" s="10">
        <v>0</v>
      </c>
      <c r="AG95" s="10">
        <v>201127</v>
      </c>
      <c r="AH95" s="3"/>
      <c r="AI95" s="3"/>
      <c r="AJ95" s="3"/>
      <c r="AK95" s="10">
        <v>67678557</v>
      </c>
      <c r="AL95" s="10">
        <v>1989060</v>
      </c>
      <c r="AM95" s="10">
        <v>52742</v>
      </c>
      <c r="AN95" s="10">
        <v>7626213</v>
      </c>
      <c r="AO95" s="10">
        <v>3316</v>
      </c>
      <c r="AP95" s="10">
        <v>4054452</v>
      </c>
      <c r="AQ95" s="10">
        <v>3023018</v>
      </c>
      <c r="AR95" s="10">
        <v>3708079</v>
      </c>
      <c r="AS95" s="10">
        <v>1561</v>
      </c>
      <c r="AT95" s="10">
        <v>598069</v>
      </c>
      <c r="AU95" s="3"/>
      <c r="AV95" s="3"/>
      <c r="AW95" s="10">
        <v>26346</v>
      </c>
      <c r="AX95" s="3"/>
      <c r="AY95" s="10">
        <v>155000</v>
      </c>
      <c r="AZ95" s="1">
        <v>4930829.0199999996</v>
      </c>
      <c r="BA95" s="1">
        <v>2465415</v>
      </c>
      <c r="BB95" s="19">
        <v>1156270</v>
      </c>
      <c r="BC95" s="15">
        <v>0</v>
      </c>
      <c r="BD95" s="15">
        <v>0</v>
      </c>
      <c r="BE95" s="20">
        <v>32974110</v>
      </c>
      <c r="BF95" s="20">
        <v>32974110</v>
      </c>
      <c r="BG95" s="20">
        <v>38216565</v>
      </c>
      <c r="BH95" s="20">
        <v>38216565</v>
      </c>
      <c r="BI95" s="19"/>
      <c r="BJ95" s="19"/>
      <c r="BK95" s="19"/>
      <c r="BL95" s="5">
        <v>528278964</v>
      </c>
      <c r="BM95" s="5">
        <v>384955257</v>
      </c>
      <c r="BN95" s="15">
        <v>246300</v>
      </c>
      <c r="BO95" s="1"/>
      <c r="BP95" s="1"/>
      <c r="BQ95" s="5"/>
      <c r="BR95" s="5"/>
      <c r="BS95" s="5"/>
    </row>
    <row r="96" spans="1:71" x14ac:dyDescent="0.25">
      <c r="A96" s="6" t="s">
        <v>150</v>
      </c>
      <c r="B96" s="10">
        <v>31569827</v>
      </c>
      <c r="C96" s="10">
        <v>29552600</v>
      </c>
      <c r="D96" s="10">
        <v>7205050</v>
      </c>
      <c r="E96" s="10">
        <v>0</v>
      </c>
      <c r="F96" s="10">
        <v>7037300</v>
      </c>
      <c r="G96" s="10">
        <v>6701500</v>
      </c>
      <c r="H96" s="10">
        <v>5823500</v>
      </c>
      <c r="I96" s="10">
        <v>2485600</v>
      </c>
      <c r="J96" s="10">
        <v>26000</v>
      </c>
      <c r="K96" s="10">
        <v>0</v>
      </c>
      <c r="L96" s="10">
        <v>18028550</v>
      </c>
      <c r="M96" s="10">
        <v>18669491</v>
      </c>
      <c r="N96" s="10">
        <v>445</v>
      </c>
      <c r="O96" s="10">
        <v>330</v>
      </c>
      <c r="P96" s="10">
        <v>746000</v>
      </c>
      <c r="Q96" s="10">
        <v>560500</v>
      </c>
      <c r="R96" s="10">
        <v>10000</v>
      </c>
      <c r="S96" s="10">
        <v>353300</v>
      </c>
      <c r="T96" s="10">
        <v>212500</v>
      </c>
      <c r="U96" s="10">
        <v>253500</v>
      </c>
      <c r="V96" s="10">
        <v>746000</v>
      </c>
      <c r="W96" s="10">
        <v>560500</v>
      </c>
      <c r="X96" s="10">
        <v>10000</v>
      </c>
      <c r="Y96" s="10">
        <v>353300</v>
      </c>
      <c r="Z96" s="10">
        <v>212500</v>
      </c>
      <c r="AA96" s="10">
        <v>253500</v>
      </c>
      <c r="AB96" s="10">
        <v>-1043000</v>
      </c>
      <c r="AC96" s="10">
        <v>0</v>
      </c>
      <c r="AD96" s="10">
        <v>50141</v>
      </c>
      <c r="AE96" s="10">
        <v>0</v>
      </c>
      <c r="AF96" s="10">
        <v>0</v>
      </c>
      <c r="AG96" s="10">
        <v>106660</v>
      </c>
      <c r="AH96" s="3"/>
      <c r="AI96" s="10">
        <v>614911</v>
      </c>
      <c r="AJ96" s="10">
        <v>361156</v>
      </c>
      <c r="AK96" s="10">
        <v>18794940</v>
      </c>
      <c r="AL96" s="10">
        <v>545827</v>
      </c>
      <c r="AM96" s="3"/>
      <c r="AN96" s="10">
        <v>2125719</v>
      </c>
      <c r="AO96" s="10">
        <v>6431</v>
      </c>
      <c r="AP96" s="10">
        <v>886947</v>
      </c>
      <c r="AQ96" s="10">
        <v>1130269</v>
      </c>
      <c r="AR96" s="3"/>
      <c r="AS96" s="3"/>
      <c r="AT96" s="3"/>
      <c r="AU96" s="3"/>
      <c r="AV96" s="3"/>
      <c r="AW96" s="3"/>
      <c r="AX96" s="3"/>
      <c r="AY96" s="3"/>
      <c r="AZ96" s="1">
        <v>1369335.28</v>
      </c>
      <c r="BA96" s="1">
        <v>684668</v>
      </c>
      <c r="BB96" s="19"/>
      <c r="BC96" s="15">
        <v>0</v>
      </c>
      <c r="BD96" s="15">
        <v>0</v>
      </c>
      <c r="BE96" s="20">
        <v>552299</v>
      </c>
      <c r="BF96" s="20">
        <v>552299</v>
      </c>
      <c r="BG96" s="20">
        <v>14180896</v>
      </c>
      <c r="BH96" s="20">
        <v>14180896</v>
      </c>
      <c r="BI96" s="19"/>
      <c r="BJ96" s="19"/>
      <c r="BK96" s="19"/>
      <c r="BL96" s="5">
        <v>107324593</v>
      </c>
      <c r="BM96" s="5">
        <v>72565963</v>
      </c>
      <c r="BN96" s="15">
        <v>267800</v>
      </c>
      <c r="BO96" s="1"/>
      <c r="BP96" s="1"/>
      <c r="BQ96" s="5"/>
      <c r="BR96" s="5"/>
      <c r="BS96" s="5"/>
    </row>
    <row r="97" spans="1:71" x14ac:dyDescent="0.25">
      <c r="A97" s="6" t="s">
        <v>151</v>
      </c>
      <c r="B97" s="10">
        <v>310939626</v>
      </c>
      <c r="C97" s="10">
        <v>127222416</v>
      </c>
      <c r="D97" s="10">
        <v>63453159</v>
      </c>
      <c r="E97" s="10">
        <v>0</v>
      </c>
      <c r="F97" s="10">
        <v>20365550</v>
      </c>
      <c r="G97" s="10">
        <v>4182800</v>
      </c>
      <c r="H97" s="10">
        <v>10540700</v>
      </c>
      <c r="I97" s="10">
        <v>1156500</v>
      </c>
      <c r="J97" s="10">
        <v>94200</v>
      </c>
      <c r="K97" s="10">
        <v>0</v>
      </c>
      <c r="L97" s="10">
        <v>206654542</v>
      </c>
      <c r="M97" s="10">
        <v>93077473</v>
      </c>
      <c r="N97" s="10">
        <v>1028</v>
      </c>
      <c r="O97" s="10">
        <v>177</v>
      </c>
      <c r="P97" s="10">
        <v>9458977</v>
      </c>
      <c r="Q97" s="10">
        <v>8719410</v>
      </c>
      <c r="R97" s="10">
        <v>431300</v>
      </c>
      <c r="S97" s="10">
        <v>9218257</v>
      </c>
      <c r="T97" s="10">
        <v>1712916</v>
      </c>
      <c r="U97" s="10">
        <v>3425805</v>
      </c>
      <c r="V97" s="10">
        <v>9458977</v>
      </c>
      <c r="W97" s="10">
        <v>14738518</v>
      </c>
      <c r="X97" s="10">
        <v>431300</v>
      </c>
      <c r="Y97" s="10">
        <v>9218257</v>
      </c>
      <c r="Z97" s="10">
        <v>1398900</v>
      </c>
      <c r="AA97" s="10">
        <v>3425805</v>
      </c>
      <c r="AB97" s="10">
        <v>-746650</v>
      </c>
      <c r="AC97" s="10">
        <v>-750022</v>
      </c>
      <c r="AD97" s="10">
        <v>62</v>
      </c>
      <c r="AE97" s="10">
        <v>0</v>
      </c>
      <c r="AF97" s="10">
        <v>0</v>
      </c>
      <c r="AG97" s="10">
        <v>150693</v>
      </c>
      <c r="AH97" s="3"/>
      <c r="AI97" s="10">
        <v>2562727</v>
      </c>
      <c r="AJ97" s="3"/>
      <c r="AK97" s="10">
        <v>86192372</v>
      </c>
      <c r="AL97" s="10">
        <v>2162157</v>
      </c>
      <c r="AM97" s="3"/>
      <c r="AN97" s="10">
        <v>25154955</v>
      </c>
      <c r="AO97" s="10">
        <v>3632880</v>
      </c>
      <c r="AP97" s="10">
        <v>58117092</v>
      </c>
      <c r="AQ97" s="10">
        <v>7871883</v>
      </c>
      <c r="AR97" s="10">
        <v>5113027</v>
      </c>
      <c r="AS97" s="3"/>
      <c r="AT97" s="10">
        <v>568451</v>
      </c>
      <c r="AU97" s="3"/>
      <c r="AV97" s="3"/>
      <c r="AW97" s="3"/>
      <c r="AX97" s="3"/>
      <c r="AY97" s="10">
        <v>493920</v>
      </c>
      <c r="AZ97" s="1">
        <v>6279682.4900000002</v>
      </c>
      <c r="BA97" s="1">
        <v>3139841</v>
      </c>
      <c r="BB97" s="19">
        <v>1302067</v>
      </c>
      <c r="BC97" s="15">
        <v>1505055</v>
      </c>
      <c r="BD97" s="15">
        <v>3010109</v>
      </c>
      <c r="BE97" s="20">
        <v>21046398</v>
      </c>
      <c r="BF97" s="20">
        <v>21046398</v>
      </c>
      <c r="BG97" s="20">
        <v>47735084</v>
      </c>
      <c r="BH97" s="20">
        <v>42507924</v>
      </c>
      <c r="BI97" s="19"/>
      <c r="BJ97" s="19"/>
      <c r="BK97" s="19"/>
      <c r="BL97" s="5">
        <v>697391393</v>
      </c>
      <c r="BM97" s="5">
        <v>540837646</v>
      </c>
      <c r="BN97" s="15">
        <v>751879</v>
      </c>
      <c r="BO97" s="1"/>
      <c r="BP97" s="1"/>
      <c r="BQ97" s="5"/>
      <c r="BR97" s="5"/>
      <c r="BS97" s="5"/>
    </row>
    <row r="98" spans="1:71" x14ac:dyDescent="0.25">
      <c r="A98" s="6" t="s">
        <v>152</v>
      </c>
      <c r="B98" s="10">
        <v>402087237</v>
      </c>
      <c r="C98" s="10">
        <v>58171091</v>
      </c>
      <c r="D98" s="10">
        <v>261226337</v>
      </c>
      <c r="E98" s="10">
        <v>0</v>
      </c>
      <c r="F98" s="10">
        <v>56022700</v>
      </c>
      <c r="G98" s="10">
        <v>40116500</v>
      </c>
      <c r="H98" s="10">
        <v>12504700</v>
      </c>
      <c r="I98" s="10">
        <v>4083200</v>
      </c>
      <c r="J98" s="10">
        <v>526200</v>
      </c>
      <c r="K98" s="10">
        <v>125600</v>
      </c>
      <c r="L98" s="10">
        <v>59905143</v>
      </c>
      <c r="M98" s="10">
        <v>40233234</v>
      </c>
      <c r="N98" s="10">
        <v>2366</v>
      </c>
      <c r="O98" s="10">
        <v>1606</v>
      </c>
      <c r="P98" s="10">
        <v>9105900</v>
      </c>
      <c r="Q98" s="10">
        <v>1251000</v>
      </c>
      <c r="R98" s="10">
        <v>6898400</v>
      </c>
      <c r="S98" s="10">
        <v>1643100</v>
      </c>
      <c r="T98" s="10">
        <v>135400</v>
      </c>
      <c r="U98" s="10">
        <v>383375</v>
      </c>
      <c r="V98" s="10">
        <v>9105900</v>
      </c>
      <c r="W98" s="10">
        <v>1251000</v>
      </c>
      <c r="X98" s="10">
        <v>6898400</v>
      </c>
      <c r="Y98" s="10">
        <v>1643100</v>
      </c>
      <c r="Z98" s="10">
        <v>10000</v>
      </c>
      <c r="AA98" s="10">
        <v>383375</v>
      </c>
      <c r="AB98" s="10">
        <v>-6246500</v>
      </c>
      <c r="AC98" s="10">
        <v>-3873494</v>
      </c>
      <c r="AD98" s="10">
        <v>150617</v>
      </c>
      <c r="AE98" s="10">
        <v>3</v>
      </c>
      <c r="AF98" s="10">
        <v>0</v>
      </c>
      <c r="AG98" s="10">
        <v>175878</v>
      </c>
      <c r="AH98" s="10">
        <v>8413039</v>
      </c>
      <c r="AI98" s="10">
        <v>108474792</v>
      </c>
      <c r="AJ98" s="10">
        <v>199437656</v>
      </c>
      <c r="AK98" s="10">
        <v>178596776</v>
      </c>
      <c r="AL98" s="10">
        <v>3845682</v>
      </c>
      <c r="AM98" s="10">
        <v>803550</v>
      </c>
      <c r="AN98" s="10">
        <v>175747991</v>
      </c>
      <c r="AO98" s="10">
        <v>16944993</v>
      </c>
      <c r="AP98" s="10">
        <v>110200381</v>
      </c>
      <c r="AQ98" s="10">
        <v>73445987</v>
      </c>
      <c r="AR98" s="10">
        <v>22522079</v>
      </c>
      <c r="AS98" s="10">
        <v>5499589</v>
      </c>
      <c r="AT98" s="10">
        <v>112927</v>
      </c>
      <c r="AU98" s="3"/>
      <c r="AV98" s="3"/>
      <c r="AW98" s="10">
        <v>32656334</v>
      </c>
      <c r="AX98" s="10">
        <v>113182</v>
      </c>
      <c r="AY98" s="10">
        <v>4982702</v>
      </c>
      <c r="AZ98" s="1">
        <v>13011952.470000001</v>
      </c>
      <c r="BA98" s="1">
        <v>6505976</v>
      </c>
      <c r="BB98" s="19"/>
      <c r="BC98" s="15">
        <v>3769872</v>
      </c>
      <c r="BD98" s="15">
        <v>7539744</v>
      </c>
      <c r="BE98" s="20">
        <v>16198257</v>
      </c>
      <c r="BF98" s="20">
        <v>16198257</v>
      </c>
      <c r="BG98" s="20">
        <v>73202638</v>
      </c>
      <c r="BH98" s="20">
        <v>64981456</v>
      </c>
      <c r="BI98" s="19"/>
      <c r="BJ98" s="19"/>
      <c r="BK98" s="19"/>
      <c r="BL98" s="5">
        <v>1577847142</v>
      </c>
      <c r="BM98" s="5">
        <v>1303949123</v>
      </c>
      <c r="BN98" s="15">
        <v>1160600</v>
      </c>
      <c r="BO98" s="1"/>
      <c r="BP98" s="1"/>
      <c r="BQ98" s="5"/>
      <c r="BR98" s="5"/>
      <c r="BS98" s="5"/>
    </row>
    <row r="99" spans="1:71" x14ac:dyDescent="0.25">
      <c r="A99" s="6" t="s">
        <v>153</v>
      </c>
      <c r="B99" s="10">
        <v>883576164</v>
      </c>
      <c r="C99" s="10">
        <v>145980973</v>
      </c>
      <c r="D99" s="10">
        <v>353685362</v>
      </c>
      <c r="E99" s="10">
        <v>0</v>
      </c>
      <c r="F99" s="10">
        <v>118627740</v>
      </c>
      <c r="G99" s="10">
        <v>110575150</v>
      </c>
      <c r="H99" s="10">
        <v>27745600</v>
      </c>
      <c r="I99" s="10">
        <v>17359500</v>
      </c>
      <c r="J99" s="10">
        <v>471000</v>
      </c>
      <c r="K99" s="10">
        <v>219800</v>
      </c>
      <c r="L99" s="10">
        <v>128020984</v>
      </c>
      <c r="M99" s="10">
        <v>145744619</v>
      </c>
      <c r="N99" s="10">
        <v>5426</v>
      </c>
      <c r="O99" s="10">
        <v>5009</v>
      </c>
      <c r="P99" s="10">
        <v>22801650</v>
      </c>
      <c r="Q99" s="10">
        <v>3149100</v>
      </c>
      <c r="R99" s="10">
        <v>6872700</v>
      </c>
      <c r="S99" s="10">
        <v>11488055</v>
      </c>
      <c r="T99" s="10">
        <v>1462800</v>
      </c>
      <c r="U99" s="10">
        <v>1804935</v>
      </c>
      <c r="V99" s="10">
        <v>22801650</v>
      </c>
      <c r="W99" s="10">
        <v>4058750</v>
      </c>
      <c r="X99" s="10">
        <v>6872700</v>
      </c>
      <c r="Y99" s="10">
        <v>11488055</v>
      </c>
      <c r="Z99" s="10">
        <v>1643455</v>
      </c>
      <c r="AA99" s="10">
        <v>1804935</v>
      </c>
      <c r="AB99" s="10">
        <v>-7985882</v>
      </c>
      <c r="AC99" s="10">
        <v>8987005</v>
      </c>
      <c r="AD99" s="10">
        <v>378177</v>
      </c>
      <c r="AE99" s="10">
        <v>0</v>
      </c>
      <c r="AF99" s="10">
        <v>0</v>
      </c>
      <c r="AG99" s="10">
        <v>410460</v>
      </c>
      <c r="AH99" s="10">
        <v>7917273</v>
      </c>
      <c r="AI99" s="10">
        <v>702625727</v>
      </c>
      <c r="AJ99" s="10">
        <v>366125437</v>
      </c>
      <c r="AK99" s="10">
        <v>414696572</v>
      </c>
      <c r="AL99" s="10">
        <v>7040159</v>
      </c>
      <c r="AM99" s="3"/>
      <c r="AN99" s="10">
        <v>450474640</v>
      </c>
      <c r="AO99" s="10">
        <v>10309481</v>
      </c>
      <c r="AP99" s="10">
        <v>200863708</v>
      </c>
      <c r="AQ99" s="10">
        <v>112173766</v>
      </c>
      <c r="AR99" s="10">
        <v>29152174</v>
      </c>
      <c r="AS99" s="10">
        <v>5860069</v>
      </c>
      <c r="AT99" s="3"/>
      <c r="AU99" s="3"/>
      <c r="AV99" s="3"/>
      <c r="AW99" s="3"/>
      <c r="AX99" s="10">
        <v>6684</v>
      </c>
      <c r="AY99" s="10">
        <v>2130605</v>
      </c>
      <c r="AZ99" s="1">
        <v>30213379.010000002</v>
      </c>
      <c r="BA99" s="1">
        <v>15106690</v>
      </c>
      <c r="BB99" s="19"/>
      <c r="BC99" s="15">
        <v>4564729</v>
      </c>
      <c r="BD99" s="15">
        <v>9129458</v>
      </c>
      <c r="BE99" s="20">
        <v>36770236</v>
      </c>
      <c r="BF99" s="20">
        <v>36770236</v>
      </c>
      <c r="BG99" s="20">
        <v>194033159</v>
      </c>
      <c r="BH99" s="20">
        <v>183325717</v>
      </c>
      <c r="BI99" s="19"/>
      <c r="BJ99" s="19"/>
      <c r="BK99" s="19"/>
      <c r="BL99" s="5">
        <v>3694955276</v>
      </c>
      <c r="BM99" s="5">
        <v>3033451173</v>
      </c>
      <c r="BN99" s="15">
        <v>12873226</v>
      </c>
      <c r="BO99" s="1"/>
      <c r="BP99" s="1"/>
      <c r="BQ99" s="5"/>
      <c r="BR99" s="5"/>
      <c r="BS99" s="5"/>
    </row>
    <row r="100" spans="1:71" x14ac:dyDescent="0.25">
      <c r="A100" s="6" t="s">
        <v>154</v>
      </c>
      <c r="B100" s="10">
        <v>212327698</v>
      </c>
      <c r="C100" s="10">
        <v>49020590</v>
      </c>
      <c r="D100" s="10">
        <v>66163508</v>
      </c>
      <c r="E100" s="10">
        <v>0</v>
      </c>
      <c r="F100" s="10">
        <v>17005194</v>
      </c>
      <c r="G100" s="10">
        <v>11336519</v>
      </c>
      <c r="H100" s="10">
        <v>3656288</v>
      </c>
      <c r="I100" s="10">
        <v>1277800</v>
      </c>
      <c r="J100" s="10">
        <v>31400</v>
      </c>
      <c r="K100" s="10">
        <v>0</v>
      </c>
      <c r="L100" s="10">
        <v>21914683</v>
      </c>
      <c r="M100" s="10">
        <v>24364656</v>
      </c>
      <c r="N100" s="10">
        <v>759</v>
      </c>
      <c r="O100" s="10">
        <v>473</v>
      </c>
      <c r="P100" s="10">
        <v>5621644</v>
      </c>
      <c r="Q100" s="10">
        <v>0</v>
      </c>
      <c r="R100" s="10">
        <v>1540500</v>
      </c>
      <c r="S100" s="10">
        <v>35000</v>
      </c>
      <c r="T100" s="10">
        <v>47500</v>
      </c>
      <c r="U100" s="10">
        <v>0</v>
      </c>
      <c r="V100" s="10">
        <v>5621644</v>
      </c>
      <c r="W100" s="10">
        <v>0</v>
      </c>
      <c r="X100" s="10">
        <v>1540500</v>
      </c>
      <c r="Y100" s="10">
        <v>35000</v>
      </c>
      <c r="Z100" s="10">
        <v>51550</v>
      </c>
      <c r="AA100" s="10">
        <v>0</v>
      </c>
      <c r="AB100" s="10">
        <v>-1959564</v>
      </c>
      <c r="AC100" s="10">
        <v>40839</v>
      </c>
      <c r="AD100" s="10">
        <v>61247</v>
      </c>
      <c r="AE100" s="10">
        <v>0</v>
      </c>
      <c r="AF100" s="10">
        <v>0</v>
      </c>
      <c r="AG100" s="10">
        <v>78626</v>
      </c>
      <c r="AH100" s="10">
        <v>185609</v>
      </c>
      <c r="AI100" s="10">
        <v>561149</v>
      </c>
      <c r="AJ100" s="3"/>
      <c r="AK100" s="10">
        <v>70776845</v>
      </c>
      <c r="AL100" s="10">
        <v>1136698</v>
      </c>
      <c r="AM100" s="3"/>
      <c r="AN100" s="10">
        <v>12511931</v>
      </c>
      <c r="AO100" s="10">
        <v>32179</v>
      </c>
      <c r="AP100" s="10">
        <v>10135580</v>
      </c>
      <c r="AQ100" s="10">
        <v>9662216</v>
      </c>
      <c r="AR100" s="10">
        <v>6371563</v>
      </c>
      <c r="AS100" s="3"/>
      <c r="AT100" s="3"/>
      <c r="AU100" s="3"/>
      <c r="AV100" s="3"/>
      <c r="AW100" s="3"/>
      <c r="AX100" s="10">
        <v>6347</v>
      </c>
      <c r="AY100" s="3"/>
      <c r="AZ100" s="1">
        <v>5156559.7300000004</v>
      </c>
      <c r="BA100" s="1">
        <v>2578280</v>
      </c>
      <c r="BB100" s="19"/>
      <c r="BC100" s="15">
        <v>0</v>
      </c>
      <c r="BD100" s="15">
        <v>0</v>
      </c>
      <c r="BE100" s="20">
        <v>7341881</v>
      </c>
      <c r="BF100" s="20">
        <v>7341881</v>
      </c>
      <c r="BG100" s="20">
        <v>40213824</v>
      </c>
      <c r="BH100" s="20">
        <v>40213824</v>
      </c>
      <c r="BI100" s="19"/>
      <c r="BJ100" s="19"/>
      <c r="BK100" s="19"/>
      <c r="BL100" s="5">
        <v>472512408</v>
      </c>
      <c r="BM100" s="5">
        <v>350464880</v>
      </c>
      <c r="BN100" s="15">
        <v>782350</v>
      </c>
      <c r="BO100" s="1"/>
      <c r="BP100" s="1"/>
      <c r="BQ100" s="5"/>
      <c r="BR100" s="5"/>
      <c r="BS100" s="5"/>
    </row>
    <row r="101" spans="1:71" x14ac:dyDescent="0.25">
      <c r="A101" s="6" t="s">
        <v>155</v>
      </c>
      <c r="B101" s="10">
        <v>1847341008</v>
      </c>
      <c r="C101" s="10">
        <v>288511231</v>
      </c>
      <c r="D101" s="10">
        <v>642446184</v>
      </c>
      <c r="E101" s="10">
        <v>0</v>
      </c>
      <c r="F101" s="10">
        <v>131201955</v>
      </c>
      <c r="G101" s="10">
        <v>36311388</v>
      </c>
      <c r="H101" s="10">
        <v>29349000</v>
      </c>
      <c r="I101" s="10">
        <v>4664300</v>
      </c>
      <c r="J101" s="10">
        <v>251200</v>
      </c>
      <c r="K101" s="10">
        <v>62800</v>
      </c>
      <c r="L101" s="10">
        <v>601606705</v>
      </c>
      <c r="M101" s="10">
        <v>6</v>
      </c>
      <c r="N101" s="10">
        <v>5370</v>
      </c>
      <c r="O101" s="10">
        <v>1447</v>
      </c>
      <c r="P101" s="10">
        <v>55919391</v>
      </c>
      <c r="Q101" s="10">
        <v>4614400</v>
      </c>
      <c r="R101" s="10">
        <v>6432295</v>
      </c>
      <c r="S101" s="10">
        <v>3894756</v>
      </c>
      <c r="T101" s="10">
        <v>783000</v>
      </c>
      <c r="U101" s="10">
        <v>392500</v>
      </c>
      <c r="V101" s="10">
        <v>55919391</v>
      </c>
      <c r="W101" s="10">
        <v>6733080</v>
      </c>
      <c r="X101" s="10">
        <v>6432295</v>
      </c>
      <c r="Y101" s="10">
        <v>3894756</v>
      </c>
      <c r="Z101" s="10">
        <v>2471295</v>
      </c>
      <c r="AA101" s="10">
        <v>392500</v>
      </c>
      <c r="AB101" s="10">
        <v>-10439974</v>
      </c>
      <c r="AC101" s="10">
        <v>6850850</v>
      </c>
      <c r="AD101" s="10">
        <v>46850</v>
      </c>
      <c r="AE101" s="10">
        <v>0</v>
      </c>
      <c r="AF101" s="10">
        <v>23650</v>
      </c>
      <c r="AG101" s="10">
        <v>14</v>
      </c>
      <c r="AH101" s="10">
        <v>197156</v>
      </c>
      <c r="AI101" s="10">
        <v>3066484</v>
      </c>
      <c r="AJ101" s="10">
        <v>1617</v>
      </c>
      <c r="AK101" s="10">
        <v>372592717</v>
      </c>
      <c r="AL101" s="10">
        <v>26680368</v>
      </c>
      <c r="AM101" s="10">
        <v>14182956</v>
      </c>
      <c r="AN101" s="10">
        <v>133441372</v>
      </c>
      <c r="AO101" s="10">
        <v>5859542</v>
      </c>
      <c r="AP101" s="10">
        <v>174368122</v>
      </c>
      <c r="AQ101" s="10">
        <v>101488060</v>
      </c>
      <c r="AR101" s="10">
        <v>79067308</v>
      </c>
      <c r="AS101" s="10">
        <v>2477701</v>
      </c>
      <c r="AT101" s="10">
        <v>2898586</v>
      </c>
      <c r="AU101" s="3"/>
      <c r="AV101" s="3"/>
      <c r="AW101" s="10">
        <v>56665</v>
      </c>
      <c r="AX101" s="10">
        <v>2751483</v>
      </c>
      <c r="AY101" s="10">
        <v>2547036</v>
      </c>
      <c r="AZ101" s="1">
        <v>27145835.620000001</v>
      </c>
      <c r="BA101" s="1">
        <v>13572918</v>
      </c>
      <c r="BB101" s="19"/>
      <c r="BC101" s="15">
        <v>2484787</v>
      </c>
      <c r="BD101" s="15">
        <v>4969574</v>
      </c>
      <c r="BE101" s="20">
        <v>22077111</v>
      </c>
      <c r="BF101" s="20">
        <v>22077111</v>
      </c>
      <c r="BG101" s="20">
        <v>112262564</v>
      </c>
      <c r="BH101" s="20">
        <v>102594940</v>
      </c>
      <c r="BI101" s="19"/>
      <c r="BJ101" s="19"/>
      <c r="BK101" s="19"/>
      <c r="BL101" s="5">
        <v>3562355495</v>
      </c>
      <c r="BM101" s="5">
        <v>3022352654</v>
      </c>
      <c r="BN101" s="15">
        <v>4685000</v>
      </c>
      <c r="BO101" s="1"/>
      <c r="BP101" s="1"/>
      <c r="BQ101" s="5"/>
      <c r="BR101" s="5"/>
      <c r="BS101" s="5"/>
    </row>
    <row r="102" spans="1:71" x14ac:dyDescent="0.25">
      <c r="A102" s="6" t="s">
        <v>156</v>
      </c>
      <c r="B102" s="10">
        <v>18408077</v>
      </c>
      <c r="C102" s="10">
        <v>30314905</v>
      </c>
      <c r="D102" s="10">
        <v>2821547</v>
      </c>
      <c r="E102" s="10">
        <v>0</v>
      </c>
      <c r="F102" s="10">
        <v>2938357</v>
      </c>
      <c r="G102" s="10">
        <v>607900</v>
      </c>
      <c r="H102" s="10">
        <v>2644270</v>
      </c>
      <c r="I102" s="10">
        <v>384000</v>
      </c>
      <c r="J102" s="10">
        <v>0</v>
      </c>
      <c r="K102" s="10">
        <v>0</v>
      </c>
      <c r="L102" s="10">
        <v>42857156</v>
      </c>
      <c r="M102" s="10">
        <v>15563948</v>
      </c>
      <c r="N102" s="10">
        <v>204</v>
      </c>
      <c r="O102" s="10">
        <v>38</v>
      </c>
      <c r="P102" s="10">
        <v>412486</v>
      </c>
      <c r="Q102" s="10">
        <v>619702</v>
      </c>
      <c r="R102" s="10">
        <v>0</v>
      </c>
      <c r="S102" s="10">
        <v>471502</v>
      </c>
      <c r="T102" s="10">
        <v>277040</v>
      </c>
      <c r="U102" s="10">
        <v>12000</v>
      </c>
      <c r="V102" s="10">
        <v>412486</v>
      </c>
      <c r="W102" s="10">
        <v>619702</v>
      </c>
      <c r="X102" s="10">
        <v>0</v>
      </c>
      <c r="Y102" s="10">
        <v>471502</v>
      </c>
      <c r="Z102" s="10">
        <v>300250</v>
      </c>
      <c r="AA102" s="10">
        <v>12000</v>
      </c>
      <c r="AB102" s="10">
        <v>-212200</v>
      </c>
      <c r="AC102" s="10">
        <v>433</v>
      </c>
      <c r="AD102" s="10">
        <v>0</v>
      </c>
      <c r="AE102" s="10">
        <v>0</v>
      </c>
      <c r="AF102" s="10">
        <v>0</v>
      </c>
      <c r="AG102" s="10">
        <v>0</v>
      </c>
      <c r="AH102" s="3"/>
      <c r="AI102" s="3"/>
      <c r="AJ102" s="3"/>
      <c r="AK102" s="10">
        <v>11596199</v>
      </c>
      <c r="AL102" s="10">
        <v>258066</v>
      </c>
      <c r="AM102" s="3"/>
      <c r="AN102" s="10">
        <v>495084</v>
      </c>
      <c r="AO102" s="10">
        <v>271</v>
      </c>
      <c r="AP102" s="3"/>
      <c r="AQ102" s="10">
        <v>295335</v>
      </c>
      <c r="AR102" s="10">
        <v>62557</v>
      </c>
      <c r="AS102" s="3"/>
      <c r="AT102" s="3"/>
      <c r="AU102" s="3"/>
      <c r="AV102" s="3"/>
      <c r="AW102" s="3"/>
      <c r="AX102" s="3"/>
      <c r="AY102" s="10">
        <v>13569</v>
      </c>
      <c r="AZ102" s="1">
        <v>844859.54</v>
      </c>
      <c r="BA102" s="1">
        <v>422430</v>
      </c>
      <c r="BB102" s="19"/>
      <c r="BC102" s="15">
        <v>0</v>
      </c>
      <c r="BD102" s="15">
        <v>0</v>
      </c>
      <c r="BE102" s="20">
        <v>1743867</v>
      </c>
      <c r="BF102" s="20">
        <v>1743867</v>
      </c>
      <c r="BG102" s="20">
        <v>9334364</v>
      </c>
      <c r="BH102" s="20">
        <v>9334364</v>
      </c>
      <c r="BI102" s="19"/>
      <c r="BJ102" s="19"/>
      <c r="BK102" s="19"/>
      <c r="BL102" s="5">
        <v>75690145</v>
      </c>
      <c r="BM102" s="5">
        <v>52335219</v>
      </c>
      <c r="BN102" s="15">
        <v>71800</v>
      </c>
      <c r="BO102" s="1"/>
      <c r="BP102" s="1"/>
      <c r="BQ102" s="5"/>
      <c r="BR102" s="5"/>
      <c r="BS102" s="5"/>
    </row>
    <row r="103" spans="1:71" x14ac:dyDescent="0.25">
      <c r="A103" s="6" t="s">
        <v>157</v>
      </c>
      <c r="B103" s="10">
        <v>197621812</v>
      </c>
      <c r="C103" s="10">
        <v>73954560</v>
      </c>
      <c r="D103" s="10">
        <v>57882097</v>
      </c>
      <c r="E103" s="10">
        <v>0</v>
      </c>
      <c r="F103" s="10">
        <v>28901300</v>
      </c>
      <c r="G103" s="10">
        <v>13463350</v>
      </c>
      <c r="H103" s="10">
        <v>11862400</v>
      </c>
      <c r="I103" s="10">
        <v>2034800</v>
      </c>
      <c r="J103" s="10">
        <v>62800</v>
      </c>
      <c r="K103" s="10">
        <v>40400</v>
      </c>
      <c r="L103" s="10">
        <v>70367164</v>
      </c>
      <c r="M103" s="10">
        <v>52111450</v>
      </c>
      <c r="N103" s="10">
        <v>1376</v>
      </c>
      <c r="O103" s="10">
        <v>559</v>
      </c>
      <c r="P103" s="10">
        <v>4917200</v>
      </c>
      <c r="Q103" s="10">
        <v>1344300</v>
      </c>
      <c r="R103" s="10">
        <v>665000</v>
      </c>
      <c r="S103" s="10">
        <v>2964000</v>
      </c>
      <c r="T103" s="10">
        <v>380900</v>
      </c>
      <c r="U103" s="10">
        <v>660100</v>
      </c>
      <c r="V103" s="10">
        <v>4917200</v>
      </c>
      <c r="W103" s="10">
        <v>1444500</v>
      </c>
      <c r="X103" s="10">
        <v>665000</v>
      </c>
      <c r="Y103" s="10">
        <v>2964000</v>
      </c>
      <c r="Z103" s="10">
        <v>394500</v>
      </c>
      <c r="AA103" s="10">
        <v>660100</v>
      </c>
      <c r="AB103" s="10">
        <v>-3422600</v>
      </c>
      <c r="AC103" s="10">
        <v>-5891</v>
      </c>
      <c r="AD103" s="10">
        <v>82175</v>
      </c>
      <c r="AE103" s="10">
        <v>0</v>
      </c>
      <c r="AF103" s="10">
        <v>0</v>
      </c>
      <c r="AG103" s="10">
        <v>0</v>
      </c>
      <c r="AH103" s="3"/>
      <c r="AI103" s="10">
        <v>209969</v>
      </c>
      <c r="AJ103" s="10">
        <v>44273</v>
      </c>
      <c r="AK103" s="10">
        <v>77128457</v>
      </c>
      <c r="AL103" s="10">
        <v>1764811</v>
      </c>
      <c r="AM103" s="3"/>
      <c r="AN103" s="10">
        <v>11267711</v>
      </c>
      <c r="AO103" s="10">
        <v>596171</v>
      </c>
      <c r="AP103" s="10">
        <v>16737224</v>
      </c>
      <c r="AQ103" s="10">
        <v>8321248</v>
      </c>
      <c r="AR103" s="10">
        <v>3400891</v>
      </c>
      <c r="AS103" s="3"/>
      <c r="AT103" s="3"/>
      <c r="AU103" s="3"/>
      <c r="AV103" s="3"/>
      <c r="AW103" s="3"/>
      <c r="AX103" s="10">
        <v>256089</v>
      </c>
      <c r="AY103" s="3"/>
      <c r="AZ103" s="1">
        <v>5619316.5300000003</v>
      </c>
      <c r="BA103" s="1">
        <v>2809658</v>
      </c>
      <c r="BB103" s="19"/>
      <c r="BC103" s="15">
        <v>1458745</v>
      </c>
      <c r="BD103" s="15">
        <v>2917490</v>
      </c>
      <c r="BE103" s="20">
        <v>3590575</v>
      </c>
      <c r="BF103" s="20">
        <v>3590575</v>
      </c>
      <c r="BG103" s="20">
        <v>32903019</v>
      </c>
      <c r="BH103" s="20">
        <v>29633665</v>
      </c>
      <c r="BI103" s="19"/>
      <c r="BJ103" s="19"/>
      <c r="BK103" s="19"/>
      <c r="BL103" s="5">
        <v>466283752</v>
      </c>
      <c r="BM103" s="5">
        <v>349897841</v>
      </c>
      <c r="BN103" s="15">
        <v>539308</v>
      </c>
      <c r="BO103" s="1"/>
      <c r="BP103" s="1"/>
      <c r="BQ103" s="5"/>
      <c r="BR103" s="5"/>
      <c r="BS103" s="5"/>
    </row>
    <row r="104" spans="1:71" x14ac:dyDescent="0.25">
      <c r="A104" s="6" t="s">
        <v>158</v>
      </c>
      <c r="B104" s="10">
        <v>456334451</v>
      </c>
      <c r="C104" s="10">
        <v>89392950</v>
      </c>
      <c r="D104" s="10">
        <v>230175106</v>
      </c>
      <c r="E104" s="10">
        <v>0</v>
      </c>
      <c r="F104" s="10">
        <v>32766275</v>
      </c>
      <c r="G104" s="10">
        <v>8643141</v>
      </c>
      <c r="H104" s="10">
        <v>10271304</v>
      </c>
      <c r="I104" s="10">
        <v>1597950</v>
      </c>
      <c r="J104" s="10">
        <v>155100</v>
      </c>
      <c r="K104" s="10">
        <v>0</v>
      </c>
      <c r="L104" s="10">
        <v>79210816</v>
      </c>
      <c r="M104" s="10">
        <v>0</v>
      </c>
      <c r="N104" s="10">
        <v>1491</v>
      </c>
      <c r="O104" s="10">
        <v>382</v>
      </c>
      <c r="P104" s="10">
        <v>15614694</v>
      </c>
      <c r="Q104" s="10">
        <v>3233142</v>
      </c>
      <c r="R104" s="10">
        <v>6878225</v>
      </c>
      <c r="S104" s="10">
        <v>1600514</v>
      </c>
      <c r="T104" s="10">
        <v>1071475</v>
      </c>
      <c r="U104" s="10">
        <v>910212</v>
      </c>
      <c r="V104" s="10">
        <v>15614694</v>
      </c>
      <c r="W104" s="10">
        <v>3367050</v>
      </c>
      <c r="X104" s="10">
        <v>6878225</v>
      </c>
      <c r="Y104" s="10">
        <v>1600514</v>
      </c>
      <c r="Z104" s="10">
        <v>1223218</v>
      </c>
      <c r="AA104" s="10">
        <v>910212</v>
      </c>
      <c r="AB104" s="10">
        <v>-5116950</v>
      </c>
      <c r="AC104" s="10">
        <v>-33009</v>
      </c>
      <c r="AD104" s="10">
        <v>54248</v>
      </c>
      <c r="AE104" s="10">
        <v>0</v>
      </c>
      <c r="AF104" s="10">
        <v>0</v>
      </c>
      <c r="AG104" s="10">
        <v>74579</v>
      </c>
      <c r="AH104" s="3"/>
      <c r="AI104" s="10">
        <v>70797</v>
      </c>
      <c r="AJ104" s="3"/>
      <c r="AK104" s="10">
        <v>106394762</v>
      </c>
      <c r="AL104" s="10">
        <v>4513134</v>
      </c>
      <c r="AM104" s="10">
        <v>1070864</v>
      </c>
      <c r="AN104" s="10">
        <v>35546538</v>
      </c>
      <c r="AO104" s="10">
        <v>495595</v>
      </c>
      <c r="AP104" s="10">
        <v>59857436</v>
      </c>
      <c r="AQ104" s="10">
        <v>30286879</v>
      </c>
      <c r="AR104" s="10">
        <v>21803915</v>
      </c>
      <c r="AS104" s="10">
        <v>21239902</v>
      </c>
      <c r="AT104" s="10">
        <v>149935</v>
      </c>
      <c r="AU104" s="10">
        <v>229874</v>
      </c>
      <c r="AV104" s="3"/>
      <c r="AW104" s="10">
        <v>5637</v>
      </c>
      <c r="AX104" s="10">
        <v>5171</v>
      </c>
      <c r="AY104" s="10">
        <v>370475</v>
      </c>
      <c r="AZ104" s="1">
        <v>7751559.7800000003</v>
      </c>
      <c r="BA104" s="1">
        <v>3875780</v>
      </c>
      <c r="BB104" s="19"/>
      <c r="BC104" s="15">
        <v>0</v>
      </c>
      <c r="BD104" s="15">
        <v>0</v>
      </c>
      <c r="BE104" s="20">
        <v>15184729</v>
      </c>
      <c r="BF104" s="20">
        <v>15184729</v>
      </c>
      <c r="BG104" s="20">
        <v>40984756</v>
      </c>
      <c r="BH104" s="20">
        <v>40984756</v>
      </c>
      <c r="BI104" s="19"/>
      <c r="BJ104" s="19"/>
      <c r="BK104" s="19"/>
      <c r="BL104" s="5">
        <v>1013255477</v>
      </c>
      <c r="BM104" s="5">
        <v>842302316</v>
      </c>
      <c r="BN104" s="15">
        <v>3459967</v>
      </c>
      <c r="BO104" s="1"/>
      <c r="BP104" s="1"/>
      <c r="BQ104" s="5"/>
      <c r="BR104" s="5"/>
      <c r="BS104" s="5"/>
    </row>
    <row r="105" spans="1:71" x14ac:dyDescent="0.25">
      <c r="A105" s="6" t="s">
        <v>159</v>
      </c>
      <c r="B105" s="10">
        <v>259169420</v>
      </c>
      <c r="C105" s="10">
        <v>287379910</v>
      </c>
      <c r="D105" s="10">
        <v>125721143</v>
      </c>
      <c r="E105" s="10">
        <v>10000000</v>
      </c>
      <c r="F105" s="10">
        <v>23266100</v>
      </c>
      <c r="G105" s="10">
        <v>7289070</v>
      </c>
      <c r="H105" s="10">
        <v>27769815</v>
      </c>
      <c r="I105" s="10">
        <v>6858150</v>
      </c>
      <c r="J105" s="10">
        <v>60800</v>
      </c>
      <c r="K105" s="10">
        <v>120200</v>
      </c>
      <c r="L105" s="10">
        <v>142190555</v>
      </c>
      <c r="M105" s="10">
        <v>0</v>
      </c>
      <c r="N105" s="10">
        <v>1916</v>
      </c>
      <c r="O105" s="10">
        <v>589</v>
      </c>
      <c r="P105" s="10">
        <v>4994250</v>
      </c>
      <c r="Q105" s="10">
        <v>6683700</v>
      </c>
      <c r="R105" s="10">
        <v>1702850</v>
      </c>
      <c r="S105" s="10">
        <v>1663625</v>
      </c>
      <c r="T105" s="10">
        <v>2407075</v>
      </c>
      <c r="U105" s="10">
        <v>2029782</v>
      </c>
      <c r="V105" s="10">
        <v>4994250</v>
      </c>
      <c r="W105" s="10">
        <v>6683700</v>
      </c>
      <c r="X105" s="10">
        <v>1702850</v>
      </c>
      <c r="Y105" s="10">
        <v>1663625</v>
      </c>
      <c r="Z105" s="10">
        <v>2407075</v>
      </c>
      <c r="AA105" s="10">
        <v>2029782</v>
      </c>
      <c r="AB105" s="10">
        <v>-4181757</v>
      </c>
      <c r="AC105" s="10">
        <v>-293681</v>
      </c>
      <c r="AD105" s="10">
        <v>130442</v>
      </c>
      <c r="AE105" s="10">
        <v>0</v>
      </c>
      <c r="AF105" s="10">
        <v>0</v>
      </c>
      <c r="AG105" s="10">
        <v>130442</v>
      </c>
      <c r="AH105" s="10">
        <v>249242</v>
      </c>
      <c r="AI105" s="3"/>
      <c r="AJ105" s="3"/>
      <c r="AK105" s="10">
        <v>92144878</v>
      </c>
      <c r="AL105" s="10">
        <v>17360444</v>
      </c>
      <c r="AM105" s="10">
        <v>17032417</v>
      </c>
      <c r="AN105" s="10">
        <v>30850211</v>
      </c>
      <c r="AO105" s="10">
        <v>400396</v>
      </c>
      <c r="AP105" s="10">
        <v>61510591</v>
      </c>
      <c r="AQ105" s="10">
        <v>26974007</v>
      </c>
      <c r="AR105" s="10">
        <v>56080399</v>
      </c>
      <c r="AS105" s="3"/>
      <c r="AT105" s="3"/>
      <c r="AU105" s="3"/>
      <c r="AV105" s="3"/>
      <c r="AW105" s="3"/>
      <c r="AX105" s="3"/>
      <c r="AY105" s="10">
        <v>7380459</v>
      </c>
      <c r="AZ105" s="1">
        <v>6713361.79</v>
      </c>
      <c r="BA105" s="1">
        <v>3356681</v>
      </c>
      <c r="BB105" s="19"/>
      <c r="BC105" s="15">
        <v>0</v>
      </c>
      <c r="BD105" s="15">
        <v>0</v>
      </c>
      <c r="BE105" s="20">
        <v>680013</v>
      </c>
      <c r="BF105" s="20">
        <v>680013</v>
      </c>
      <c r="BG105" s="20">
        <v>42979336</v>
      </c>
      <c r="BH105" s="20">
        <v>42979336</v>
      </c>
      <c r="BI105" s="19"/>
      <c r="BJ105" s="19"/>
      <c r="BK105" s="19"/>
      <c r="BL105" s="5">
        <v>887265681</v>
      </c>
      <c r="BM105" s="5">
        <v>730744329</v>
      </c>
      <c r="BN105" s="15">
        <v>4910000</v>
      </c>
      <c r="BO105" s="1"/>
      <c r="BP105" s="1"/>
      <c r="BQ105" s="5"/>
      <c r="BR105" s="5"/>
      <c r="BS105" s="5"/>
    </row>
    <row r="106" spans="1:71" x14ac:dyDescent="0.25">
      <c r="A106" s="6" t="s">
        <v>160</v>
      </c>
      <c r="B106" s="10">
        <v>1951957089</v>
      </c>
      <c r="C106" s="10">
        <v>263743989</v>
      </c>
      <c r="D106" s="10">
        <v>765301667</v>
      </c>
      <c r="E106" s="10">
        <v>795000000</v>
      </c>
      <c r="F106" s="10">
        <v>45578707</v>
      </c>
      <c r="G106" s="10">
        <v>7256025</v>
      </c>
      <c r="H106" s="10">
        <v>8469472</v>
      </c>
      <c r="I106" s="10">
        <v>742100</v>
      </c>
      <c r="J106" s="10">
        <v>0</v>
      </c>
      <c r="K106" s="10">
        <v>0</v>
      </c>
      <c r="L106" s="10">
        <v>434465169</v>
      </c>
      <c r="M106" s="10">
        <v>0</v>
      </c>
      <c r="N106" s="10">
        <v>1750</v>
      </c>
      <c r="O106" s="10">
        <v>264</v>
      </c>
      <c r="P106" s="10">
        <v>159124489</v>
      </c>
      <c r="Q106" s="10">
        <v>12603048</v>
      </c>
      <c r="R106" s="10">
        <v>10640049</v>
      </c>
      <c r="S106" s="10">
        <v>5956941</v>
      </c>
      <c r="T106" s="10">
        <v>2367310</v>
      </c>
      <c r="U106" s="10">
        <v>2093024</v>
      </c>
      <c r="V106" s="10">
        <v>159124489</v>
      </c>
      <c r="W106" s="10">
        <v>13533647</v>
      </c>
      <c r="X106" s="10">
        <v>10640049</v>
      </c>
      <c r="Y106" s="10">
        <v>5956941</v>
      </c>
      <c r="Z106" s="10">
        <v>9411603</v>
      </c>
      <c r="AA106" s="10">
        <v>2093024</v>
      </c>
      <c r="AB106" s="10">
        <v>-11399165</v>
      </c>
      <c r="AC106" s="10">
        <v>-7361</v>
      </c>
      <c r="AD106" s="10">
        <v>0</v>
      </c>
      <c r="AE106" s="10">
        <v>0</v>
      </c>
      <c r="AF106" s="10">
        <v>0</v>
      </c>
      <c r="AG106" s="10">
        <v>153220</v>
      </c>
      <c r="AH106" s="3"/>
      <c r="AI106" s="10">
        <v>724391</v>
      </c>
      <c r="AJ106" s="3"/>
      <c r="AK106" s="10">
        <v>295909904</v>
      </c>
      <c r="AL106" s="10">
        <v>5713060</v>
      </c>
      <c r="AM106" s="3"/>
      <c r="AN106" s="10">
        <v>84818231</v>
      </c>
      <c r="AO106" s="10">
        <v>7029858</v>
      </c>
      <c r="AP106" s="10">
        <v>184109845</v>
      </c>
      <c r="AQ106" s="10">
        <v>91340669</v>
      </c>
      <c r="AR106" s="10">
        <v>90556555</v>
      </c>
      <c r="AS106" s="10">
        <v>34483394</v>
      </c>
      <c r="AT106" s="10">
        <v>1237877811</v>
      </c>
      <c r="AU106" s="3"/>
      <c r="AV106" s="3"/>
      <c r="AW106" s="10">
        <v>19447</v>
      </c>
      <c r="AX106" s="10">
        <v>3671143</v>
      </c>
      <c r="AY106" s="10">
        <v>7689736</v>
      </c>
      <c r="AZ106" s="1">
        <v>21558987.190000001</v>
      </c>
      <c r="BA106" s="1">
        <v>10779494</v>
      </c>
      <c r="BB106" s="19"/>
      <c r="BC106" s="15">
        <v>2244196</v>
      </c>
      <c r="BD106" s="15">
        <v>4488391</v>
      </c>
      <c r="BE106" s="20">
        <v>46153062</v>
      </c>
      <c r="BF106" s="20">
        <v>46113204</v>
      </c>
      <c r="BG106" s="20">
        <v>64464914</v>
      </c>
      <c r="BH106" s="20">
        <v>57033201</v>
      </c>
      <c r="BI106" s="19"/>
      <c r="BJ106" s="19"/>
      <c r="BK106" s="19"/>
      <c r="BL106" s="5">
        <v>3582708953</v>
      </c>
      <c r="BM106" s="5">
        <v>3164915894</v>
      </c>
      <c r="BN106" s="15">
        <v>3801548</v>
      </c>
      <c r="BO106" s="1"/>
      <c r="BP106" s="1"/>
      <c r="BQ106" s="5"/>
      <c r="BR106" s="5"/>
      <c r="BS106" s="5"/>
    </row>
    <row r="107" spans="1:71" x14ac:dyDescent="0.25">
      <c r="A107" s="6" t="s">
        <v>161</v>
      </c>
      <c r="B107" s="10">
        <v>1619844827</v>
      </c>
      <c r="C107" s="10">
        <v>402755147</v>
      </c>
      <c r="D107" s="10">
        <v>430793318</v>
      </c>
      <c r="E107" s="10">
        <v>0</v>
      </c>
      <c r="F107" s="10">
        <v>54144308</v>
      </c>
      <c r="G107" s="10">
        <v>4781800</v>
      </c>
      <c r="H107" s="10">
        <v>13376000</v>
      </c>
      <c r="I107" s="10">
        <v>581100</v>
      </c>
      <c r="J107" s="10">
        <v>31400</v>
      </c>
      <c r="K107" s="10">
        <v>0</v>
      </c>
      <c r="L107" s="10">
        <v>630735570</v>
      </c>
      <c r="M107" s="10">
        <v>249080628</v>
      </c>
      <c r="N107" s="10">
        <v>2172</v>
      </c>
      <c r="O107" s="10">
        <v>172</v>
      </c>
      <c r="P107" s="10">
        <v>57875866</v>
      </c>
      <c r="Q107" s="10">
        <v>5776250</v>
      </c>
      <c r="R107" s="10">
        <v>6022250</v>
      </c>
      <c r="S107" s="10">
        <v>4589666</v>
      </c>
      <c r="T107" s="10">
        <v>3377926</v>
      </c>
      <c r="U107" s="10">
        <v>8058782</v>
      </c>
      <c r="V107" s="10">
        <v>57875866</v>
      </c>
      <c r="W107" s="10">
        <v>7506466</v>
      </c>
      <c r="X107" s="10">
        <v>6022250</v>
      </c>
      <c r="Y107" s="10">
        <v>4590666</v>
      </c>
      <c r="Z107" s="10">
        <v>3832650</v>
      </c>
      <c r="AA107" s="10">
        <v>8058782</v>
      </c>
      <c r="AB107" s="10">
        <v>-10983978</v>
      </c>
      <c r="AC107" s="10">
        <v>-4122637</v>
      </c>
      <c r="AD107" s="10">
        <v>145</v>
      </c>
      <c r="AE107" s="10">
        <v>0</v>
      </c>
      <c r="AF107" s="10">
        <v>3712425</v>
      </c>
      <c r="AG107" s="10">
        <v>230032</v>
      </c>
      <c r="AH107" s="3"/>
      <c r="AI107" s="3"/>
      <c r="AJ107" s="3"/>
      <c r="AK107" s="10">
        <v>251785718</v>
      </c>
      <c r="AL107" s="10">
        <v>5255217</v>
      </c>
      <c r="AM107" s="3"/>
      <c r="AN107" s="10">
        <v>90664349</v>
      </c>
      <c r="AO107" s="10">
        <v>5978545</v>
      </c>
      <c r="AP107" s="10">
        <v>323346091</v>
      </c>
      <c r="AQ107" s="10">
        <v>73432543</v>
      </c>
      <c r="AR107" s="10">
        <v>97668194</v>
      </c>
      <c r="AS107" s="10">
        <v>32439304</v>
      </c>
      <c r="AT107" s="10">
        <v>1337637</v>
      </c>
      <c r="AU107" s="3"/>
      <c r="AV107" s="10">
        <v>45375</v>
      </c>
      <c r="AW107" s="10">
        <v>1451428</v>
      </c>
      <c r="AX107" s="10">
        <v>790089</v>
      </c>
      <c r="AY107" s="10">
        <v>633500</v>
      </c>
      <c r="AZ107" s="1">
        <v>18344249.359999999</v>
      </c>
      <c r="BA107" s="1">
        <v>9172125</v>
      </c>
      <c r="BB107" s="19"/>
      <c r="BC107" s="15">
        <v>1621190</v>
      </c>
      <c r="BD107" s="15">
        <v>3242380</v>
      </c>
      <c r="BE107" s="20">
        <v>38391664</v>
      </c>
      <c r="BF107" s="20">
        <v>37775708</v>
      </c>
      <c r="BG107" s="20">
        <v>62047005</v>
      </c>
      <c r="BH107" s="20">
        <v>55682180</v>
      </c>
      <c r="BI107" s="19"/>
      <c r="BJ107" s="19"/>
      <c r="BK107" s="19"/>
      <c r="BL107" s="5">
        <v>2984760867</v>
      </c>
      <c r="BM107" s="5">
        <v>2623468729</v>
      </c>
      <c r="BN107" s="15">
        <v>1910564</v>
      </c>
      <c r="BO107" s="1"/>
      <c r="BP107" s="1"/>
      <c r="BQ107" s="5"/>
      <c r="BR107" s="5"/>
      <c r="BS107" s="5"/>
    </row>
    <row r="108" spans="1:71" x14ac:dyDescent="0.25">
      <c r="A108" s="6" t="s">
        <v>162</v>
      </c>
      <c r="B108" s="10">
        <v>474159764</v>
      </c>
      <c r="C108" s="10">
        <v>121684420</v>
      </c>
      <c r="D108" s="10">
        <v>277149548</v>
      </c>
      <c r="E108" s="10">
        <v>0</v>
      </c>
      <c r="F108" s="10">
        <v>34511044</v>
      </c>
      <c r="G108" s="10">
        <v>4129500</v>
      </c>
      <c r="H108" s="10">
        <v>5328800</v>
      </c>
      <c r="I108" s="10">
        <v>408200</v>
      </c>
      <c r="J108" s="10">
        <v>0</v>
      </c>
      <c r="K108" s="10">
        <v>0</v>
      </c>
      <c r="L108" s="10">
        <v>234200679</v>
      </c>
      <c r="M108" s="10">
        <v>67987795</v>
      </c>
      <c r="N108" s="10">
        <v>1303</v>
      </c>
      <c r="O108" s="10">
        <v>154</v>
      </c>
      <c r="P108" s="10">
        <v>15611402</v>
      </c>
      <c r="Q108" s="10">
        <v>3520500</v>
      </c>
      <c r="R108" s="10">
        <v>15486635</v>
      </c>
      <c r="S108" s="10">
        <v>3511081</v>
      </c>
      <c r="T108" s="10">
        <v>1143250</v>
      </c>
      <c r="U108" s="10">
        <v>6569996</v>
      </c>
      <c r="V108" s="10">
        <v>15611402</v>
      </c>
      <c r="W108" s="10">
        <v>8537494</v>
      </c>
      <c r="X108" s="10">
        <v>15486635</v>
      </c>
      <c r="Y108" s="10">
        <v>3511081</v>
      </c>
      <c r="Z108" s="10">
        <v>1684088</v>
      </c>
      <c r="AA108" s="10">
        <v>6569996</v>
      </c>
      <c r="AB108" s="10">
        <v>-6960694</v>
      </c>
      <c r="AC108" s="10">
        <v>-36466</v>
      </c>
      <c r="AD108" s="10">
        <v>0</v>
      </c>
      <c r="AE108" s="10">
        <v>0</v>
      </c>
      <c r="AF108" s="10">
        <v>0</v>
      </c>
      <c r="AG108" s="10">
        <v>131829</v>
      </c>
      <c r="AH108" s="10">
        <v>92516</v>
      </c>
      <c r="AI108" s="10">
        <v>108836</v>
      </c>
      <c r="AJ108" s="3"/>
      <c r="AK108" s="10">
        <v>93904504</v>
      </c>
      <c r="AL108" s="10">
        <v>2030175</v>
      </c>
      <c r="AM108" s="3"/>
      <c r="AN108" s="10">
        <v>37851877</v>
      </c>
      <c r="AO108" s="10">
        <v>8505573</v>
      </c>
      <c r="AP108" s="10">
        <v>179496715</v>
      </c>
      <c r="AQ108" s="10">
        <v>41182003</v>
      </c>
      <c r="AR108" s="10">
        <v>59788395</v>
      </c>
      <c r="AS108" s="10">
        <v>26695715</v>
      </c>
      <c r="AT108" s="10">
        <v>15111588</v>
      </c>
      <c r="AU108" s="3"/>
      <c r="AV108" s="10">
        <v>15791</v>
      </c>
      <c r="AW108" s="10">
        <v>3202636</v>
      </c>
      <c r="AX108" s="10">
        <v>105132</v>
      </c>
      <c r="AY108" s="10">
        <v>158200</v>
      </c>
      <c r="AZ108" s="1">
        <v>6841562.1500000004</v>
      </c>
      <c r="BA108" s="1">
        <v>3420781</v>
      </c>
      <c r="BB108" s="19"/>
      <c r="BC108" s="15">
        <v>523875</v>
      </c>
      <c r="BD108" s="15">
        <v>1047750</v>
      </c>
      <c r="BE108" s="20">
        <v>8810150</v>
      </c>
      <c r="BF108" s="20">
        <v>8810150</v>
      </c>
      <c r="BG108" s="20">
        <v>21670586</v>
      </c>
      <c r="BH108" s="20">
        <v>19720798</v>
      </c>
      <c r="BI108" s="19"/>
      <c r="BJ108" s="19">
        <v>3953681</v>
      </c>
      <c r="BK108" s="19"/>
      <c r="BL108" s="5">
        <v>1093098501</v>
      </c>
      <c r="BM108" s="5">
        <v>960734537</v>
      </c>
      <c r="BN108" s="15">
        <v>1675216</v>
      </c>
      <c r="BO108" s="1"/>
      <c r="BP108" s="1"/>
      <c r="BQ108" s="5"/>
      <c r="BR108" s="5"/>
      <c r="BS108" s="5"/>
    </row>
    <row r="109" spans="1:71" x14ac:dyDescent="0.25">
      <c r="A109" s="6" t="s">
        <v>163</v>
      </c>
      <c r="B109" s="10">
        <v>754264004</v>
      </c>
      <c r="C109" s="10">
        <v>132175737</v>
      </c>
      <c r="D109" s="10">
        <v>45293165</v>
      </c>
      <c r="E109" s="10">
        <v>0</v>
      </c>
      <c r="F109" s="10">
        <v>17966200</v>
      </c>
      <c r="G109" s="10">
        <v>5629700</v>
      </c>
      <c r="H109" s="10">
        <v>5034771</v>
      </c>
      <c r="I109" s="10">
        <v>627100</v>
      </c>
      <c r="J109" s="10">
        <v>0</v>
      </c>
      <c r="K109" s="10">
        <v>0</v>
      </c>
      <c r="L109" s="10">
        <v>81765504</v>
      </c>
      <c r="M109" s="10">
        <v>69006658</v>
      </c>
      <c r="N109" s="10">
        <v>751</v>
      </c>
      <c r="O109" s="10">
        <v>208</v>
      </c>
      <c r="P109" s="10">
        <v>64001748</v>
      </c>
      <c r="Q109" s="10">
        <v>8029101</v>
      </c>
      <c r="R109" s="10">
        <v>4576100</v>
      </c>
      <c r="S109" s="10">
        <v>5681636</v>
      </c>
      <c r="T109" s="10">
        <v>1608840</v>
      </c>
      <c r="U109" s="10">
        <v>172000</v>
      </c>
      <c r="V109" s="10">
        <v>64001748</v>
      </c>
      <c r="W109" s="10">
        <v>9177101</v>
      </c>
      <c r="X109" s="10">
        <v>4576100</v>
      </c>
      <c r="Y109" s="10">
        <v>5681636</v>
      </c>
      <c r="Z109" s="10">
        <v>2263690</v>
      </c>
      <c r="AA109" s="10">
        <v>172000</v>
      </c>
      <c r="AB109" s="10">
        <v>-5299639</v>
      </c>
      <c r="AC109" s="10">
        <v>-50961</v>
      </c>
      <c r="AD109" s="10">
        <v>22041</v>
      </c>
      <c r="AE109" s="10">
        <v>0</v>
      </c>
      <c r="AF109" s="10">
        <v>148154768</v>
      </c>
      <c r="AG109" s="10">
        <v>87495</v>
      </c>
      <c r="AH109" s="3"/>
      <c r="AI109" s="3"/>
      <c r="AJ109" s="3"/>
      <c r="AK109" s="10">
        <v>99970104</v>
      </c>
      <c r="AL109" s="10">
        <v>5822123</v>
      </c>
      <c r="AM109" s="10">
        <v>913952</v>
      </c>
      <c r="AN109" s="10">
        <v>8838781</v>
      </c>
      <c r="AO109" s="10">
        <v>29344</v>
      </c>
      <c r="AP109" s="10">
        <v>361346</v>
      </c>
      <c r="AQ109" s="10">
        <v>2178822</v>
      </c>
      <c r="AR109" s="10">
        <v>106389</v>
      </c>
      <c r="AS109" s="3"/>
      <c r="AT109" s="10">
        <v>557963</v>
      </c>
      <c r="AU109" s="3"/>
      <c r="AV109" s="3"/>
      <c r="AW109" s="3"/>
      <c r="AX109" s="10">
        <v>18734</v>
      </c>
      <c r="AY109" s="10">
        <v>18531</v>
      </c>
      <c r="AZ109" s="1">
        <v>7283481.0899999999</v>
      </c>
      <c r="BA109" s="1">
        <v>3641741</v>
      </c>
      <c r="BB109" s="19"/>
      <c r="BC109" s="15">
        <v>0</v>
      </c>
      <c r="BD109" s="15">
        <v>0</v>
      </c>
      <c r="BE109" s="20">
        <v>220640</v>
      </c>
      <c r="BF109" s="20">
        <v>220640</v>
      </c>
      <c r="BG109" s="20">
        <v>13681139</v>
      </c>
      <c r="BH109" s="20">
        <v>13681139</v>
      </c>
      <c r="BI109" s="19"/>
      <c r="BJ109" s="19"/>
      <c r="BK109" s="19"/>
      <c r="BL109" s="5">
        <v>1066115600</v>
      </c>
      <c r="BM109" s="5">
        <v>942779853</v>
      </c>
      <c r="BN109" s="15">
        <v>125000</v>
      </c>
      <c r="BO109" s="1"/>
      <c r="BP109" s="1"/>
      <c r="BQ109" s="5"/>
      <c r="BR109" s="5"/>
      <c r="BS109" s="5"/>
    </row>
    <row r="110" spans="1:71" x14ac:dyDescent="0.25">
      <c r="A110" s="6" t="s">
        <v>164</v>
      </c>
      <c r="B110" s="10">
        <v>510967064</v>
      </c>
      <c r="C110" s="10">
        <v>115539064</v>
      </c>
      <c r="D110" s="10">
        <v>237987756</v>
      </c>
      <c r="E110" s="10">
        <v>0</v>
      </c>
      <c r="F110" s="10">
        <v>49467885</v>
      </c>
      <c r="G110" s="10">
        <v>17822025</v>
      </c>
      <c r="H110" s="10">
        <v>10619425</v>
      </c>
      <c r="I110" s="10">
        <v>2015855</v>
      </c>
      <c r="J110" s="10">
        <v>157000</v>
      </c>
      <c r="K110" s="10">
        <v>56400</v>
      </c>
      <c r="L110" s="10">
        <v>218251647</v>
      </c>
      <c r="M110" s="10">
        <v>78613235</v>
      </c>
      <c r="N110" s="10">
        <v>1990</v>
      </c>
      <c r="O110" s="10">
        <v>698</v>
      </c>
      <c r="P110" s="10">
        <v>10540440</v>
      </c>
      <c r="Q110" s="10">
        <v>2207550</v>
      </c>
      <c r="R110" s="10">
        <v>7099000</v>
      </c>
      <c r="S110" s="10">
        <v>1980588</v>
      </c>
      <c r="T110" s="10">
        <v>153720</v>
      </c>
      <c r="U110" s="10">
        <v>2111600</v>
      </c>
      <c r="V110" s="10">
        <v>10540440</v>
      </c>
      <c r="W110" s="10">
        <v>665700</v>
      </c>
      <c r="X110" s="10">
        <v>7099000</v>
      </c>
      <c r="Y110" s="10">
        <v>1980588</v>
      </c>
      <c r="Z110" s="10">
        <v>363100</v>
      </c>
      <c r="AA110" s="10">
        <v>2111600</v>
      </c>
      <c r="AB110" s="10">
        <v>-2868460</v>
      </c>
      <c r="AC110" s="10">
        <v>-241878</v>
      </c>
      <c r="AD110" s="10">
        <v>52382</v>
      </c>
      <c r="AE110" s="10">
        <v>0</v>
      </c>
      <c r="AF110" s="10">
        <v>0</v>
      </c>
      <c r="AG110" s="10">
        <v>138273</v>
      </c>
      <c r="AH110" s="3"/>
      <c r="AI110" s="10">
        <v>45055</v>
      </c>
      <c r="AJ110" s="3"/>
      <c r="AK110" s="10">
        <v>115779688</v>
      </c>
      <c r="AL110" s="10">
        <v>3974558</v>
      </c>
      <c r="AM110" s="10">
        <v>6861058</v>
      </c>
      <c r="AN110" s="10">
        <v>62445127</v>
      </c>
      <c r="AO110" s="10">
        <v>700588</v>
      </c>
      <c r="AP110" s="10">
        <v>43735072</v>
      </c>
      <c r="AQ110" s="10">
        <v>41325653</v>
      </c>
      <c r="AR110" s="10">
        <v>28989031</v>
      </c>
      <c r="AS110" s="10">
        <v>98202211</v>
      </c>
      <c r="AT110" s="10">
        <v>179919</v>
      </c>
      <c r="AU110" s="3"/>
      <c r="AV110" s="10">
        <v>10278</v>
      </c>
      <c r="AW110" s="10">
        <v>49870</v>
      </c>
      <c r="AX110" s="10">
        <v>121892</v>
      </c>
      <c r="AY110" s="10">
        <v>512000</v>
      </c>
      <c r="AZ110" s="1">
        <v>8435313.5099999998</v>
      </c>
      <c r="BA110" s="1">
        <v>4217657</v>
      </c>
      <c r="BB110" s="19"/>
      <c r="BC110" s="15">
        <v>0</v>
      </c>
      <c r="BD110" s="15">
        <v>0</v>
      </c>
      <c r="BE110" s="20">
        <v>11251582</v>
      </c>
      <c r="BF110" s="20">
        <v>11251582</v>
      </c>
      <c r="BG110" s="20">
        <v>38505094</v>
      </c>
      <c r="BH110" s="20">
        <v>38503273</v>
      </c>
      <c r="BI110" s="19"/>
      <c r="BJ110" s="19"/>
      <c r="BK110" s="19"/>
      <c r="BL110" s="5">
        <v>1142737065</v>
      </c>
      <c r="BM110" s="5">
        <v>969010307</v>
      </c>
      <c r="BN110" s="15">
        <v>1476000</v>
      </c>
      <c r="BO110" s="1"/>
      <c r="BP110" s="1"/>
      <c r="BQ110" s="5"/>
      <c r="BR110" s="5"/>
      <c r="BS110" s="5"/>
    </row>
    <row r="111" spans="1:71" x14ac:dyDescent="0.25">
      <c r="A111" s="6" t="s">
        <v>165</v>
      </c>
      <c r="B111" s="10">
        <v>170397521</v>
      </c>
      <c r="C111" s="10">
        <v>128262606</v>
      </c>
      <c r="D111" s="10">
        <v>52821669</v>
      </c>
      <c r="E111" s="10">
        <v>0</v>
      </c>
      <c r="F111" s="10">
        <v>21834497</v>
      </c>
      <c r="G111" s="10">
        <v>3472240</v>
      </c>
      <c r="H111" s="10">
        <v>8466872</v>
      </c>
      <c r="I111" s="10">
        <v>336400</v>
      </c>
      <c r="J111" s="10">
        <v>0</v>
      </c>
      <c r="K111" s="10">
        <v>0</v>
      </c>
      <c r="L111" s="10">
        <v>239733175</v>
      </c>
      <c r="M111" s="10">
        <v>48464849</v>
      </c>
      <c r="N111" s="10">
        <v>1031</v>
      </c>
      <c r="O111" s="10">
        <v>136</v>
      </c>
      <c r="P111" s="10">
        <v>4473928</v>
      </c>
      <c r="Q111" s="10">
        <v>2780515</v>
      </c>
      <c r="R111" s="10">
        <v>2165420</v>
      </c>
      <c r="S111" s="10">
        <v>574204</v>
      </c>
      <c r="T111" s="10">
        <v>0</v>
      </c>
      <c r="U111" s="10">
        <v>2149980</v>
      </c>
      <c r="V111" s="10">
        <v>4473928</v>
      </c>
      <c r="W111" s="10">
        <v>2780515</v>
      </c>
      <c r="X111" s="10">
        <v>2165420</v>
      </c>
      <c r="Y111" s="10">
        <v>574204</v>
      </c>
      <c r="Z111" s="10">
        <v>35051</v>
      </c>
      <c r="AA111" s="10">
        <v>2149980</v>
      </c>
      <c r="AB111" s="10">
        <v>-1396300</v>
      </c>
      <c r="AC111" s="10">
        <v>0</v>
      </c>
      <c r="AD111" s="10">
        <v>70972</v>
      </c>
      <c r="AE111" s="10">
        <v>111959</v>
      </c>
      <c r="AF111" s="10">
        <v>76515733</v>
      </c>
      <c r="AG111" s="10">
        <v>230352</v>
      </c>
      <c r="AH111" s="10">
        <v>190242</v>
      </c>
      <c r="AI111" s="10">
        <v>3891</v>
      </c>
      <c r="AJ111" s="3"/>
      <c r="AK111" s="10">
        <v>55419955</v>
      </c>
      <c r="AL111" s="10">
        <v>976165</v>
      </c>
      <c r="AM111" s="3"/>
      <c r="AN111" s="10">
        <v>9105022</v>
      </c>
      <c r="AO111" s="10">
        <v>41773</v>
      </c>
      <c r="AP111" s="10">
        <v>7604600</v>
      </c>
      <c r="AQ111" s="10">
        <v>5354672</v>
      </c>
      <c r="AR111" s="10">
        <v>6116639</v>
      </c>
      <c r="AS111" s="10">
        <v>545719</v>
      </c>
      <c r="AT111" s="10">
        <v>6388002</v>
      </c>
      <c r="AU111" s="3"/>
      <c r="AV111" s="10">
        <v>3842</v>
      </c>
      <c r="AW111" s="10">
        <v>3082709</v>
      </c>
      <c r="AX111" s="10">
        <v>7517</v>
      </c>
      <c r="AY111" s="3"/>
      <c r="AZ111" s="1">
        <v>4037709.06</v>
      </c>
      <c r="BA111" s="1">
        <v>2018855</v>
      </c>
      <c r="BB111" s="19"/>
      <c r="BC111" s="15">
        <v>804264</v>
      </c>
      <c r="BD111" s="15">
        <v>1608527</v>
      </c>
      <c r="BE111" s="20">
        <v>6364174</v>
      </c>
      <c r="BF111" s="20">
        <v>6364174</v>
      </c>
      <c r="BG111" s="20">
        <v>41896238</v>
      </c>
      <c r="BH111" s="20">
        <v>29714831</v>
      </c>
      <c r="BI111" s="19"/>
      <c r="BJ111" s="19"/>
      <c r="BK111" s="19"/>
      <c r="BL111" s="5">
        <v>461475640</v>
      </c>
      <c r="BM111" s="5">
        <v>366177396</v>
      </c>
      <c r="BN111" s="15">
        <v>689572</v>
      </c>
      <c r="BO111" s="1"/>
      <c r="BP111" s="1"/>
      <c r="BQ111" s="5"/>
      <c r="BR111" s="5"/>
      <c r="BS111" s="5"/>
    </row>
    <row r="112" spans="1:71" x14ac:dyDescent="0.25">
      <c r="A112" s="6" t="s">
        <v>166</v>
      </c>
      <c r="B112" s="10">
        <v>500669820</v>
      </c>
      <c r="C112" s="10">
        <v>79032617</v>
      </c>
      <c r="D112" s="10">
        <v>72274183</v>
      </c>
      <c r="E112" s="10">
        <v>0</v>
      </c>
      <c r="F112" s="10">
        <v>37364910</v>
      </c>
      <c r="G112" s="10">
        <v>7740240</v>
      </c>
      <c r="H112" s="10">
        <v>5464773</v>
      </c>
      <c r="I112" s="10">
        <v>500749</v>
      </c>
      <c r="J112" s="10">
        <v>81800</v>
      </c>
      <c r="K112" s="10">
        <v>0</v>
      </c>
      <c r="L112" s="10">
        <v>311926474</v>
      </c>
      <c r="M112" s="10">
        <v>44914163</v>
      </c>
      <c r="N112" s="10">
        <v>1460</v>
      </c>
      <c r="O112" s="10">
        <v>285</v>
      </c>
      <c r="P112" s="10">
        <v>32183267</v>
      </c>
      <c r="Q112" s="10">
        <v>2554784</v>
      </c>
      <c r="R112" s="10">
        <v>1349800</v>
      </c>
      <c r="S112" s="10">
        <v>2949464</v>
      </c>
      <c r="T112" s="10">
        <v>85000</v>
      </c>
      <c r="U112" s="10">
        <v>360335</v>
      </c>
      <c r="V112" s="10">
        <v>32183267</v>
      </c>
      <c r="W112" s="10">
        <v>2554784</v>
      </c>
      <c r="X112" s="10">
        <v>1349800</v>
      </c>
      <c r="Y112" s="10">
        <v>2949464</v>
      </c>
      <c r="Z112" s="10">
        <v>266320</v>
      </c>
      <c r="AA112" s="10">
        <v>360335</v>
      </c>
      <c r="AB112" s="10">
        <v>-3824282</v>
      </c>
      <c r="AC112" s="10">
        <v>235300</v>
      </c>
      <c r="AD112" s="10">
        <v>67253</v>
      </c>
      <c r="AE112" s="10">
        <v>0</v>
      </c>
      <c r="AF112" s="10">
        <v>0</v>
      </c>
      <c r="AG112" s="10">
        <v>1131</v>
      </c>
      <c r="AH112" s="3"/>
      <c r="AI112" s="10">
        <v>101945</v>
      </c>
      <c r="AJ112" s="3"/>
      <c r="AK112" s="10">
        <v>88028882</v>
      </c>
      <c r="AL112" s="10">
        <v>12364009</v>
      </c>
      <c r="AM112" s="10">
        <v>1038740</v>
      </c>
      <c r="AN112" s="10">
        <v>9338453</v>
      </c>
      <c r="AO112" s="10">
        <v>393140</v>
      </c>
      <c r="AP112" s="10">
        <v>61864977</v>
      </c>
      <c r="AQ112" s="10">
        <v>11939497</v>
      </c>
      <c r="AR112" s="10">
        <v>14426270</v>
      </c>
      <c r="AS112" s="10">
        <v>967143</v>
      </c>
      <c r="AT112" s="10">
        <v>135713</v>
      </c>
      <c r="AU112" s="3"/>
      <c r="AV112" s="3"/>
      <c r="AW112" s="10">
        <v>154842000</v>
      </c>
      <c r="AX112" s="10">
        <v>26662</v>
      </c>
      <c r="AY112" s="3"/>
      <c r="AZ112" s="1">
        <v>6413484.3499999996</v>
      </c>
      <c r="BA112" s="1">
        <v>3206742</v>
      </c>
      <c r="BB112" s="19">
        <v>12417762</v>
      </c>
      <c r="BC112" s="15">
        <v>0</v>
      </c>
      <c r="BD112" s="15">
        <v>0</v>
      </c>
      <c r="BE112" s="20">
        <v>3686035</v>
      </c>
      <c r="BF112" s="20">
        <v>3686035</v>
      </c>
      <c r="BG112" s="20">
        <v>18058290</v>
      </c>
      <c r="BH112" s="20">
        <v>18056492</v>
      </c>
      <c r="BI112" s="19"/>
      <c r="BJ112" s="19"/>
      <c r="BK112" s="19"/>
      <c r="BL112" s="5">
        <v>799091815</v>
      </c>
      <c r="BM112" s="5">
        <v>673749655</v>
      </c>
      <c r="BN112" s="15">
        <v>514570</v>
      </c>
      <c r="BO112" s="1"/>
      <c r="BP112" s="1"/>
      <c r="BQ112" s="5"/>
      <c r="BR112" s="5"/>
      <c r="BS112" s="5"/>
    </row>
    <row r="113" spans="1:71" x14ac:dyDescent="0.25">
      <c r="A113" s="6" t="s">
        <v>167</v>
      </c>
      <c r="B113" s="10">
        <v>183959100</v>
      </c>
      <c r="C113" s="10">
        <v>76773500</v>
      </c>
      <c r="D113" s="10">
        <v>15669700</v>
      </c>
      <c r="E113" s="10">
        <v>0</v>
      </c>
      <c r="F113" s="10">
        <v>11825600</v>
      </c>
      <c r="G113" s="10">
        <v>3504300</v>
      </c>
      <c r="H113" s="10">
        <v>4862000</v>
      </c>
      <c r="I113" s="10">
        <v>737200</v>
      </c>
      <c r="J113" s="10">
        <v>0</v>
      </c>
      <c r="K113" s="10">
        <v>0</v>
      </c>
      <c r="L113" s="10">
        <v>99856100</v>
      </c>
      <c r="M113" s="10">
        <v>50127000</v>
      </c>
      <c r="N113" s="10">
        <v>554</v>
      </c>
      <c r="O113" s="10">
        <v>147</v>
      </c>
      <c r="P113" s="10">
        <v>5488300</v>
      </c>
      <c r="Q113" s="10">
        <v>2433800</v>
      </c>
      <c r="R113" s="10">
        <v>265500</v>
      </c>
      <c r="S113" s="10">
        <v>2180525</v>
      </c>
      <c r="T113" s="10">
        <v>383100</v>
      </c>
      <c r="U113" s="10">
        <v>40700</v>
      </c>
      <c r="V113" s="10">
        <v>5488300</v>
      </c>
      <c r="W113" s="10">
        <v>2562500</v>
      </c>
      <c r="X113" s="10">
        <v>265500</v>
      </c>
      <c r="Y113" s="10">
        <v>2180525</v>
      </c>
      <c r="Z113" s="10">
        <v>649500</v>
      </c>
      <c r="AA113" s="10">
        <v>40700</v>
      </c>
      <c r="AB113" s="10">
        <v>-1012600</v>
      </c>
      <c r="AC113" s="10">
        <v>-56521</v>
      </c>
      <c r="AD113" s="10">
        <v>41395</v>
      </c>
      <c r="AE113" s="10">
        <v>87621</v>
      </c>
      <c r="AF113" s="10">
        <v>35555700</v>
      </c>
      <c r="AG113" s="10">
        <v>82735</v>
      </c>
      <c r="AH113" s="3"/>
      <c r="AI113" s="10">
        <v>40734</v>
      </c>
      <c r="AJ113" s="3"/>
      <c r="AK113" s="10">
        <v>51842171</v>
      </c>
      <c r="AL113" s="10">
        <v>1397016</v>
      </c>
      <c r="AM113" s="10">
        <v>64636</v>
      </c>
      <c r="AN113" s="10">
        <v>5606834</v>
      </c>
      <c r="AO113" s="10">
        <v>29850</v>
      </c>
      <c r="AP113" s="10">
        <v>115739</v>
      </c>
      <c r="AQ113" s="10">
        <v>1599463</v>
      </c>
      <c r="AR113" s="10">
        <v>256427</v>
      </c>
      <c r="AS113" s="3"/>
      <c r="AT113" s="10">
        <v>30300</v>
      </c>
      <c r="AU113" s="3"/>
      <c r="AV113" s="3"/>
      <c r="AW113" s="3"/>
      <c r="AX113" s="10">
        <v>9784</v>
      </c>
      <c r="AY113" s="3"/>
      <c r="AZ113" s="1">
        <v>3777043.91</v>
      </c>
      <c r="BA113" s="1">
        <v>1888522</v>
      </c>
      <c r="BB113" s="19">
        <v>9114489</v>
      </c>
      <c r="BC113" s="15">
        <v>0</v>
      </c>
      <c r="BD113" s="15">
        <v>0</v>
      </c>
      <c r="BE113" s="20">
        <v>79081906</v>
      </c>
      <c r="BF113" s="20">
        <v>79081906</v>
      </c>
      <c r="BG113" s="20">
        <v>31083675</v>
      </c>
      <c r="BH113" s="20">
        <v>31083675</v>
      </c>
      <c r="BI113" s="19"/>
      <c r="BJ113" s="19"/>
      <c r="BK113" s="19"/>
      <c r="BL113" s="5">
        <v>448972471</v>
      </c>
      <c r="BM113" s="5">
        <v>283679181</v>
      </c>
      <c r="BN113" s="15">
        <v>297000</v>
      </c>
      <c r="BO113" s="1"/>
      <c r="BP113" s="1"/>
      <c r="BQ113" s="5"/>
      <c r="BR113" s="5"/>
      <c r="BS113" s="5"/>
    </row>
    <row r="114" spans="1:71" x14ac:dyDescent="0.25">
      <c r="A114" s="6" t="s">
        <v>168</v>
      </c>
      <c r="B114" s="10">
        <v>225253500</v>
      </c>
      <c r="C114" s="10">
        <v>125958986</v>
      </c>
      <c r="D114" s="10">
        <v>76378727</v>
      </c>
      <c r="E114" s="10">
        <v>1310000</v>
      </c>
      <c r="F114" s="10">
        <v>29837419</v>
      </c>
      <c r="G114" s="10">
        <v>6929695</v>
      </c>
      <c r="H114" s="10">
        <v>4325865</v>
      </c>
      <c r="I114" s="10">
        <v>502400</v>
      </c>
      <c r="J114" s="10">
        <v>65955</v>
      </c>
      <c r="K114" s="10">
        <v>31400</v>
      </c>
      <c r="L114" s="10">
        <v>322277193</v>
      </c>
      <c r="M114" s="10">
        <v>0</v>
      </c>
      <c r="N114" s="10">
        <v>1194</v>
      </c>
      <c r="O114" s="10">
        <v>268</v>
      </c>
      <c r="P114" s="10">
        <v>2683655</v>
      </c>
      <c r="Q114" s="10">
        <v>709330</v>
      </c>
      <c r="R114" s="10">
        <v>2142460</v>
      </c>
      <c r="S114" s="10">
        <v>1206955</v>
      </c>
      <c r="T114" s="10">
        <v>245168</v>
      </c>
      <c r="U114" s="10">
        <v>245735</v>
      </c>
      <c r="V114" s="10">
        <v>2683655</v>
      </c>
      <c r="W114" s="10">
        <v>849690</v>
      </c>
      <c r="X114" s="10">
        <v>2142460</v>
      </c>
      <c r="Y114" s="10">
        <v>1206955</v>
      </c>
      <c r="Z114" s="10">
        <v>251520</v>
      </c>
      <c r="AA114" s="10">
        <v>245735</v>
      </c>
      <c r="AB114" s="10">
        <v>-1503567</v>
      </c>
      <c r="AC114" s="10">
        <v>-1696442</v>
      </c>
      <c r="AD114" s="10">
        <v>7931</v>
      </c>
      <c r="AE114" s="10">
        <v>90784</v>
      </c>
      <c r="AF114" s="10">
        <v>31703432</v>
      </c>
      <c r="AG114" s="10">
        <v>190460</v>
      </c>
      <c r="AH114" s="10">
        <v>23549969</v>
      </c>
      <c r="AI114" s="3"/>
      <c r="AJ114" s="10">
        <v>13232049</v>
      </c>
      <c r="AK114" s="10">
        <v>92809683</v>
      </c>
      <c r="AL114" s="10">
        <v>2831691</v>
      </c>
      <c r="AM114" s="3"/>
      <c r="AN114" s="10">
        <v>54777707</v>
      </c>
      <c r="AO114" s="10">
        <v>3288264</v>
      </c>
      <c r="AP114" s="10">
        <v>35643749</v>
      </c>
      <c r="AQ114" s="10">
        <v>26692185</v>
      </c>
      <c r="AR114" s="10">
        <v>11340962</v>
      </c>
      <c r="AS114" s="10">
        <v>59493299</v>
      </c>
      <c r="AT114" s="10">
        <v>284186</v>
      </c>
      <c r="AU114" s="3"/>
      <c r="AV114" s="3"/>
      <c r="AW114" s="10">
        <v>6519017</v>
      </c>
      <c r="AX114" s="3"/>
      <c r="AY114" s="10">
        <v>1458300</v>
      </c>
      <c r="AZ114" s="1">
        <v>6761797.2199999997</v>
      </c>
      <c r="BA114" s="1">
        <v>3380899</v>
      </c>
      <c r="BB114" s="19">
        <v>20285044</v>
      </c>
      <c r="BC114" s="15">
        <v>0</v>
      </c>
      <c r="BD114" s="15">
        <v>0</v>
      </c>
      <c r="BE114" s="20">
        <v>3594877</v>
      </c>
      <c r="BF114" s="20">
        <v>3594877</v>
      </c>
      <c r="BG114" s="20">
        <v>27737728</v>
      </c>
      <c r="BH114" s="20">
        <v>27722229</v>
      </c>
      <c r="BI114" s="19"/>
      <c r="BJ114" s="19"/>
      <c r="BK114" s="19"/>
      <c r="BL114" s="5">
        <v>679470766</v>
      </c>
      <c r="BM114" s="5">
        <v>549131387</v>
      </c>
      <c r="BN114" s="15">
        <v>985579</v>
      </c>
      <c r="BO114" s="1"/>
      <c r="BP114" s="1"/>
      <c r="BQ114" s="5"/>
      <c r="BR114" s="5"/>
      <c r="BS114" s="5"/>
    </row>
    <row r="115" spans="1:71" x14ac:dyDescent="0.25">
      <c r="A115" s="6" t="s">
        <v>169</v>
      </c>
      <c r="B115" s="10">
        <v>3376241608</v>
      </c>
      <c r="C115" s="10">
        <v>332465740</v>
      </c>
      <c r="D115" s="10">
        <v>1809772040</v>
      </c>
      <c r="E115" s="10">
        <v>165871170</v>
      </c>
      <c r="F115" s="10">
        <v>150458290</v>
      </c>
      <c r="G115" s="10">
        <v>18486250</v>
      </c>
      <c r="H115" s="10">
        <v>20439610</v>
      </c>
      <c r="I115" s="10">
        <v>1768200</v>
      </c>
      <c r="J115" s="10">
        <v>345400</v>
      </c>
      <c r="K115" s="10">
        <v>31400</v>
      </c>
      <c r="L115" s="10">
        <v>398009170</v>
      </c>
      <c r="M115" s="10">
        <v>0</v>
      </c>
      <c r="N115" s="10">
        <v>5568</v>
      </c>
      <c r="O115" s="10">
        <v>687</v>
      </c>
      <c r="P115" s="10">
        <v>145327940</v>
      </c>
      <c r="Q115" s="10">
        <v>9511450</v>
      </c>
      <c r="R115" s="10">
        <v>69584670</v>
      </c>
      <c r="S115" s="10">
        <v>2451710</v>
      </c>
      <c r="T115" s="10">
        <v>122000</v>
      </c>
      <c r="U115" s="10">
        <v>3785950</v>
      </c>
      <c r="V115" s="10">
        <v>145327940</v>
      </c>
      <c r="W115" s="10">
        <v>9511450</v>
      </c>
      <c r="X115" s="10">
        <v>69584670</v>
      </c>
      <c r="Y115" s="10">
        <v>2451710</v>
      </c>
      <c r="Z115" s="10">
        <v>122000</v>
      </c>
      <c r="AA115" s="10">
        <v>3785950</v>
      </c>
      <c r="AB115" s="10">
        <v>-11574120</v>
      </c>
      <c r="AC115" s="10">
        <v>-18282199</v>
      </c>
      <c r="AD115" s="10">
        <v>74424</v>
      </c>
      <c r="AE115" s="10">
        <v>0</v>
      </c>
      <c r="AF115" s="10">
        <v>0</v>
      </c>
      <c r="AG115" s="10">
        <v>0</v>
      </c>
      <c r="AH115" s="10">
        <v>4183586</v>
      </c>
      <c r="AI115" s="10">
        <v>963609</v>
      </c>
      <c r="AJ115" s="3"/>
      <c r="AK115" s="10">
        <v>569992754</v>
      </c>
      <c r="AL115" s="10">
        <v>12932802</v>
      </c>
      <c r="AM115" s="10">
        <v>110000</v>
      </c>
      <c r="AN115" s="10">
        <v>284244399</v>
      </c>
      <c r="AO115" s="10">
        <v>25483953</v>
      </c>
      <c r="AP115" s="10">
        <v>527006392</v>
      </c>
      <c r="AQ115" s="10">
        <v>346981699</v>
      </c>
      <c r="AR115" s="10">
        <v>239913236</v>
      </c>
      <c r="AS115" s="10">
        <v>44257871</v>
      </c>
      <c r="AT115" s="10">
        <v>2502152</v>
      </c>
      <c r="AU115" s="3"/>
      <c r="AV115" s="10">
        <v>4484</v>
      </c>
      <c r="AW115" s="10">
        <v>151401726</v>
      </c>
      <c r="AX115" s="10">
        <v>3359799</v>
      </c>
      <c r="AY115" s="10">
        <v>22667855</v>
      </c>
      <c r="AZ115" s="1">
        <v>41527729.600000001</v>
      </c>
      <c r="BA115" s="1">
        <v>20763865</v>
      </c>
      <c r="BB115" s="19"/>
      <c r="BC115" s="15">
        <v>1673288</v>
      </c>
      <c r="BD115" s="15">
        <v>3346576</v>
      </c>
      <c r="BE115" s="20">
        <v>25769872</v>
      </c>
      <c r="BF115" s="20">
        <v>25769872</v>
      </c>
      <c r="BG115" s="20">
        <v>116147293</v>
      </c>
      <c r="BH115" s="20">
        <v>107904891</v>
      </c>
      <c r="BI115" s="19"/>
      <c r="BJ115" s="19">
        <v>24793000</v>
      </c>
      <c r="BK115" s="19"/>
      <c r="BL115" s="5">
        <v>6944167106</v>
      </c>
      <c r="BM115" s="5">
        <v>6180336634</v>
      </c>
      <c r="BN115" s="15">
        <v>4188100</v>
      </c>
      <c r="BO115" s="1"/>
      <c r="BP115" s="1"/>
      <c r="BQ115" s="5"/>
      <c r="BR115" s="5"/>
      <c r="BS115" s="5"/>
    </row>
    <row r="116" spans="1:71" x14ac:dyDescent="0.25">
      <c r="A116" s="6" t="s">
        <v>170</v>
      </c>
      <c r="B116" s="10">
        <v>217894255</v>
      </c>
      <c r="C116" s="10">
        <v>138569000</v>
      </c>
      <c r="D116" s="10">
        <v>64206900</v>
      </c>
      <c r="E116" s="10">
        <v>3416665</v>
      </c>
      <c r="F116" s="10">
        <v>21390500</v>
      </c>
      <c r="G116" s="10">
        <v>4540700</v>
      </c>
      <c r="H116" s="10">
        <v>10833900</v>
      </c>
      <c r="I116" s="10">
        <v>1696500</v>
      </c>
      <c r="J116" s="10">
        <v>28000</v>
      </c>
      <c r="K116" s="10">
        <v>0</v>
      </c>
      <c r="L116" s="10">
        <v>254668910</v>
      </c>
      <c r="M116" s="10">
        <v>93799500</v>
      </c>
      <c r="N116" s="10">
        <v>1050</v>
      </c>
      <c r="O116" s="10">
        <v>220</v>
      </c>
      <c r="P116" s="10">
        <v>8607750</v>
      </c>
      <c r="Q116" s="10">
        <v>4555800</v>
      </c>
      <c r="R116" s="10">
        <v>1338100</v>
      </c>
      <c r="S116" s="10">
        <v>1696917</v>
      </c>
      <c r="T116" s="10">
        <v>1828900</v>
      </c>
      <c r="U116" s="10">
        <v>275000</v>
      </c>
      <c r="V116" s="10">
        <v>8607750</v>
      </c>
      <c r="W116" s="10">
        <v>4978700</v>
      </c>
      <c r="X116" s="10">
        <v>1338100</v>
      </c>
      <c r="Y116" s="10">
        <v>1696917</v>
      </c>
      <c r="Z116" s="10">
        <v>2106417</v>
      </c>
      <c r="AA116" s="10">
        <v>275000</v>
      </c>
      <c r="AB116" s="10">
        <v>-607200</v>
      </c>
      <c r="AC116" s="10">
        <v>-98499</v>
      </c>
      <c r="AD116" s="10">
        <v>44051</v>
      </c>
      <c r="AE116" s="10">
        <v>0</v>
      </c>
      <c r="AF116" s="10">
        <v>0</v>
      </c>
      <c r="AG116" s="10">
        <v>180169</v>
      </c>
      <c r="AH116" s="3"/>
      <c r="AI116" s="10">
        <v>39273</v>
      </c>
      <c r="AJ116" s="3"/>
      <c r="AK116" s="10">
        <v>65711906</v>
      </c>
      <c r="AL116" s="10">
        <v>978035</v>
      </c>
      <c r="AM116" s="3"/>
      <c r="AN116" s="10">
        <v>26807879</v>
      </c>
      <c r="AO116" s="10">
        <v>1764640</v>
      </c>
      <c r="AP116" s="10">
        <v>56585105</v>
      </c>
      <c r="AQ116" s="10">
        <v>22672060</v>
      </c>
      <c r="AR116" s="10">
        <v>10886831</v>
      </c>
      <c r="AS116" s="10">
        <v>61536</v>
      </c>
      <c r="AT116" s="3"/>
      <c r="AU116" s="10">
        <v>400411</v>
      </c>
      <c r="AV116" s="3"/>
      <c r="AW116" s="10">
        <v>8528</v>
      </c>
      <c r="AX116" s="10">
        <v>17759</v>
      </c>
      <c r="AY116" s="10">
        <v>89000</v>
      </c>
      <c r="AZ116" s="1">
        <v>4787545.53</v>
      </c>
      <c r="BA116" s="1">
        <v>2393773</v>
      </c>
      <c r="BB116" s="19"/>
      <c r="BC116" s="15">
        <v>0</v>
      </c>
      <c r="BD116" s="15">
        <v>0</v>
      </c>
      <c r="BE116" s="20">
        <v>1526833</v>
      </c>
      <c r="BF116" s="20">
        <v>1526833</v>
      </c>
      <c r="BG116" s="20">
        <v>18073688</v>
      </c>
      <c r="BH116" s="20">
        <v>18053270</v>
      </c>
      <c r="BI116" s="19"/>
      <c r="BJ116" s="19"/>
      <c r="BK116" s="19"/>
      <c r="BL116" s="5">
        <v>560617824</v>
      </c>
      <c r="BM116" s="5">
        <v>471954007</v>
      </c>
      <c r="BN116" s="15">
        <v>359500</v>
      </c>
      <c r="BO116" s="1"/>
      <c r="BP116" s="1"/>
      <c r="BQ116" s="5"/>
      <c r="BR116" s="5"/>
      <c r="BS116" s="5"/>
    </row>
    <row r="117" spans="1:71" x14ac:dyDescent="0.25">
      <c r="A117" s="6" t="s">
        <v>171</v>
      </c>
      <c r="B117" s="10">
        <v>362778796</v>
      </c>
      <c r="C117" s="10">
        <v>113865553</v>
      </c>
      <c r="D117" s="10">
        <v>97624514</v>
      </c>
      <c r="E117" s="10">
        <v>0</v>
      </c>
      <c r="F117" s="10">
        <v>37383770</v>
      </c>
      <c r="G117" s="10">
        <v>13634175</v>
      </c>
      <c r="H117" s="10">
        <v>12688154</v>
      </c>
      <c r="I117" s="10">
        <v>2064346</v>
      </c>
      <c r="J117" s="10">
        <v>72660</v>
      </c>
      <c r="K117" s="10">
        <v>94200</v>
      </c>
      <c r="L117" s="10">
        <v>205625942</v>
      </c>
      <c r="M117" s="10">
        <v>68528381</v>
      </c>
      <c r="N117" s="10">
        <v>1821</v>
      </c>
      <c r="O117" s="10">
        <v>640</v>
      </c>
      <c r="P117" s="10">
        <v>14608506</v>
      </c>
      <c r="Q117" s="10">
        <v>4037680</v>
      </c>
      <c r="R117" s="10">
        <v>1986000</v>
      </c>
      <c r="S117" s="10">
        <v>1480469</v>
      </c>
      <c r="T117" s="10">
        <v>176570</v>
      </c>
      <c r="U117" s="10">
        <v>355945</v>
      </c>
      <c r="V117" s="10">
        <v>14608506</v>
      </c>
      <c r="W117" s="10">
        <v>4037680</v>
      </c>
      <c r="X117" s="10">
        <v>1986000</v>
      </c>
      <c r="Y117" s="10">
        <v>1480469</v>
      </c>
      <c r="Z117" s="10">
        <v>183570</v>
      </c>
      <c r="AA117" s="10">
        <v>355945</v>
      </c>
      <c r="AB117" s="10">
        <v>-2377463</v>
      </c>
      <c r="AC117" s="10">
        <v>-4955</v>
      </c>
      <c r="AD117" s="10">
        <v>177017</v>
      </c>
      <c r="AE117" s="10">
        <v>7228</v>
      </c>
      <c r="AF117" s="10">
        <v>8608070</v>
      </c>
      <c r="AG117" s="10">
        <v>241045</v>
      </c>
      <c r="AH117" s="10">
        <v>198047</v>
      </c>
      <c r="AI117" s="10">
        <v>138453</v>
      </c>
      <c r="AJ117" s="3"/>
      <c r="AK117" s="10">
        <v>89149758</v>
      </c>
      <c r="AL117" s="10">
        <v>11569222</v>
      </c>
      <c r="AM117" s="10">
        <v>7630059</v>
      </c>
      <c r="AN117" s="10">
        <v>20804320</v>
      </c>
      <c r="AO117" s="10">
        <v>557036</v>
      </c>
      <c r="AP117" s="10">
        <v>35945307</v>
      </c>
      <c r="AQ117" s="10">
        <v>18149384</v>
      </c>
      <c r="AR117" s="10">
        <v>27042301</v>
      </c>
      <c r="AS117" s="3"/>
      <c r="AT117" s="10">
        <v>5335069</v>
      </c>
      <c r="AU117" s="3"/>
      <c r="AV117" s="3"/>
      <c r="AW117" s="10">
        <v>295247</v>
      </c>
      <c r="AX117" s="10">
        <v>53814</v>
      </c>
      <c r="AY117" s="10">
        <v>68500</v>
      </c>
      <c r="AZ117" s="1">
        <v>6495147.5599999996</v>
      </c>
      <c r="BA117" s="1">
        <v>3247574</v>
      </c>
      <c r="BB117" s="19"/>
      <c r="BC117" s="15">
        <v>0</v>
      </c>
      <c r="BD117" s="15">
        <v>0</v>
      </c>
      <c r="BE117" s="20">
        <v>382275</v>
      </c>
      <c r="BF117" s="20">
        <v>382275</v>
      </c>
      <c r="BG117" s="20">
        <v>20977618</v>
      </c>
      <c r="BH117" s="20">
        <v>20977618</v>
      </c>
      <c r="BI117" s="19"/>
      <c r="BJ117" s="19">
        <v>2438888</v>
      </c>
      <c r="BK117" s="19"/>
      <c r="BL117" s="5">
        <v>741881438</v>
      </c>
      <c r="BM117" s="5">
        <v>614116103</v>
      </c>
      <c r="BN117" s="15">
        <v>798000</v>
      </c>
      <c r="BO117" s="1"/>
      <c r="BP117" s="1"/>
      <c r="BQ117" s="5"/>
      <c r="BR117" s="5"/>
      <c r="BS117" s="5"/>
    </row>
    <row r="118" spans="1:71" x14ac:dyDescent="0.25">
      <c r="A118" s="6" t="s">
        <v>172</v>
      </c>
      <c r="B118" s="10">
        <v>166511092</v>
      </c>
      <c r="C118" s="10">
        <v>122912715</v>
      </c>
      <c r="D118" s="10">
        <v>45960694</v>
      </c>
      <c r="E118" s="10">
        <v>7920000</v>
      </c>
      <c r="F118" s="10">
        <v>25934050</v>
      </c>
      <c r="G118" s="10">
        <v>5623050</v>
      </c>
      <c r="H118" s="10">
        <v>7079863</v>
      </c>
      <c r="I118" s="10">
        <v>577360</v>
      </c>
      <c r="J118" s="10">
        <v>0</v>
      </c>
      <c r="K118" s="10">
        <v>0</v>
      </c>
      <c r="L118" s="10">
        <v>163491361</v>
      </c>
      <c r="M118" s="10">
        <v>44862960</v>
      </c>
      <c r="N118" s="10">
        <v>1226</v>
      </c>
      <c r="O118" s="10">
        <v>251</v>
      </c>
      <c r="P118" s="10">
        <v>2778000</v>
      </c>
      <c r="Q118" s="10">
        <v>2264700</v>
      </c>
      <c r="R118" s="10">
        <v>167100</v>
      </c>
      <c r="S118" s="10">
        <v>187300</v>
      </c>
      <c r="T118" s="10">
        <v>27500</v>
      </c>
      <c r="U118" s="10">
        <v>0</v>
      </c>
      <c r="V118" s="10">
        <v>2778000</v>
      </c>
      <c r="W118" s="10">
        <v>2264700</v>
      </c>
      <c r="X118" s="10">
        <v>167100</v>
      </c>
      <c r="Y118" s="10">
        <v>187300</v>
      </c>
      <c r="Z118" s="10">
        <v>27500</v>
      </c>
      <c r="AA118" s="10">
        <v>0</v>
      </c>
      <c r="AB118" s="10">
        <v>-432850</v>
      </c>
      <c r="AC118" s="10">
        <v>183444</v>
      </c>
      <c r="AD118" s="10">
        <v>62208</v>
      </c>
      <c r="AE118" s="10">
        <v>5103072</v>
      </c>
      <c r="AF118" s="10">
        <v>2888204</v>
      </c>
      <c r="AG118" s="10">
        <v>198736</v>
      </c>
      <c r="AH118" s="10">
        <v>7775867</v>
      </c>
      <c r="AI118" s="3"/>
      <c r="AJ118" s="10">
        <v>14769389</v>
      </c>
      <c r="AK118" s="10">
        <v>82883978</v>
      </c>
      <c r="AL118" s="10">
        <v>1937906</v>
      </c>
      <c r="AM118" s="10">
        <v>136506</v>
      </c>
      <c r="AN118" s="10">
        <v>72120476</v>
      </c>
      <c r="AO118" s="10">
        <v>4049508</v>
      </c>
      <c r="AP118" s="10">
        <v>31503794</v>
      </c>
      <c r="AQ118" s="10">
        <v>8418524</v>
      </c>
      <c r="AR118" s="10">
        <v>10655269</v>
      </c>
      <c r="AS118" s="3"/>
      <c r="AT118" s="10">
        <v>585790</v>
      </c>
      <c r="AU118" s="3"/>
      <c r="AV118" s="3"/>
      <c r="AW118" s="10">
        <v>2696433</v>
      </c>
      <c r="AX118" s="10">
        <v>598677</v>
      </c>
      <c r="AY118" s="10">
        <v>222193</v>
      </c>
      <c r="AZ118" s="1">
        <v>6038643.3799999999</v>
      </c>
      <c r="BA118" s="1">
        <v>3019322</v>
      </c>
      <c r="BB118" s="19">
        <v>2064014</v>
      </c>
      <c r="BC118" s="15">
        <v>740588</v>
      </c>
      <c r="BD118" s="15">
        <v>1481176</v>
      </c>
      <c r="BE118" s="20">
        <v>21595283</v>
      </c>
      <c r="BF118" s="20">
        <v>21005660</v>
      </c>
      <c r="BG118" s="20">
        <v>41835416</v>
      </c>
      <c r="BH118" s="20">
        <v>39982281</v>
      </c>
      <c r="BI118" s="19"/>
      <c r="BJ118" s="19"/>
      <c r="BK118" s="19"/>
      <c r="BL118" s="5">
        <v>592088000</v>
      </c>
      <c r="BM118" s="5">
        <v>442518265</v>
      </c>
      <c r="BN118" s="15">
        <v>922075</v>
      </c>
      <c r="BO118" s="1"/>
      <c r="BP118" s="1"/>
      <c r="BQ118" s="5"/>
      <c r="BR118" s="5"/>
      <c r="BS118" s="5"/>
    </row>
    <row r="119" spans="1:71" x14ac:dyDescent="0.25">
      <c r="A119" s="6" t="s">
        <v>173</v>
      </c>
      <c r="B119" s="10">
        <v>572523749</v>
      </c>
      <c r="C119" s="10">
        <v>121229441</v>
      </c>
      <c r="D119" s="10">
        <v>191186383</v>
      </c>
      <c r="E119" s="10">
        <v>3900000</v>
      </c>
      <c r="F119" s="10">
        <v>67785630</v>
      </c>
      <c r="G119" s="10">
        <v>21083610</v>
      </c>
      <c r="H119" s="10">
        <v>13515700</v>
      </c>
      <c r="I119" s="10">
        <v>2378050</v>
      </c>
      <c r="J119" s="10">
        <v>20400</v>
      </c>
      <c r="K119" s="10">
        <v>0</v>
      </c>
      <c r="L119" s="10">
        <v>386624727</v>
      </c>
      <c r="M119" s="10">
        <v>41045230</v>
      </c>
      <c r="N119" s="10">
        <v>3132</v>
      </c>
      <c r="O119" s="10">
        <v>969</v>
      </c>
      <c r="P119" s="10">
        <v>2526711</v>
      </c>
      <c r="Q119" s="10">
        <v>130000</v>
      </c>
      <c r="R119" s="10">
        <v>420000</v>
      </c>
      <c r="S119" s="10">
        <v>4436105</v>
      </c>
      <c r="T119" s="10">
        <v>929863</v>
      </c>
      <c r="U119" s="10">
        <v>2219400</v>
      </c>
      <c r="V119" s="10">
        <v>2526711</v>
      </c>
      <c r="W119" s="10">
        <v>130000</v>
      </c>
      <c r="X119" s="10">
        <v>420000</v>
      </c>
      <c r="Y119" s="10">
        <v>4436105</v>
      </c>
      <c r="Z119" s="10">
        <v>3672526</v>
      </c>
      <c r="AA119" s="10">
        <v>2219400</v>
      </c>
      <c r="AB119" s="10">
        <v>-5626240</v>
      </c>
      <c r="AC119" s="10">
        <v>1079113</v>
      </c>
      <c r="AD119" s="10">
        <v>196979</v>
      </c>
      <c r="AE119" s="10">
        <v>0</v>
      </c>
      <c r="AF119" s="10">
        <v>0</v>
      </c>
      <c r="AG119" s="10">
        <v>205461</v>
      </c>
      <c r="AH119" s="10">
        <v>1144352</v>
      </c>
      <c r="AI119" s="10">
        <v>39297780</v>
      </c>
      <c r="AJ119" s="10">
        <v>3002758</v>
      </c>
      <c r="AK119" s="10">
        <v>178511583</v>
      </c>
      <c r="AL119" s="10">
        <v>5324935</v>
      </c>
      <c r="AM119" s="10">
        <v>1616768</v>
      </c>
      <c r="AN119" s="10">
        <v>46856926</v>
      </c>
      <c r="AO119" s="10">
        <v>2082741</v>
      </c>
      <c r="AP119" s="10">
        <v>36049090</v>
      </c>
      <c r="AQ119" s="10">
        <v>77454766</v>
      </c>
      <c r="AR119" s="10">
        <v>11471839</v>
      </c>
      <c r="AS119" s="10">
        <v>486540</v>
      </c>
      <c r="AT119" s="10">
        <v>269177</v>
      </c>
      <c r="AU119" s="3"/>
      <c r="AV119" s="3"/>
      <c r="AW119" s="3"/>
      <c r="AX119" s="10">
        <v>134741</v>
      </c>
      <c r="AY119" s="10">
        <v>58000</v>
      </c>
      <c r="AZ119" s="1">
        <v>13005745.6</v>
      </c>
      <c r="BA119" s="1">
        <v>6502873</v>
      </c>
      <c r="BB119" s="19"/>
      <c r="BC119" s="15">
        <v>7236563</v>
      </c>
      <c r="BD119" s="15">
        <v>14473126</v>
      </c>
      <c r="BE119" s="20">
        <v>44829110</v>
      </c>
      <c r="BF119" s="20">
        <v>44829110</v>
      </c>
      <c r="BG119" s="20">
        <v>59471413</v>
      </c>
      <c r="BH119" s="20">
        <v>51028166</v>
      </c>
      <c r="BI119" s="19"/>
      <c r="BJ119" s="19"/>
      <c r="BK119" s="19"/>
      <c r="BL119" s="5">
        <v>1348212126</v>
      </c>
      <c r="BM119" s="5">
        <v>1054778896</v>
      </c>
      <c r="BN119" s="15">
        <v>1268668</v>
      </c>
      <c r="BO119" s="1"/>
      <c r="BP119" s="1"/>
      <c r="BQ119" s="5"/>
      <c r="BR119" s="5"/>
      <c r="BS119" s="5"/>
    </row>
    <row r="120" spans="1:71" x14ac:dyDescent="0.25">
      <c r="A120" s="6" t="s">
        <v>174</v>
      </c>
      <c r="B120" s="10">
        <v>51094900</v>
      </c>
      <c r="C120" s="10">
        <v>57780300</v>
      </c>
      <c r="D120" s="10">
        <v>30431360</v>
      </c>
      <c r="E120" s="10">
        <v>0</v>
      </c>
      <c r="F120" s="10">
        <v>6052400</v>
      </c>
      <c r="G120" s="10">
        <v>9222200</v>
      </c>
      <c r="H120" s="10">
        <v>6184600</v>
      </c>
      <c r="I120" s="10">
        <v>3357600</v>
      </c>
      <c r="J120" s="10">
        <v>29400</v>
      </c>
      <c r="K120" s="10">
        <v>0</v>
      </c>
      <c r="L120" s="10">
        <v>57053751</v>
      </c>
      <c r="M120" s="10">
        <v>0</v>
      </c>
      <c r="N120" s="10">
        <v>641</v>
      </c>
      <c r="O120" s="10">
        <v>598</v>
      </c>
      <c r="P120" s="10">
        <v>1365900</v>
      </c>
      <c r="Q120" s="10">
        <v>231000</v>
      </c>
      <c r="R120" s="10">
        <v>510000</v>
      </c>
      <c r="S120" s="10">
        <v>123000</v>
      </c>
      <c r="T120" s="10">
        <v>286000</v>
      </c>
      <c r="U120" s="10">
        <v>0</v>
      </c>
      <c r="V120" s="10">
        <v>1365900</v>
      </c>
      <c r="W120" s="10">
        <v>350000</v>
      </c>
      <c r="X120" s="10">
        <v>510000</v>
      </c>
      <c r="Y120" s="10">
        <v>123000</v>
      </c>
      <c r="Z120" s="10">
        <v>570000</v>
      </c>
      <c r="AA120" s="10">
        <v>0</v>
      </c>
      <c r="AB120" s="10">
        <v>-1412400</v>
      </c>
      <c r="AC120" s="10">
        <v>-39600</v>
      </c>
      <c r="AD120" s="10">
        <v>91724</v>
      </c>
      <c r="AE120" s="10">
        <v>0</v>
      </c>
      <c r="AF120" s="10">
        <v>0</v>
      </c>
      <c r="AG120" s="10">
        <v>116669</v>
      </c>
      <c r="AH120" s="10">
        <v>6478852</v>
      </c>
      <c r="AI120" s="10">
        <v>8515</v>
      </c>
      <c r="AJ120" s="10">
        <v>1441</v>
      </c>
      <c r="AK120" s="10">
        <v>36910562</v>
      </c>
      <c r="AL120" s="10">
        <v>511389</v>
      </c>
      <c r="AM120" s="3"/>
      <c r="AN120" s="10">
        <v>4540888</v>
      </c>
      <c r="AO120" s="10">
        <v>3250</v>
      </c>
      <c r="AP120" s="10">
        <v>1948298</v>
      </c>
      <c r="AQ120" s="10">
        <v>9401090</v>
      </c>
      <c r="AR120" s="10">
        <v>4108857</v>
      </c>
      <c r="AS120" s="3"/>
      <c r="AT120" s="3"/>
      <c r="AU120" s="3"/>
      <c r="AV120" s="3"/>
      <c r="AW120" s="3"/>
      <c r="AX120" s="3"/>
      <c r="AY120" s="3"/>
      <c r="AZ120" s="1">
        <v>2689177.76</v>
      </c>
      <c r="BA120" s="1">
        <v>1344589</v>
      </c>
      <c r="BB120" s="19"/>
      <c r="BC120" s="15">
        <v>0</v>
      </c>
      <c r="BD120" s="15">
        <v>0</v>
      </c>
      <c r="BE120" s="20">
        <v>382047</v>
      </c>
      <c r="BF120" s="20">
        <v>382047</v>
      </c>
      <c r="BG120" s="20">
        <v>19787116</v>
      </c>
      <c r="BH120" s="20">
        <v>19787116</v>
      </c>
      <c r="BI120" s="19"/>
      <c r="BJ120" s="19"/>
      <c r="BK120" s="19"/>
      <c r="BL120" s="5">
        <v>218676299</v>
      </c>
      <c r="BM120" s="5">
        <v>159740596</v>
      </c>
      <c r="BN120" s="15">
        <v>382000</v>
      </c>
      <c r="BO120" s="1"/>
      <c r="BP120" s="1"/>
      <c r="BQ120" s="5"/>
      <c r="BR120" s="5"/>
      <c r="BS120" s="5"/>
    </row>
    <row r="121" spans="1:71" ht="15.75" thickBot="1" x14ac:dyDescent="0.3">
      <c r="A121" s="9" t="s">
        <v>175</v>
      </c>
      <c r="B121" s="11">
        <v>1181670950</v>
      </c>
      <c r="C121" s="11">
        <v>432068550</v>
      </c>
      <c r="D121" s="11">
        <v>245012613</v>
      </c>
      <c r="E121" s="11">
        <v>0</v>
      </c>
      <c r="F121" s="11">
        <v>44574000</v>
      </c>
      <c r="G121" s="11">
        <v>5570700</v>
      </c>
      <c r="H121" s="11">
        <v>5871800</v>
      </c>
      <c r="I121" s="11">
        <v>344900</v>
      </c>
      <c r="J121" s="11">
        <v>188400</v>
      </c>
      <c r="K121" s="11">
        <v>0</v>
      </c>
      <c r="L121" s="11">
        <v>870541840</v>
      </c>
      <c r="M121" s="11">
        <v>222625620</v>
      </c>
      <c r="N121" s="11">
        <v>1628</v>
      </c>
      <c r="O121" s="11">
        <v>190</v>
      </c>
      <c r="P121" s="11">
        <v>21855100</v>
      </c>
      <c r="Q121" s="11">
        <v>7423000</v>
      </c>
      <c r="R121" s="11">
        <v>3686400</v>
      </c>
      <c r="S121" s="11">
        <v>343500</v>
      </c>
      <c r="T121" s="11">
        <v>66900</v>
      </c>
      <c r="U121" s="11">
        <v>0</v>
      </c>
      <c r="V121" s="11">
        <v>21855100</v>
      </c>
      <c r="W121" s="11">
        <v>7503000</v>
      </c>
      <c r="X121" s="11">
        <v>3686400</v>
      </c>
      <c r="Y121" s="11">
        <v>343500</v>
      </c>
      <c r="Z121" s="11">
        <v>729000</v>
      </c>
      <c r="AA121" s="11">
        <v>0</v>
      </c>
      <c r="AB121" s="11">
        <v>-4589300</v>
      </c>
      <c r="AC121" s="11">
        <v>-53410</v>
      </c>
      <c r="AD121" s="11">
        <v>0</v>
      </c>
      <c r="AE121" s="11">
        <v>0</v>
      </c>
      <c r="AF121" s="11">
        <v>0</v>
      </c>
      <c r="AG121" s="11">
        <v>107487</v>
      </c>
      <c r="AH121" s="11"/>
      <c r="AI121" s="11"/>
      <c r="AJ121" s="11"/>
      <c r="AK121" s="11">
        <v>176156387</v>
      </c>
      <c r="AL121" s="11">
        <v>4417340</v>
      </c>
      <c r="AM121" s="11">
        <v>12000</v>
      </c>
      <c r="AN121" s="11">
        <v>35670450</v>
      </c>
      <c r="AO121" s="11">
        <v>4691980</v>
      </c>
      <c r="AP121" s="11">
        <v>205685089</v>
      </c>
      <c r="AQ121" s="11">
        <v>26162132</v>
      </c>
      <c r="AR121" s="11">
        <v>39459156</v>
      </c>
      <c r="AS121" s="11">
        <v>44366513</v>
      </c>
      <c r="AT121" s="11">
        <v>283675641</v>
      </c>
      <c r="AU121" s="11"/>
      <c r="AV121" s="11">
        <v>4000</v>
      </c>
      <c r="AW121" s="11"/>
      <c r="AX121" s="11">
        <v>369033</v>
      </c>
      <c r="AY121" s="11">
        <v>536500</v>
      </c>
      <c r="AZ121" s="21">
        <v>12834154.039999999</v>
      </c>
      <c r="BA121" s="21">
        <v>6417077</v>
      </c>
      <c r="BB121" s="22"/>
      <c r="BC121" s="23">
        <v>238783</v>
      </c>
      <c r="BD121" s="23">
        <v>477565</v>
      </c>
      <c r="BE121" s="24">
        <v>7268481</v>
      </c>
      <c r="BF121" s="24">
        <v>6651968</v>
      </c>
      <c r="BG121" s="24">
        <v>31286454</v>
      </c>
      <c r="BH121" s="24">
        <v>30361567</v>
      </c>
      <c r="BI121" s="22">
        <v>30545025</v>
      </c>
      <c r="BJ121" s="22"/>
      <c r="BK121" s="22"/>
      <c r="BL121" s="25">
        <v>2180064822</v>
      </c>
      <c r="BM121" s="25">
        <v>1925276675</v>
      </c>
      <c r="BN121" s="23">
        <v>1803110</v>
      </c>
      <c r="BO121" s="1"/>
      <c r="BP121" s="1"/>
      <c r="BQ121" s="5"/>
      <c r="BR121" s="5"/>
      <c r="BS121" s="5"/>
    </row>
    <row r="122" spans="1:71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10"/>
      <c r="BC122" s="3"/>
      <c r="BD122" s="3"/>
      <c r="BE122" s="27"/>
      <c r="BF122" s="27"/>
      <c r="BG122" s="27"/>
      <c r="BH122" s="27"/>
      <c r="BI122" s="10"/>
      <c r="BJ122" s="10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B123" s="13">
        <v>135408976238</v>
      </c>
      <c r="C123" s="13">
        <v>16693413645</v>
      </c>
      <c r="D123" s="13">
        <v>49461374932</v>
      </c>
      <c r="E123" s="13">
        <v>2258390651</v>
      </c>
      <c r="F123" s="13">
        <v>7718058117</v>
      </c>
      <c r="G123" s="13">
        <v>1777154733</v>
      </c>
      <c r="H123" s="13">
        <v>1252997209</v>
      </c>
      <c r="I123" s="13">
        <v>246144997</v>
      </c>
      <c r="J123" s="13">
        <v>18033125</v>
      </c>
      <c r="K123" s="13">
        <v>2465850</v>
      </c>
      <c r="L123" s="13">
        <v>25262003984</v>
      </c>
      <c r="M123" s="13">
        <v>9932952002</v>
      </c>
      <c r="N123" s="13">
        <v>299198</v>
      </c>
      <c r="O123" s="13">
        <v>75101</v>
      </c>
      <c r="P123" s="13">
        <v>4125741027</v>
      </c>
      <c r="Q123" s="13">
        <v>453648676</v>
      </c>
      <c r="R123" s="13">
        <v>1735899017</v>
      </c>
      <c r="S123" s="13">
        <v>514522048</v>
      </c>
      <c r="T123" s="13">
        <v>132678838</v>
      </c>
      <c r="U123" s="13">
        <v>417139924</v>
      </c>
      <c r="V123" s="13">
        <v>4126310267</v>
      </c>
      <c r="W123" s="13">
        <v>513259344</v>
      </c>
      <c r="X123" s="13">
        <v>1735899017</v>
      </c>
      <c r="Y123" s="13">
        <v>514532048</v>
      </c>
      <c r="Z123" s="13">
        <v>229798215</v>
      </c>
      <c r="AA123" s="13">
        <v>417159924</v>
      </c>
      <c r="AB123" s="13">
        <v>-579005267</v>
      </c>
      <c r="AC123" s="13">
        <v>-284135573</v>
      </c>
      <c r="AD123" s="13">
        <v>8264106</v>
      </c>
      <c r="AE123" s="13">
        <v>84567942</v>
      </c>
      <c r="AF123" s="13">
        <v>1697225986</v>
      </c>
      <c r="AG123" s="13">
        <v>18770966.399999999</v>
      </c>
      <c r="AH123" s="13">
        <v>215099116</v>
      </c>
      <c r="AI123" s="13">
        <v>1940122441</v>
      </c>
      <c r="AJ123" s="13">
        <v>1639775449</v>
      </c>
      <c r="AK123" s="13">
        <v>24116196518</v>
      </c>
      <c r="AL123" s="13">
        <v>658674397</v>
      </c>
      <c r="AM123" s="13">
        <v>119267681</v>
      </c>
      <c r="AN123" s="13">
        <v>10100007847</v>
      </c>
      <c r="AO123" s="13">
        <v>655523667</v>
      </c>
      <c r="AP123" s="13">
        <v>14694641060</v>
      </c>
      <c r="AQ123" s="13">
        <v>8306825695</v>
      </c>
      <c r="AR123" s="13">
        <v>8599143109</v>
      </c>
      <c r="AS123" s="13">
        <v>3817604072</v>
      </c>
      <c r="AT123" s="13">
        <v>6594690508</v>
      </c>
      <c r="AU123" s="13">
        <v>63809689</v>
      </c>
      <c r="AV123" s="13">
        <v>7312612</v>
      </c>
      <c r="AW123" s="13">
        <v>933635760</v>
      </c>
      <c r="AX123" s="13">
        <v>64497952</v>
      </c>
      <c r="AY123" s="13">
        <v>328608605</v>
      </c>
      <c r="AZ123" s="13">
        <v>1757023888.99</v>
      </c>
      <c r="BA123" s="13">
        <v>878511949</v>
      </c>
      <c r="BB123" s="28">
        <v>479973467</v>
      </c>
      <c r="BC123" s="28">
        <v>156354550</v>
      </c>
      <c r="BD123" s="28">
        <v>312709091</v>
      </c>
      <c r="BE123" s="29">
        <v>3002876147</v>
      </c>
      <c r="BF123" s="29">
        <v>2957371084</v>
      </c>
      <c r="BG123" s="29">
        <v>8214052583</v>
      </c>
      <c r="BH123" s="29">
        <v>7444438082</v>
      </c>
      <c r="BI123" s="28">
        <v>737410354</v>
      </c>
      <c r="BJ123" s="28">
        <v>121722964</v>
      </c>
      <c r="BK123" s="28">
        <v>0</v>
      </c>
      <c r="BL123" s="30">
        <v>261462127817</v>
      </c>
      <c r="BM123" s="30">
        <v>224421701380</v>
      </c>
      <c r="BN123" s="30">
        <v>389304226</v>
      </c>
      <c r="BO123" s="4"/>
      <c r="BP123" s="4"/>
      <c r="BQ123" s="4"/>
      <c r="BR123" s="4"/>
      <c r="BS123" s="3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B13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B2" sqref="B2"/>
    </sheetView>
  </sheetViews>
  <sheetFormatPr defaultColWidth="9.140625" defaultRowHeight="15" x14ac:dyDescent="0.25"/>
  <cols>
    <col min="1" max="1" width="15.42578125" style="113" customWidth="1"/>
    <col min="2" max="2" width="17.42578125" style="122" customWidth="1"/>
    <col min="3" max="3" width="16" style="122" customWidth="1"/>
    <col min="4" max="4" width="16.42578125" style="122" customWidth="1"/>
    <col min="5" max="5" width="14.85546875" style="122" customWidth="1"/>
    <col min="6" max="6" width="16.42578125" style="122" customWidth="1"/>
    <col min="7" max="8" width="13.85546875" style="122" customWidth="1"/>
    <col min="9" max="9" width="12.85546875" style="122" customWidth="1"/>
    <col min="10" max="11" width="14.28515625" style="122" customWidth="1"/>
    <col min="12" max="13" width="14.85546875" style="122" customWidth="1"/>
    <col min="14" max="14" width="13.28515625" style="122" bestFit="1" customWidth="1"/>
    <col min="15" max="15" width="13.7109375" style="122" customWidth="1"/>
    <col min="16" max="16" width="14.85546875" style="122" customWidth="1"/>
    <col min="17" max="17" width="13.85546875" style="122" customWidth="1"/>
    <col min="18" max="18" width="14.85546875" style="122" customWidth="1"/>
    <col min="19" max="20" width="13.85546875" style="122" customWidth="1"/>
    <col min="21" max="22" width="14.85546875" style="122" customWidth="1"/>
    <col min="23" max="23" width="13.85546875" style="122" customWidth="1"/>
    <col min="24" max="24" width="14.85546875" style="122" customWidth="1"/>
    <col min="25" max="25" width="15" style="122" bestFit="1" customWidth="1"/>
    <col min="26" max="26" width="13.85546875" style="122" customWidth="1"/>
    <col min="27" max="27" width="14.85546875" style="122" customWidth="1"/>
    <col min="28" max="28" width="16.5703125" style="122" customWidth="1"/>
    <col min="29" max="29" width="16.28515625" style="122" customWidth="1"/>
    <col min="30" max="30" width="11.28515625" style="122" customWidth="1"/>
    <col min="31" max="32" width="13.85546875" style="122" customWidth="1"/>
    <col min="33" max="33" width="12.28515625" style="122" bestFit="1" customWidth="1"/>
    <col min="34" max="34" width="13.85546875" style="122" customWidth="1"/>
    <col min="35" max="36" width="14.85546875" style="122" customWidth="1"/>
    <col min="37" max="37" width="16.42578125" style="122" customWidth="1"/>
    <col min="38" max="38" width="15.42578125" style="122" customWidth="1"/>
    <col min="39" max="39" width="15.140625" style="122" customWidth="1"/>
    <col min="40" max="40" width="16.42578125" style="122" customWidth="1"/>
    <col min="41" max="41" width="13.85546875" style="122" customWidth="1"/>
    <col min="42" max="42" width="16.85546875" style="122" customWidth="1"/>
    <col min="43" max="43" width="16.42578125" style="122" customWidth="1"/>
    <col min="44" max="44" width="14.85546875" style="122" customWidth="1"/>
    <col min="45" max="45" width="16.42578125" style="122" customWidth="1"/>
    <col min="46" max="46" width="14.85546875" style="122" customWidth="1"/>
    <col min="47" max="47" width="13.85546875" style="122" customWidth="1"/>
    <col min="48" max="48" width="12.85546875" style="122" customWidth="1"/>
    <col min="49" max="49" width="14.85546875" style="122" customWidth="1"/>
    <col min="50" max="50" width="13.85546875" style="122" customWidth="1"/>
    <col min="51" max="51" width="16.5703125" style="122" customWidth="1"/>
    <col min="52" max="52" width="18" style="122" hidden="1" customWidth="1"/>
    <col min="53" max="53" width="16.42578125" style="122" hidden="1" customWidth="1"/>
    <col min="54" max="55" width="14.85546875" style="122" hidden="1" customWidth="1"/>
    <col min="56" max="56" width="16.85546875" style="122" customWidth="1"/>
    <col min="57" max="57" width="14.85546875" style="122" customWidth="1"/>
    <col min="58" max="58" width="14.42578125" style="122" customWidth="1"/>
    <col min="59" max="59" width="15.5703125" style="122" customWidth="1"/>
    <col min="60" max="60" width="15.42578125" style="122" customWidth="1"/>
    <col min="61" max="61" width="17.85546875" style="122" customWidth="1"/>
    <col min="62" max="62" width="18.28515625" style="122" customWidth="1"/>
    <col min="63" max="63" width="18.42578125" style="122" customWidth="1"/>
    <col min="64" max="64" width="17.28515625" style="122" customWidth="1"/>
    <col min="65" max="65" width="14.85546875" style="122" customWidth="1"/>
    <col min="66" max="67" width="13.85546875" style="122" customWidth="1"/>
    <col min="68" max="68" width="16.28515625" style="88" customWidth="1"/>
    <col min="69" max="69" width="16.5703125" style="88" customWidth="1"/>
    <col min="70" max="70" width="12.140625" style="88" customWidth="1"/>
    <col min="71" max="71" width="9.140625" style="88"/>
    <col min="72" max="72" width="14.140625" style="122" customWidth="1"/>
    <col min="73" max="73" width="11.140625" style="122" customWidth="1"/>
    <col min="74" max="74" width="15.28515625" style="122" customWidth="1"/>
    <col min="75" max="75" width="13.140625" style="122" customWidth="1"/>
    <col min="76" max="76" width="15" style="130" bestFit="1" customWidth="1"/>
    <col min="77" max="77" width="13.42578125" style="130" bestFit="1" customWidth="1"/>
    <col min="78" max="78" width="11.7109375" style="130" bestFit="1" customWidth="1"/>
    <col min="79" max="79" width="14" style="130" bestFit="1" customWidth="1"/>
    <col min="80" max="80" width="15" style="130" bestFit="1" customWidth="1"/>
    <col min="81" max="16384" width="9.140625" style="88"/>
  </cols>
  <sheetData>
    <row r="1" spans="1:80" s="115" customFormat="1" ht="52.5" customHeight="1" thickBot="1" x14ac:dyDescent="0.25">
      <c r="A1" s="75" t="str">
        <f>'[1]CO CODE'!E1&amp;" "&amp;"COUNTY"</f>
        <v>2016 COUNTY</v>
      </c>
      <c r="B1" s="38" t="s">
        <v>0</v>
      </c>
      <c r="C1" s="38" t="s">
        <v>1</v>
      </c>
      <c r="D1" s="38" t="s">
        <v>2</v>
      </c>
      <c r="E1" s="38" t="s">
        <v>3</v>
      </c>
      <c r="F1" s="38" t="s">
        <v>4</v>
      </c>
      <c r="G1" s="38" t="s">
        <v>5</v>
      </c>
      <c r="H1" s="38" t="s">
        <v>6</v>
      </c>
      <c r="I1" s="39" t="s">
        <v>7</v>
      </c>
      <c r="J1" s="38" t="s">
        <v>8</v>
      </c>
      <c r="K1" s="38" t="s">
        <v>9</v>
      </c>
      <c r="L1" s="38" t="s">
        <v>10</v>
      </c>
      <c r="M1" s="38" t="s">
        <v>11</v>
      </c>
      <c r="N1" s="38" t="s">
        <v>12</v>
      </c>
      <c r="O1" s="38" t="s">
        <v>13</v>
      </c>
      <c r="P1" s="38" t="str">
        <f>'[1]CO CODE'!$E$1&amp;" "&amp;"RES ADD TAX"</f>
        <v>2016 RES ADD TAX</v>
      </c>
      <c r="Q1" s="38" t="str">
        <f>'[1]CO CODE'!$E$1&amp;" "&amp;"FARM ADD TAX"</f>
        <v>2016 FARM ADD TAX</v>
      </c>
      <c r="R1" s="38" t="str">
        <f>'[1]CO CODE'!$E$1&amp;" "&amp;"COMM ADD TAX"</f>
        <v>2016 COMM ADD TAX</v>
      </c>
      <c r="S1" s="38" t="str">
        <f>'[1]CO CODE'!$E$1-1&amp;" "&amp;"RES.DEL TAX"</f>
        <v>2015 RES.DEL TAX</v>
      </c>
      <c r="T1" s="38" t="str">
        <f>'[1]CO CODE'!$E$1-1&amp;" "&amp;"FARM DEL TAX"</f>
        <v>2015 FARM DEL TAX</v>
      </c>
      <c r="U1" s="38" t="str">
        <f>'[1]CO CODE'!$E$1-1&amp;" "&amp;"COMM.DEL. TAX"</f>
        <v>2015 COMM.DEL. TAX</v>
      </c>
      <c r="V1" s="38" t="str">
        <f>'[1]CO CODE'!$E$1&amp;" "&amp;"RES ADD FAIR CASH"</f>
        <v>2016 RES ADD FAIR CASH</v>
      </c>
      <c r="W1" s="38" t="str">
        <f>'[1]CO CODE'!$E$1&amp;" "&amp;"FARM ADD FAIR CASH"</f>
        <v>2016 FARM ADD FAIR CASH</v>
      </c>
      <c r="X1" s="38" t="str">
        <f>'[1]CO CODE'!$E$1&amp;" "&amp;"COMM ADD FAIR CASH"</f>
        <v>2016 COMM ADD FAIR CASH</v>
      </c>
      <c r="Y1" s="38" t="str">
        <f>'[1]CO CODE'!$E$1-1&amp;" "&amp;"RES DEL FAIR CASH"</f>
        <v>2015 RES DEL FAIR CASH</v>
      </c>
      <c r="Z1" s="38" t="str">
        <f>'[1]CO CODE'!$E$1-1&amp;" "&amp;"FARM DEL FAIR CASH"</f>
        <v>2015 FARM DEL FAIR CASH</v>
      </c>
      <c r="AA1" s="38" t="str">
        <f>'[1]CO CODE'!$E$1-1&amp;" "&amp;"COMM DEL FAIR CASH"</f>
        <v>2015 COMM DEL FAIR CASH</v>
      </c>
      <c r="AB1" s="38" t="str">
        <f>'[1]CO CODE'!$E$1-1&amp;" "&amp;"AMT. REAL EXONERATIONS"</f>
        <v>2015 AMT. REAL EXONERATIONS</v>
      </c>
      <c r="AC1" s="38" t="str">
        <f>'[1]CO CODE'!$E$1-1&amp;" "&amp;"AMT. TANG. EXONERATIONS"</f>
        <v>2015 AMT. TANG. EXONERATIONS</v>
      </c>
      <c r="AD1" s="38" t="s">
        <v>14</v>
      </c>
      <c r="AE1" s="38" t="s">
        <v>15</v>
      </c>
      <c r="AF1" s="38" t="s">
        <v>16</v>
      </c>
      <c r="AG1" s="38" t="s">
        <v>17</v>
      </c>
      <c r="AH1" s="38" t="s">
        <v>18</v>
      </c>
      <c r="AI1" s="38" t="s">
        <v>19</v>
      </c>
      <c r="AJ1" s="38" t="str">
        <f>'[1]CO CODE'!$E$1&amp;" "&amp;"TOTAL UNMINED C0AL"</f>
        <v>2016 TOTAL UNMINED C0AL</v>
      </c>
      <c r="AK1" s="38" t="s">
        <v>21</v>
      </c>
      <c r="AL1" s="38" t="s">
        <v>22</v>
      </c>
      <c r="AM1" s="38" t="s">
        <v>23</v>
      </c>
      <c r="AN1" s="38" t="s">
        <v>24</v>
      </c>
      <c r="AO1" s="38" t="s">
        <v>25</v>
      </c>
      <c r="AP1" s="38" t="s">
        <v>26</v>
      </c>
      <c r="AQ1" s="38" t="s">
        <v>27</v>
      </c>
      <c r="AR1" s="38" t="s">
        <v>28</v>
      </c>
      <c r="AS1" s="38" t="s">
        <v>29</v>
      </c>
      <c r="AT1" s="38" t="s">
        <v>30</v>
      </c>
      <c r="AU1" s="38" t="s">
        <v>31</v>
      </c>
      <c r="AV1" s="38" t="s">
        <v>32</v>
      </c>
      <c r="AW1" s="38" t="s">
        <v>33</v>
      </c>
      <c r="AX1" s="38" t="s">
        <v>34</v>
      </c>
      <c r="AY1" s="38" t="s">
        <v>35</v>
      </c>
      <c r="AZ1" s="38" t="s">
        <v>36</v>
      </c>
      <c r="BA1" s="38" t="s">
        <v>37</v>
      </c>
      <c r="BB1" s="38" t="s">
        <v>38</v>
      </c>
      <c r="BC1" s="38" t="s">
        <v>39</v>
      </c>
      <c r="BD1" s="38" t="s">
        <v>40</v>
      </c>
      <c r="BE1" s="38" t="s">
        <v>41</v>
      </c>
      <c r="BF1" s="38" t="s">
        <v>42</v>
      </c>
      <c r="BG1" s="62" t="s">
        <v>307</v>
      </c>
      <c r="BH1" s="62" t="s">
        <v>43</v>
      </c>
      <c r="BI1" s="38" t="s">
        <v>44</v>
      </c>
      <c r="BJ1" s="38" t="s">
        <v>308</v>
      </c>
      <c r="BK1" s="38" t="s">
        <v>45</v>
      </c>
      <c r="BL1" s="38" t="s">
        <v>309</v>
      </c>
      <c r="BM1" s="62" t="s">
        <v>46</v>
      </c>
      <c r="BN1" s="38" t="s">
        <v>47</v>
      </c>
      <c r="BO1" s="38" t="s">
        <v>48</v>
      </c>
      <c r="BP1" s="76" t="s">
        <v>49</v>
      </c>
      <c r="BQ1" s="76" t="s">
        <v>50</v>
      </c>
      <c r="BR1" s="76" t="s">
        <v>51</v>
      </c>
      <c r="BS1" s="76"/>
      <c r="BT1" s="38" t="s">
        <v>52</v>
      </c>
      <c r="BU1" s="38" t="s">
        <v>53</v>
      </c>
      <c r="BV1" s="38" t="s">
        <v>54</v>
      </c>
      <c r="BW1" s="38" t="s">
        <v>55</v>
      </c>
      <c r="BX1" s="77" t="s">
        <v>326</v>
      </c>
      <c r="BY1" s="78" t="s">
        <v>327</v>
      </c>
      <c r="BZ1" s="78" t="s">
        <v>328</v>
      </c>
      <c r="CA1" s="78" t="s">
        <v>329</v>
      </c>
      <c r="CB1" s="78" t="s">
        <v>330</v>
      </c>
    </row>
    <row r="2" spans="1:80" x14ac:dyDescent="0.25">
      <c r="A2" s="79" t="s">
        <v>56</v>
      </c>
      <c r="B2" s="114">
        <v>290209800</v>
      </c>
      <c r="C2" s="114">
        <v>150359400</v>
      </c>
      <c r="D2" s="114">
        <v>109845890</v>
      </c>
      <c r="E2" s="114">
        <v>0</v>
      </c>
      <c r="F2" s="114">
        <v>43211500</v>
      </c>
      <c r="G2" s="114">
        <v>11599600</v>
      </c>
      <c r="H2" s="114">
        <v>21888080</v>
      </c>
      <c r="I2" s="114">
        <v>2690500</v>
      </c>
      <c r="J2" s="114">
        <v>36900</v>
      </c>
      <c r="K2" s="114">
        <v>36900</v>
      </c>
      <c r="L2" s="114">
        <v>376564870</v>
      </c>
      <c r="M2" s="114">
        <v>43544325</v>
      </c>
      <c r="N2" s="114">
        <v>1883</v>
      </c>
      <c r="O2" s="114">
        <v>471</v>
      </c>
      <c r="P2" s="114">
        <v>3231900</v>
      </c>
      <c r="Q2" s="114">
        <v>1837000</v>
      </c>
      <c r="R2" s="114">
        <v>950000</v>
      </c>
      <c r="S2" s="114">
        <v>183000</v>
      </c>
      <c r="T2" s="114">
        <v>404000</v>
      </c>
      <c r="U2" s="114">
        <v>86000</v>
      </c>
      <c r="V2" s="114">
        <v>3231900</v>
      </c>
      <c r="W2" s="114">
        <v>1837000</v>
      </c>
      <c r="X2" s="114">
        <v>950000</v>
      </c>
      <c r="Y2" s="114">
        <v>183000</v>
      </c>
      <c r="Z2" s="114">
        <v>404000</v>
      </c>
      <c r="AA2" s="114">
        <v>86000</v>
      </c>
      <c r="AB2" s="114">
        <v>-2733800</v>
      </c>
      <c r="AC2" s="114">
        <v>-121740</v>
      </c>
      <c r="AD2" s="114">
        <v>109523</v>
      </c>
      <c r="AE2" s="114">
        <v>0</v>
      </c>
      <c r="AF2" s="114">
        <v>0</v>
      </c>
      <c r="AG2" s="114">
        <v>224582</v>
      </c>
      <c r="AH2" s="116">
        <v>5121926.2295081969</v>
      </c>
      <c r="AI2" s="114">
        <v>290065.57377049181</v>
      </c>
      <c r="AJ2" s="114">
        <v>0</v>
      </c>
      <c r="AK2" s="82">
        <v>99913497</v>
      </c>
      <c r="AL2" s="83">
        <v>3065007</v>
      </c>
      <c r="AM2" s="114">
        <v>1005703</v>
      </c>
      <c r="AN2" s="114">
        <v>16050950</v>
      </c>
      <c r="AO2" s="114">
        <v>242203</v>
      </c>
      <c r="AP2" s="114">
        <v>14852279</v>
      </c>
      <c r="AQ2" s="114">
        <v>19323262</v>
      </c>
      <c r="AR2" s="114">
        <v>13976321</v>
      </c>
      <c r="AS2" s="114">
        <v>0</v>
      </c>
      <c r="AT2" s="114">
        <v>820128</v>
      </c>
      <c r="AU2" s="114">
        <v>0</v>
      </c>
      <c r="AV2" s="114">
        <v>0</v>
      </c>
      <c r="AW2" s="114">
        <v>0</v>
      </c>
      <c r="AX2" s="114">
        <v>461019</v>
      </c>
      <c r="AY2" s="114">
        <v>67300</v>
      </c>
      <c r="AZ2" s="114"/>
      <c r="BA2" s="114"/>
      <c r="BB2" s="114"/>
      <c r="BC2" s="114"/>
      <c r="BD2" s="82">
        <v>5376080.8499999996</v>
      </c>
      <c r="BE2" s="82">
        <v>2741801</v>
      </c>
      <c r="BF2" s="117">
        <v>0</v>
      </c>
      <c r="BG2" s="118">
        <v>0</v>
      </c>
      <c r="BH2" s="118">
        <v>0</v>
      </c>
      <c r="BI2" s="117">
        <v>23316770</v>
      </c>
      <c r="BJ2" s="117">
        <v>23316770</v>
      </c>
      <c r="BK2" s="117">
        <v>44727962</v>
      </c>
      <c r="BL2" s="117">
        <v>44108196</v>
      </c>
      <c r="BM2" s="117">
        <v>0</v>
      </c>
      <c r="BN2" s="117">
        <v>0</v>
      </c>
      <c r="BO2" s="119"/>
      <c r="BP2" s="86">
        <v>764588767.80327868</v>
      </c>
      <c r="BQ2" s="86">
        <v>591443496.80327868</v>
      </c>
      <c r="BR2" s="87">
        <v>272500</v>
      </c>
      <c r="BT2" s="114">
        <v>7824</v>
      </c>
      <c r="BU2" s="114">
        <v>4104</v>
      </c>
      <c r="BV2" s="114">
        <v>687</v>
      </c>
      <c r="BW2" s="114">
        <f t="shared" ref="BW2:BW10" si="0">SUM(BT2:BV2)</f>
        <v>12615</v>
      </c>
      <c r="BX2" s="89">
        <v>550415090</v>
      </c>
      <c r="BY2" s="90">
        <f>AK2</f>
        <v>99913497</v>
      </c>
      <c r="BZ2" s="90">
        <f>AL2</f>
        <v>3065007</v>
      </c>
      <c r="CA2" s="89">
        <f>AN2+AO2+AQ2+AS2</f>
        <v>35616415</v>
      </c>
      <c r="CB2" s="89">
        <f>SUM(BX2:CA2)</f>
        <v>689010009</v>
      </c>
    </row>
    <row r="3" spans="1:80" x14ac:dyDescent="0.25">
      <c r="A3" s="91" t="s">
        <v>57</v>
      </c>
      <c r="B3" s="114">
        <v>430804467</v>
      </c>
      <c r="C3" s="114">
        <v>165170466</v>
      </c>
      <c r="D3" s="114">
        <v>115536079</v>
      </c>
      <c r="E3" s="114">
        <v>3150000</v>
      </c>
      <c r="F3" s="114">
        <v>45795223</v>
      </c>
      <c r="G3" s="114">
        <v>13785595</v>
      </c>
      <c r="H3" s="114">
        <v>19240475</v>
      </c>
      <c r="I3" s="114">
        <v>2206880</v>
      </c>
      <c r="J3" s="114">
        <v>0</v>
      </c>
      <c r="K3" s="114">
        <v>0</v>
      </c>
      <c r="L3" s="114">
        <v>295313937</v>
      </c>
      <c r="M3" s="114">
        <v>111704833</v>
      </c>
      <c r="N3" s="114">
        <v>1865</v>
      </c>
      <c r="O3" s="114">
        <v>490</v>
      </c>
      <c r="P3" s="114">
        <v>11597604</v>
      </c>
      <c r="Q3" s="114">
        <v>7379694</v>
      </c>
      <c r="R3" s="114">
        <v>2872913</v>
      </c>
      <c r="S3" s="114">
        <v>5431991</v>
      </c>
      <c r="T3" s="114">
        <v>2300365</v>
      </c>
      <c r="U3" s="114">
        <v>1526550</v>
      </c>
      <c r="V3" s="114">
        <v>11597604</v>
      </c>
      <c r="W3" s="114">
        <v>14309482</v>
      </c>
      <c r="X3" s="114">
        <v>2872913</v>
      </c>
      <c r="Y3" s="114">
        <v>5431991</v>
      </c>
      <c r="Z3" s="114">
        <v>5938134</v>
      </c>
      <c r="AA3" s="114">
        <v>1526550</v>
      </c>
      <c r="AB3" s="114">
        <v>-2002531</v>
      </c>
      <c r="AC3" s="114">
        <v>298515</v>
      </c>
      <c r="AD3" s="114">
        <v>187955</v>
      </c>
      <c r="AE3" s="114">
        <v>0</v>
      </c>
      <c r="AF3" s="114">
        <v>0</v>
      </c>
      <c r="AG3" s="114">
        <v>0</v>
      </c>
      <c r="AH3" s="116">
        <v>1475180.3278688525</v>
      </c>
      <c r="AI3" s="114">
        <v>337040.98360655736</v>
      </c>
      <c r="AJ3" s="120">
        <v>0</v>
      </c>
      <c r="AK3" s="82">
        <v>106818718</v>
      </c>
      <c r="AL3" s="83">
        <v>6144969</v>
      </c>
      <c r="AM3" s="114">
        <v>99275</v>
      </c>
      <c r="AN3" s="114">
        <v>24436136</v>
      </c>
      <c r="AO3" s="114">
        <v>1760752</v>
      </c>
      <c r="AP3" s="114">
        <v>126758307</v>
      </c>
      <c r="AQ3" s="114">
        <v>35826502</v>
      </c>
      <c r="AR3" s="114">
        <v>16425971</v>
      </c>
      <c r="AS3" s="114">
        <v>31866245</v>
      </c>
      <c r="AT3" s="114">
        <v>0</v>
      </c>
      <c r="AU3" s="114">
        <v>0</v>
      </c>
      <c r="AV3" s="114">
        <v>0</v>
      </c>
      <c r="AW3" s="114">
        <v>0</v>
      </c>
      <c r="AX3" s="114">
        <v>19295</v>
      </c>
      <c r="AY3" s="114">
        <v>0</v>
      </c>
      <c r="AZ3" s="114"/>
      <c r="BA3" s="114"/>
      <c r="BB3" s="114"/>
      <c r="BC3" s="114"/>
      <c r="BD3" s="82">
        <v>5747632.5199999996</v>
      </c>
      <c r="BE3" s="82">
        <v>2931293</v>
      </c>
      <c r="BF3" s="117">
        <v>0</v>
      </c>
      <c r="BG3" s="118">
        <v>0</v>
      </c>
      <c r="BH3" s="118">
        <v>0</v>
      </c>
      <c r="BI3" s="117">
        <v>21938662</v>
      </c>
      <c r="BJ3" s="117">
        <v>21938662</v>
      </c>
      <c r="BK3" s="117">
        <v>40262986</v>
      </c>
      <c r="BL3" s="117">
        <v>40185423</v>
      </c>
      <c r="BM3" s="117">
        <v>0</v>
      </c>
      <c r="BN3" s="117">
        <v>0</v>
      </c>
      <c r="BO3" s="119"/>
      <c r="BP3" s="86">
        <v>953365688.3114754</v>
      </c>
      <c r="BQ3" s="86">
        <v>775346623.3114754</v>
      </c>
      <c r="BR3" s="87">
        <v>1298043</v>
      </c>
      <c r="BT3" s="114">
        <v>8541</v>
      </c>
      <c r="BU3" s="114">
        <v>3325</v>
      </c>
      <c r="BV3" s="114">
        <v>390</v>
      </c>
      <c r="BW3" s="114">
        <f t="shared" si="0"/>
        <v>12256</v>
      </c>
      <c r="BX3" s="89">
        <v>711511012</v>
      </c>
      <c r="BY3" s="90">
        <f t="shared" ref="BY3:BZ66" si="1">AK3</f>
        <v>106818718</v>
      </c>
      <c r="BZ3" s="90">
        <f t="shared" si="1"/>
        <v>6144969</v>
      </c>
      <c r="CA3" s="89">
        <f t="shared" ref="CA3:CA66" si="2">AN3+AO3+AQ3+AS3</f>
        <v>93889635</v>
      </c>
      <c r="CB3" s="89">
        <f t="shared" ref="CB3:CB66" si="3">SUM(BX3:CA3)</f>
        <v>918364334</v>
      </c>
    </row>
    <row r="4" spans="1:80" x14ac:dyDescent="0.25">
      <c r="A4" s="91" t="s">
        <v>58</v>
      </c>
      <c r="B4" s="114">
        <v>865585804</v>
      </c>
      <c r="C4" s="114">
        <v>197124651</v>
      </c>
      <c r="D4" s="114">
        <v>230556365</v>
      </c>
      <c r="E4" s="114">
        <v>0</v>
      </c>
      <c r="F4" s="114">
        <v>57231100</v>
      </c>
      <c r="G4" s="114">
        <v>8161400</v>
      </c>
      <c r="H4" s="114">
        <v>11657500</v>
      </c>
      <c r="I4" s="114">
        <v>1288700</v>
      </c>
      <c r="J4" s="114">
        <v>295200</v>
      </c>
      <c r="K4" s="114">
        <v>0</v>
      </c>
      <c r="L4" s="114">
        <v>163751869</v>
      </c>
      <c r="M4" s="114">
        <v>128613806</v>
      </c>
      <c r="N4" s="114">
        <v>1899</v>
      </c>
      <c r="O4" s="114">
        <v>272</v>
      </c>
      <c r="P4" s="114">
        <v>5515350</v>
      </c>
      <c r="Q4" s="114">
        <v>360000</v>
      </c>
      <c r="R4" s="114">
        <v>1339475</v>
      </c>
      <c r="S4" s="114">
        <v>5129406</v>
      </c>
      <c r="T4" s="114">
        <v>760000</v>
      </c>
      <c r="U4" s="114">
        <v>2403200</v>
      </c>
      <c r="V4" s="114">
        <v>5515350</v>
      </c>
      <c r="W4" s="114">
        <v>517000</v>
      </c>
      <c r="X4" s="114">
        <v>1339475</v>
      </c>
      <c r="Y4" s="114">
        <v>5129406</v>
      </c>
      <c r="Z4" s="114">
        <v>1082500</v>
      </c>
      <c r="AA4" s="114">
        <v>2403200</v>
      </c>
      <c r="AB4" s="114">
        <v>-2898500</v>
      </c>
      <c r="AC4" s="114">
        <v>-99105</v>
      </c>
      <c r="AD4" s="114">
        <v>0</v>
      </c>
      <c r="AE4" s="114">
        <v>0</v>
      </c>
      <c r="AF4" s="114">
        <v>0</v>
      </c>
      <c r="AG4" s="114">
        <v>109538</v>
      </c>
      <c r="AH4" s="116">
        <v>0</v>
      </c>
      <c r="AI4" s="114">
        <v>93975.409836065577</v>
      </c>
      <c r="AJ4" s="120">
        <v>0</v>
      </c>
      <c r="AK4" s="82">
        <v>160074303</v>
      </c>
      <c r="AL4" s="83">
        <v>4311245</v>
      </c>
      <c r="AM4" s="114">
        <v>0</v>
      </c>
      <c r="AN4" s="114">
        <v>25888993</v>
      </c>
      <c r="AO4" s="114">
        <v>3329696</v>
      </c>
      <c r="AP4" s="114">
        <v>114593730</v>
      </c>
      <c r="AQ4" s="114">
        <v>36354971</v>
      </c>
      <c r="AR4" s="114">
        <v>37770417</v>
      </c>
      <c r="AS4" s="114">
        <v>35170505</v>
      </c>
      <c r="AT4" s="114">
        <v>331538</v>
      </c>
      <c r="AU4" s="114">
        <v>0</v>
      </c>
      <c r="AV4" s="114">
        <v>0</v>
      </c>
      <c r="AW4" s="114">
        <v>8081204</v>
      </c>
      <c r="AX4" s="114">
        <v>7592</v>
      </c>
      <c r="AY4" s="114">
        <v>32500</v>
      </c>
      <c r="AZ4" s="114"/>
      <c r="BA4" s="114"/>
      <c r="BB4" s="114"/>
      <c r="BC4" s="114"/>
      <c r="BD4" s="82">
        <v>8613174.5999999996</v>
      </c>
      <c r="BE4" s="82">
        <v>4392719</v>
      </c>
      <c r="BF4" s="117">
        <v>0</v>
      </c>
      <c r="BG4" s="118">
        <v>1567917</v>
      </c>
      <c r="BH4" s="118">
        <v>3074348</v>
      </c>
      <c r="BI4" s="117">
        <v>18230666</v>
      </c>
      <c r="BJ4" s="117">
        <v>18230666</v>
      </c>
      <c r="BK4" s="117">
        <v>34689841</v>
      </c>
      <c r="BL4" s="117">
        <v>33074733</v>
      </c>
      <c r="BM4" s="117">
        <v>116053154</v>
      </c>
      <c r="BN4" s="117">
        <v>0</v>
      </c>
      <c r="BO4" s="119"/>
      <c r="BP4" s="86">
        <v>1696639192.4098361</v>
      </c>
      <c r="BQ4" s="86">
        <v>1358934455.4098361</v>
      </c>
      <c r="BR4" s="87">
        <v>973848</v>
      </c>
      <c r="BT4" s="114">
        <v>9408</v>
      </c>
      <c r="BU4" s="114">
        <v>2113</v>
      </c>
      <c r="BV4" s="114">
        <v>524</v>
      </c>
      <c r="BW4" s="114">
        <f t="shared" si="0"/>
        <v>12045</v>
      </c>
      <c r="BX4" s="89">
        <v>1293266820</v>
      </c>
      <c r="BY4" s="90">
        <f t="shared" si="1"/>
        <v>160074303</v>
      </c>
      <c r="BZ4" s="90">
        <f t="shared" si="1"/>
        <v>4311245</v>
      </c>
      <c r="CA4" s="89">
        <f t="shared" si="2"/>
        <v>100744165</v>
      </c>
      <c r="CB4" s="89">
        <f t="shared" si="3"/>
        <v>1558396533</v>
      </c>
    </row>
    <row r="5" spans="1:80" x14ac:dyDescent="0.25">
      <c r="A5" s="91" t="s">
        <v>59</v>
      </c>
      <c r="B5" s="114">
        <v>171687577</v>
      </c>
      <c r="C5" s="114">
        <v>143810012</v>
      </c>
      <c r="D5" s="114">
        <v>87485512</v>
      </c>
      <c r="E5" s="114">
        <v>0</v>
      </c>
      <c r="F5" s="114">
        <v>23769930</v>
      </c>
      <c r="G5" s="114">
        <v>5857986</v>
      </c>
      <c r="H5" s="114">
        <v>6263058</v>
      </c>
      <c r="I5" s="114">
        <v>848700</v>
      </c>
      <c r="J5" s="114">
        <v>15000</v>
      </c>
      <c r="K5" s="114">
        <v>0</v>
      </c>
      <c r="L5" s="114">
        <v>276352948</v>
      </c>
      <c r="M5" s="114">
        <v>45148210</v>
      </c>
      <c r="N5" s="114">
        <v>852</v>
      </c>
      <c r="O5" s="114">
        <v>202</v>
      </c>
      <c r="P5" s="114">
        <v>3955930</v>
      </c>
      <c r="Q5" s="114">
        <v>1440178</v>
      </c>
      <c r="R5" s="114">
        <v>625000</v>
      </c>
      <c r="S5" s="114">
        <v>767682</v>
      </c>
      <c r="T5" s="114">
        <v>224592</v>
      </c>
      <c r="U5" s="114">
        <v>32500</v>
      </c>
      <c r="V5" s="114">
        <v>3955930</v>
      </c>
      <c r="W5" s="114">
        <v>1414827</v>
      </c>
      <c r="X5" s="114">
        <v>625000</v>
      </c>
      <c r="Y5" s="114">
        <v>767682</v>
      </c>
      <c r="Z5" s="114">
        <v>166000</v>
      </c>
      <c r="AA5" s="114">
        <v>32500</v>
      </c>
      <c r="AB5" s="114">
        <v>-1103005</v>
      </c>
      <c r="AC5" s="114">
        <v>-881886</v>
      </c>
      <c r="AD5" s="114">
        <v>33960</v>
      </c>
      <c r="AE5" s="114">
        <v>4077</v>
      </c>
      <c r="AF5" s="114">
        <v>2152</v>
      </c>
      <c r="AG5" s="114">
        <v>142741</v>
      </c>
      <c r="AH5" s="116">
        <v>0</v>
      </c>
      <c r="AI5" s="114">
        <v>5221.311475409836</v>
      </c>
      <c r="AJ5" s="120">
        <v>0</v>
      </c>
      <c r="AK5" s="82">
        <v>72961838</v>
      </c>
      <c r="AL5" s="83">
        <v>2772351</v>
      </c>
      <c r="AM5" s="114">
        <v>0</v>
      </c>
      <c r="AN5" s="114">
        <v>34125203</v>
      </c>
      <c r="AO5" s="114">
        <v>11058749</v>
      </c>
      <c r="AP5" s="114">
        <v>143754995</v>
      </c>
      <c r="AQ5" s="114">
        <v>12572750</v>
      </c>
      <c r="AR5" s="114">
        <v>5463985</v>
      </c>
      <c r="AS5" s="114">
        <v>9475584</v>
      </c>
      <c r="AT5" s="114">
        <v>864500</v>
      </c>
      <c r="AU5" s="114">
        <v>0</v>
      </c>
      <c r="AV5" s="114">
        <v>0</v>
      </c>
      <c r="AW5" s="114">
        <v>14747525</v>
      </c>
      <c r="AX5" s="114">
        <v>0</v>
      </c>
      <c r="AY5" s="114">
        <v>0</v>
      </c>
      <c r="AZ5" s="114"/>
      <c r="BA5" s="114"/>
      <c r="BB5" s="114"/>
      <c r="BC5" s="114"/>
      <c r="BD5" s="82">
        <v>3925883.41</v>
      </c>
      <c r="BE5" s="82">
        <v>2002201</v>
      </c>
      <c r="BF5" s="117">
        <v>30618653</v>
      </c>
      <c r="BG5" s="118">
        <v>932663</v>
      </c>
      <c r="BH5" s="118">
        <v>1828751</v>
      </c>
      <c r="BI5" s="117">
        <v>16783258</v>
      </c>
      <c r="BJ5" s="117">
        <v>16783258</v>
      </c>
      <c r="BK5" s="117">
        <v>53530108</v>
      </c>
      <c r="BL5" s="117">
        <v>47087966</v>
      </c>
      <c r="BM5" s="117">
        <v>0</v>
      </c>
      <c r="BN5" s="117">
        <v>0</v>
      </c>
      <c r="BO5" s="119"/>
      <c r="BP5" s="86">
        <v>603285301.3114754</v>
      </c>
      <c r="BQ5" s="86">
        <v>460745024.3114754</v>
      </c>
      <c r="BR5" s="87">
        <v>2187473</v>
      </c>
      <c r="BT5" s="114">
        <v>3766</v>
      </c>
      <c r="BU5" s="114">
        <v>2073</v>
      </c>
      <c r="BV5" s="114">
        <v>429</v>
      </c>
      <c r="BW5" s="114">
        <f t="shared" si="0"/>
        <v>6268</v>
      </c>
      <c r="BX5" s="89">
        <v>402983101</v>
      </c>
      <c r="BY5" s="90">
        <f t="shared" si="1"/>
        <v>72961838</v>
      </c>
      <c r="BZ5" s="90">
        <f t="shared" si="1"/>
        <v>2772351</v>
      </c>
      <c r="CA5" s="89">
        <f t="shared" si="2"/>
        <v>67232286</v>
      </c>
      <c r="CB5" s="89">
        <f t="shared" si="3"/>
        <v>545949576</v>
      </c>
    </row>
    <row r="6" spans="1:80" x14ac:dyDescent="0.25">
      <c r="A6" s="91" t="s">
        <v>60</v>
      </c>
      <c r="B6" s="114">
        <v>1094772792</v>
      </c>
      <c r="C6" s="114">
        <v>300360271</v>
      </c>
      <c r="D6" s="114">
        <v>471346272</v>
      </c>
      <c r="E6" s="114">
        <v>3899700</v>
      </c>
      <c r="F6" s="114">
        <v>116089515</v>
      </c>
      <c r="G6" s="114">
        <v>17560999</v>
      </c>
      <c r="H6" s="114">
        <v>27569605</v>
      </c>
      <c r="I6" s="114">
        <v>1750850</v>
      </c>
      <c r="J6" s="114">
        <v>332100</v>
      </c>
      <c r="K6" s="114">
        <v>36900</v>
      </c>
      <c r="L6" s="114">
        <v>426763804</v>
      </c>
      <c r="M6" s="114">
        <v>222677630</v>
      </c>
      <c r="N6" s="114">
        <v>4049</v>
      </c>
      <c r="O6" s="114">
        <v>598</v>
      </c>
      <c r="P6" s="114">
        <v>16821000</v>
      </c>
      <c r="Q6" s="114">
        <v>5959200</v>
      </c>
      <c r="R6" s="114">
        <v>12651500</v>
      </c>
      <c r="S6" s="114">
        <v>10472650</v>
      </c>
      <c r="T6" s="114">
        <v>6002400</v>
      </c>
      <c r="U6" s="114">
        <v>11753350</v>
      </c>
      <c r="V6" s="114">
        <v>16821000</v>
      </c>
      <c r="W6" s="114">
        <v>9279300</v>
      </c>
      <c r="X6" s="114">
        <v>12651500</v>
      </c>
      <c r="Y6" s="114">
        <v>10472650</v>
      </c>
      <c r="Z6" s="114">
        <v>5696300</v>
      </c>
      <c r="AA6" s="114">
        <v>11753350</v>
      </c>
      <c r="AB6" s="114">
        <v>-3248540</v>
      </c>
      <c r="AC6" s="114">
        <v>-61219</v>
      </c>
      <c r="AD6" s="114">
        <v>47</v>
      </c>
      <c r="AE6" s="114">
        <v>0</v>
      </c>
      <c r="AF6" s="114">
        <v>0</v>
      </c>
      <c r="AG6" s="114">
        <v>265401</v>
      </c>
      <c r="AH6" s="116">
        <v>1024516.3934426231</v>
      </c>
      <c r="AI6" s="121">
        <v>576122.9508196722</v>
      </c>
      <c r="AJ6" s="120">
        <v>0</v>
      </c>
      <c r="AK6" s="82">
        <f>193537280+67656153+13008964</f>
        <v>274202397</v>
      </c>
      <c r="AL6" s="83">
        <f>10016639+1186098+177292</f>
        <v>11380029</v>
      </c>
      <c r="AM6" s="114">
        <v>2685377</v>
      </c>
      <c r="AN6" s="114">
        <v>90137704</v>
      </c>
      <c r="AO6" s="114">
        <v>18652506</v>
      </c>
      <c r="AP6" s="114">
        <v>326987481</v>
      </c>
      <c r="AQ6" s="114">
        <v>83978102</v>
      </c>
      <c r="AR6" s="114">
        <v>74305129</v>
      </c>
      <c r="AS6" s="114">
        <v>74248032</v>
      </c>
      <c r="AT6" s="114">
        <v>1719736</v>
      </c>
      <c r="AU6" s="114">
        <v>0</v>
      </c>
      <c r="AV6" s="114">
        <v>1068937</v>
      </c>
      <c r="AW6" s="114">
        <v>1127705</v>
      </c>
      <c r="AX6" s="114">
        <v>9164257</v>
      </c>
      <c r="AY6" s="114">
        <v>1522395</v>
      </c>
      <c r="AZ6" s="114"/>
      <c r="BA6" s="114"/>
      <c r="BB6" s="114"/>
      <c r="BC6" s="114"/>
      <c r="BD6" s="82">
        <v>14754105.300000001</v>
      </c>
      <c r="BE6" s="82">
        <v>7524594</v>
      </c>
      <c r="BF6" s="117"/>
      <c r="BG6" s="118">
        <v>1860760</v>
      </c>
      <c r="BH6" s="118">
        <v>3648550</v>
      </c>
      <c r="BI6" s="117">
        <v>40515074</v>
      </c>
      <c r="BJ6" s="117">
        <v>40139425</v>
      </c>
      <c r="BK6" s="117">
        <v>97291488</v>
      </c>
      <c r="BL6" s="117">
        <v>95179249</v>
      </c>
      <c r="BM6" s="117">
        <v>0</v>
      </c>
      <c r="BN6" s="117">
        <v>15985093</v>
      </c>
      <c r="BO6" s="119"/>
      <c r="BP6" s="86">
        <v>2507119833.3442621</v>
      </c>
      <c r="BQ6" s="86">
        <v>2060848286.3442624</v>
      </c>
      <c r="BR6" s="87">
        <v>4432622</v>
      </c>
      <c r="BT6" s="114">
        <v>17616</v>
      </c>
      <c r="BU6" s="114">
        <v>4634</v>
      </c>
      <c r="BV6" s="114">
        <v>1456</v>
      </c>
      <c r="BW6" s="114">
        <f t="shared" si="0"/>
        <v>23706</v>
      </c>
      <c r="BX6" s="89">
        <v>1866479335</v>
      </c>
      <c r="BY6" s="90">
        <f t="shared" si="1"/>
        <v>274202397</v>
      </c>
      <c r="BZ6" s="90">
        <f t="shared" si="1"/>
        <v>11380029</v>
      </c>
      <c r="CA6" s="89">
        <f t="shared" si="2"/>
        <v>267016344</v>
      </c>
      <c r="CB6" s="89">
        <f t="shared" si="3"/>
        <v>2419078105</v>
      </c>
    </row>
    <row r="7" spans="1:80" x14ac:dyDescent="0.25">
      <c r="A7" s="91" t="s">
        <v>61</v>
      </c>
      <c r="B7" s="114">
        <v>169488820</v>
      </c>
      <c r="C7" s="114">
        <v>85302246</v>
      </c>
      <c r="D7" s="114">
        <v>41540700</v>
      </c>
      <c r="E7" s="114">
        <v>1933334</v>
      </c>
      <c r="F7" s="114">
        <v>27407300</v>
      </c>
      <c r="G7" s="114">
        <v>11998900</v>
      </c>
      <c r="H7" s="114">
        <v>8688300</v>
      </c>
      <c r="I7" s="114">
        <v>2042500</v>
      </c>
      <c r="J7" s="114">
        <v>0</v>
      </c>
      <c r="K7" s="114">
        <v>73800</v>
      </c>
      <c r="L7" s="114">
        <v>156343115</v>
      </c>
      <c r="M7" s="114">
        <v>54362241</v>
      </c>
      <c r="N7" s="114">
        <v>1098</v>
      </c>
      <c r="O7" s="114">
        <v>462</v>
      </c>
      <c r="P7" s="114">
        <v>2242642</v>
      </c>
      <c r="Q7" s="114">
        <v>1735876</v>
      </c>
      <c r="R7" s="114">
        <v>262800</v>
      </c>
      <c r="S7" s="114">
        <v>1437100</v>
      </c>
      <c r="T7" s="114">
        <v>468850</v>
      </c>
      <c r="U7" s="114">
        <v>232000</v>
      </c>
      <c r="V7" s="114">
        <v>2242642</v>
      </c>
      <c r="W7" s="114">
        <v>1595716</v>
      </c>
      <c r="X7" s="114">
        <v>262800</v>
      </c>
      <c r="Y7" s="114">
        <v>1437100</v>
      </c>
      <c r="Z7" s="114">
        <v>617000</v>
      </c>
      <c r="AA7" s="114">
        <v>232000</v>
      </c>
      <c r="AB7" s="114">
        <v>-2580100</v>
      </c>
      <c r="AC7" s="114">
        <v>0</v>
      </c>
      <c r="AD7" s="114">
        <v>133</v>
      </c>
      <c r="AE7" s="114">
        <v>10190</v>
      </c>
      <c r="AF7" s="114">
        <v>11035700</v>
      </c>
      <c r="AG7" s="114">
        <v>146727</v>
      </c>
      <c r="AH7" s="116">
        <v>0</v>
      </c>
      <c r="AI7" s="121">
        <v>0</v>
      </c>
      <c r="AJ7" s="120">
        <v>0</v>
      </c>
      <c r="AK7" s="82">
        <v>66739044</v>
      </c>
      <c r="AL7" s="83">
        <v>1328608</v>
      </c>
      <c r="AM7" s="114">
        <v>0</v>
      </c>
      <c r="AN7" s="114">
        <v>27864133</v>
      </c>
      <c r="AO7" s="114">
        <v>1456486</v>
      </c>
      <c r="AP7" s="114">
        <v>2710757</v>
      </c>
      <c r="AQ7" s="114">
        <v>3496134</v>
      </c>
      <c r="AR7" s="114">
        <v>9411254</v>
      </c>
      <c r="AS7" s="114">
        <v>10315748</v>
      </c>
      <c r="AT7" s="114">
        <f>556190+350</f>
        <v>556540</v>
      </c>
      <c r="AU7" s="114">
        <v>0</v>
      </c>
      <c r="AV7" s="114">
        <v>0</v>
      </c>
      <c r="AW7" s="114">
        <v>1892483</v>
      </c>
      <c r="AX7" s="114">
        <v>0</v>
      </c>
      <c r="AY7" s="114">
        <v>57000</v>
      </c>
      <c r="AZ7" s="114"/>
      <c r="BA7" s="114"/>
      <c r="BB7" s="114"/>
      <c r="BC7" s="114"/>
      <c r="BD7" s="82">
        <v>3591051.33</v>
      </c>
      <c r="BE7" s="82">
        <v>1831436</v>
      </c>
      <c r="BF7" s="117"/>
      <c r="BG7" s="118">
        <v>0</v>
      </c>
      <c r="BH7" s="118">
        <v>0</v>
      </c>
      <c r="BI7" s="117">
        <v>39103019</v>
      </c>
      <c r="BJ7" s="117">
        <v>39103019</v>
      </c>
      <c r="BK7" s="117">
        <v>52833464</v>
      </c>
      <c r="BL7" s="117">
        <v>52813223</v>
      </c>
      <c r="BM7" s="117">
        <v>0</v>
      </c>
      <c r="BN7" s="117">
        <v>0</v>
      </c>
      <c r="BO7" s="119"/>
      <c r="BP7" s="86">
        <v>490963849</v>
      </c>
      <c r="BQ7" s="86">
        <v>329148519</v>
      </c>
      <c r="BR7" s="87">
        <v>833500</v>
      </c>
      <c r="BT7" s="114">
        <f>4664+1959</f>
        <v>6623</v>
      </c>
      <c r="BU7" s="114">
        <v>279</v>
      </c>
      <c r="BV7" s="114">
        <v>281</v>
      </c>
      <c r="BW7" s="114">
        <f t="shared" si="0"/>
        <v>7183</v>
      </c>
      <c r="BX7" s="89">
        <f>B7+C7+D7</f>
        <v>296331766</v>
      </c>
      <c r="BY7" s="90">
        <f t="shared" si="1"/>
        <v>66739044</v>
      </c>
      <c r="BZ7" s="90">
        <f t="shared" si="1"/>
        <v>1328608</v>
      </c>
      <c r="CA7" s="89">
        <f t="shared" si="2"/>
        <v>43132501</v>
      </c>
      <c r="CB7" s="89">
        <f t="shared" si="3"/>
        <v>407531919</v>
      </c>
    </row>
    <row r="8" spans="1:80" x14ac:dyDescent="0.25">
      <c r="A8" s="91" t="s">
        <v>62</v>
      </c>
      <c r="B8" s="114">
        <v>435893550</v>
      </c>
      <c r="C8" s="114">
        <v>26866350</v>
      </c>
      <c r="D8" s="114">
        <v>190020427</v>
      </c>
      <c r="E8" s="114">
        <v>0</v>
      </c>
      <c r="F8" s="114">
        <v>74054300</v>
      </c>
      <c r="G8" s="114">
        <v>22968200</v>
      </c>
      <c r="H8" s="114">
        <v>4323600</v>
      </c>
      <c r="I8" s="114">
        <v>795600</v>
      </c>
      <c r="J8" s="114">
        <v>73800</v>
      </c>
      <c r="K8" s="114">
        <v>0</v>
      </c>
      <c r="L8" s="114">
        <v>35478525</v>
      </c>
      <c r="M8" s="114"/>
      <c r="N8" s="114">
        <v>2532</v>
      </c>
      <c r="O8" s="114">
        <v>831</v>
      </c>
      <c r="P8" s="114">
        <v>2605300</v>
      </c>
      <c r="Q8" s="114">
        <v>60000</v>
      </c>
      <c r="R8" s="114">
        <v>965000</v>
      </c>
      <c r="S8" s="114">
        <v>6657400</v>
      </c>
      <c r="T8" s="114">
        <v>205400</v>
      </c>
      <c r="U8" s="114">
        <v>2920169</v>
      </c>
      <c r="V8" s="114">
        <v>2605300</v>
      </c>
      <c r="W8" s="114">
        <v>60000</v>
      </c>
      <c r="X8" s="114">
        <v>965000</v>
      </c>
      <c r="Y8" s="114">
        <v>6657400</v>
      </c>
      <c r="Z8" s="114">
        <v>217600</v>
      </c>
      <c r="AA8" s="114">
        <v>2921169</v>
      </c>
      <c r="AB8" s="114">
        <v>-6811457</v>
      </c>
      <c r="AC8" s="114">
        <v>78320</v>
      </c>
      <c r="AD8" s="114">
        <v>157644</v>
      </c>
      <c r="AE8" s="114">
        <v>0</v>
      </c>
      <c r="AF8" s="114">
        <v>0</v>
      </c>
      <c r="AG8" s="114">
        <v>0</v>
      </c>
      <c r="AH8" s="116">
        <v>17288221.311475411</v>
      </c>
      <c r="AI8" s="121">
        <v>14027532.786885247</v>
      </c>
      <c r="AJ8" s="120">
        <v>45849172.131147541</v>
      </c>
      <c r="AK8" s="82">
        <f>78222535+5333345+38626051</f>
        <v>122181931</v>
      </c>
      <c r="AL8" s="83">
        <v>957838</v>
      </c>
      <c r="AM8" s="114">
        <v>0</v>
      </c>
      <c r="AN8" s="114">
        <v>48196297</v>
      </c>
      <c r="AO8" s="114">
        <v>5235883</v>
      </c>
      <c r="AP8" s="114">
        <v>43162129</v>
      </c>
      <c r="AQ8" s="114">
        <v>38476716</v>
      </c>
      <c r="AR8" s="114">
        <v>8736308</v>
      </c>
      <c r="AS8" s="114">
        <v>19</v>
      </c>
      <c r="AT8" s="114">
        <v>37544</v>
      </c>
      <c r="AU8" s="114">
        <v>0</v>
      </c>
      <c r="AV8" s="114">
        <v>2600</v>
      </c>
      <c r="AW8" s="114">
        <v>500</v>
      </c>
      <c r="AX8" s="114">
        <v>24043</v>
      </c>
      <c r="AY8" s="114">
        <v>342000</v>
      </c>
      <c r="AZ8" s="114"/>
      <c r="BA8" s="114"/>
      <c r="BB8" s="114"/>
      <c r="BC8" s="114"/>
      <c r="BD8" s="82">
        <v>6574286.3499999996</v>
      </c>
      <c r="BE8" s="82">
        <v>3352886</v>
      </c>
      <c r="BF8" s="117"/>
      <c r="BG8" s="118">
        <v>7544134</v>
      </c>
      <c r="BH8" s="118">
        <v>14792421</v>
      </c>
      <c r="BI8" s="117">
        <v>48111166</v>
      </c>
      <c r="BJ8" s="117">
        <v>48111166</v>
      </c>
      <c r="BK8" s="117">
        <v>92707652</v>
      </c>
      <c r="BL8" s="117">
        <v>85497131</v>
      </c>
      <c r="BM8" s="117">
        <v>0</v>
      </c>
      <c r="BN8" s="117">
        <v>0</v>
      </c>
      <c r="BO8" s="119"/>
      <c r="BP8" s="86">
        <v>1089499235.2295082</v>
      </c>
      <c r="BQ8" s="86">
        <v>821854149.22950816</v>
      </c>
      <c r="BR8" s="87">
        <v>2466300</v>
      </c>
      <c r="BT8" s="114">
        <v>13632</v>
      </c>
      <c r="BU8" s="114">
        <v>1467</v>
      </c>
      <c r="BV8" s="114">
        <v>701</v>
      </c>
      <c r="BW8" s="114">
        <f t="shared" si="0"/>
        <v>15800</v>
      </c>
      <c r="BX8" s="89">
        <v>652780327</v>
      </c>
      <c r="BY8" s="90">
        <f t="shared" si="1"/>
        <v>122181931</v>
      </c>
      <c r="BZ8" s="90">
        <f t="shared" si="1"/>
        <v>957838</v>
      </c>
      <c r="CA8" s="89">
        <f t="shared" si="2"/>
        <v>91908915</v>
      </c>
      <c r="CB8" s="89">
        <f t="shared" si="3"/>
        <v>867829011</v>
      </c>
    </row>
    <row r="9" spans="1:80" x14ac:dyDescent="0.25">
      <c r="A9" s="91" t="s">
        <v>63</v>
      </c>
      <c r="B9" s="114">
        <v>6451614216</v>
      </c>
      <c r="C9" s="114">
        <v>272972059</v>
      </c>
      <c r="D9" s="114">
        <v>3948751217</v>
      </c>
      <c r="E9" s="114">
        <v>63987881</v>
      </c>
      <c r="F9" s="114">
        <v>269664640</v>
      </c>
      <c r="G9" s="114">
        <v>23239870</v>
      </c>
      <c r="H9" s="114">
        <v>15473880</v>
      </c>
      <c r="I9" s="114">
        <v>893100</v>
      </c>
      <c r="J9" s="114">
        <v>590400</v>
      </c>
      <c r="K9" s="114">
        <v>36900</v>
      </c>
      <c r="L9" s="114">
        <v>763903381</v>
      </c>
      <c r="M9" s="114">
        <v>0</v>
      </c>
      <c r="N9" s="114">
        <v>7864</v>
      </c>
      <c r="O9" s="114">
        <v>690</v>
      </c>
      <c r="P9" s="114">
        <v>120235270</v>
      </c>
      <c r="Q9" s="114">
        <v>5259060</v>
      </c>
      <c r="R9" s="114">
        <v>65994660</v>
      </c>
      <c r="S9" s="114">
        <v>23530727</v>
      </c>
      <c r="T9" s="114">
        <v>3146070</v>
      </c>
      <c r="U9" s="114">
        <v>50368210</v>
      </c>
      <c r="V9" s="114">
        <v>120235270</v>
      </c>
      <c r="W9" s="114">
        <v>10259380</v>
      </c>
      <c r="X9" s="114">
        <v>65994660</v>
      </c>
      <c r="Y9" s="114">
        <v>23530727</v>
      </c>
      <c r="Z9" s="114">
        <v>16142220</v>
      </c>
      <c r="AA9" s="114">
        <v>50368210</v>
      </c>
      <c r="AB9" s="114">
        <v>1575265</v>
      </c>
      <c r="AC9" s="114">
        <v>16512012</v>
      </c>
      <c r="AD9" s="114">
        <v>0</v>
      </c>
      <c r="AE9" s="114">
        <v>0</v>
      </c>
      <c r="AF9" s="114">
        <v>0</v>
      </c>
      <c r="AG9" s="114">
        <v>0</v>
      </c>
      <c r="AH9" s="116">
        <v>0</v>
      </c>
      <c r="AI9" s="121">
        <v>245327.86885245904</v>
      </c>
      <c r="AJ9" s="120">
        <v>0</v>
      </c>
      <c r="AK9" s="82">
        <f>1018110102+121814+47963757</f>
        <v>1066195673</v>
      </c>
      <c r="AL9" s="83">
        <f>16444060+833916</f>
        <v>17277976</v>
      </c>
      <c r="AM9" s="114">
        <v>1230842</v>
      </c>
      <c r="AN9" s="114">
        <v>923247573</v>
      </c>
      <c r="AO9" s="114">
        <v>37213335</v>
      </c>
      <c r="AP9" s="114">
        <v>1101974985</v>
      </c>
      <c r="AQ9" s="114">
        <v>707797187</v>
      </c>
      <c r="AR9" s="114">
        <v>491604493</v>
      </c>
      <c r="AS9" s="114">
        <v>1610396407</v>
      </c>
      <c r="AT9" s="114">
        <f>2031913+780060369</f>
        <v>782092282</v>
      </c>
      <c r="AU9" s="114">
        <v>0</v>
      </c>
      <c r="AV9" s="114">
        <v>75000</v>
      </c>
      <c r="AW9" s="114">
        <v>23105313</v>
      </c>
      <c r="AX9" s="114">
        <v>5849505</v>
      </c>
      <c r="AY9" s="114">
        <v>17143092</v>
      </c>
      <c r="AZ9" s="114"/>
      <c r="BA9" s="114"/>
      <c r="BB9" s="114"/>
      <c r="BC9" s="114"/>
      <c r="BD9" s="82">
        <v>57369167.450000003</v>
      </c>
      <c r="BE9" s="82">
        <v>29258275</v>
      </c>
      <c r="BF9" s="117">
        <v>40824870</v>
      </c>
      <c r="BG9" s="118">
        <v>1134196</v>
      </c>
      <c r="BH9" s="118">
        <v>2223915</v>
      </c>
      <c r="BI9" s="117">
        <v>127359515</v>
      </c>
      <c r="BJ9" s="117">
        <v>127359515</v>
      </c>
      <c r="BK9" s="117">
        <v>813781610</v>
      </c>
      <c r="BL9" s="117">
        <v>519565962</v>
      </c>
      <c r="BM9" s="117">
        <v>0</v>
      </c>
      <c r="BN9" s="117">
        <v>0</v>
      </c>
      <c r="BO9" s="119"/>
      <c r="BP9" s="86">
        <v>14102632511.868853</v>
      </c>
      <c r="BQ9" s="86">
        <v>12341840914.868853</v>
      </c>
      <c r="BR9" s="87">
        <v>4525710</v>
      </c>
      <c r="BT9" s="114">
        <v>41172</v>
      </c>
      <c r="BU9" s="114">
        <v>2472</v>
      </c>
      <c r="BV9" s="114">
        <v>2603</v>
      </c>
      <c r="BW9" s="114">
        <f t="shared" si="0"/>
        <v>46247</v>
      </c>
      <c r="BX9" s="89">
        <v>10673337492</v>
      </c>
      <c r="BY9" s="90">
        <f t="shared" si="1"/>
        <v>1066195673</v>
      </c>
      <c r="BZ9" s="90">
        <f t="shared" si="1"/>
        <v>17277976</v>
      </c>
      <c r="CA9" s="89">
        <f t="shared" si="2"/>
        <v>3278654502</v>
      </c>
      <c r="CB9" s="89">
        <f t="shared" si="3"/>
        <v>15035465643</v>
      </c>
    </row>
    <row r="10" spans="1:80" x14ac:dyDescent="0.25">
      <c r="A10" s="91" t="s">
        <v>64</v>
      </c>
      <c r="B10" s="114">
        <v>580525796</v>
      </c>
      <c r="C10" s="114">
        <v>323791866</v>
      </c>
      <c r="D10" s="114">
        <v>173410912</v>
      </c>
      <c r="E10" s="114">
        <v>2495000</v>
      </c>
      <c r="F10" s="114">
        <v>49703200</v>
      </c>
      <c r="G10" s="114">
        <v>8514200</v>
      </c>
      <c r="H10" s="114">
        <v>11884305</v>
      </c>
      <c r="I10" s="114">
        <v>876100</v>
      </c>
      <c r="J10" s="114">
        <v>36900</v>
      </c>
      <c r="K10" s="114">
        <v>0</v>
      </c>
      <c r="L10" s="114">
        <v>830279670</v>
      </c>
      <c r="M10" s="114">
        <v>195736440</v>
      </c>
      <c r="N10" s="114">
        <v>1689</v>
      </c>
      <c r="O10" s="114">
        <v>263</v>
      </c>
      <c r="P10" s="114">
        <v>2924069</v>
      </c>
      <c r="Q10" s="114">
        <v>2831500</v>
      </c>
      <c r="R10" s="114">
        <v>855000</v>
      </c>
      <c r="S10" s="114">
        <v>3562400</v>
      </c>
      <c r="T10" s="114">
        <v>625569</v>
      </c>
      <c r="U10" s="114">
        <v>1367902</v>
      </c>
      <c r="V10" s="114">
        <v>2924069</v>
      </c>
      <c r="W10" s="114">
        <v>2203000</v>
      </c>
      <c r="X10" s="114">
        <v>855000</v>
      </c>
      <c r="Y10" s="114">
        <v>3562400</v>
      </c>
      <c r="Z10" s="114">
        <v>1868782</v>
      </c>
      <c r="AA10" s="114">
        <v>1369902</v>
      </c>
      <c r="AB10" s="114">
        <v>-1103462</v>
      </c>
      <c r="AC10" s="114">
        <v>-2414733</v>
      </c>
      <c r="AD10" s="114">
        <v>0</v>
      </c>
      <c r="AE10" s="114">
        <v>0</v>
      </c>
      <c r="AF10" s="114">
        <v>0</v>
      </c>
      <c r="AG10" s="114">
        <v>175468</v>
      </c>
      <c r="AH10" s="116">
        <v>0</v>
      </c>
      <c r="AI10" s="114">
        <v>486844.26229508204</v>
      </c>
      <c r="AJ10" s="120">
        <v>0</v>
      </c>
      <c r="AK10" s="82">
        <f>130592857+28675849</f>
        <v>159268706</v>
      </c>
      <c r="AL10" s="83">
        <v>2775509</v>
      </c>
      <c r="AM10" s="114">
        <v>0</v>
      </c>
      <c r="AN10" s="114">
        <v>39227703</v>
      </c>
      <c r="AO10" s="114">
        <v>14080205</v>
      </c>
      <c r="AP10" s="114">
        <v>150028059</v>
      </c>
      <c r="AQ10" s="114">
        <v>44546435</v>
      </c>
      <c r="AR10" s="114">
        <v>50232079</v>
      </c>
      <c r="AS10" s="114">
        <v>3411166</v>
      </c>
      <c r="AT10" s="114">
        <f>123189828+354</f>
        <v>123190182</v>
      </c>
      <c r="AU10" s="114">
        <v>0</v>
      </c>
      <c r="AV10" s="114">
        <v>27498</v>
      </c>
      <c r="AW10" s="114">
        <v>2078296</v>
      </c>
      <c r="AX10" s="114">
        <v>8169</v>
      </c>
      <c r="AY10" s="114">
        <v>306275</v>
      </c>
      <c r="AZ10" s="114"/>
      <c r="BA10" s="114"/>
      <c r="BB10" s="114"/>
      <c r="BC10" s="114"/>
      <c r="BD10" s="82">
        <v>8569827.5600000005</v>
      </c>
      <c r="BE10" s="82">
        <v>4370612</v>
      </c>
      <c r="BF10" s="117"/>
      <c r="BG10" s="118">
        <v>2190127</v>
      </c>
      <c r="BH10" s="118">
        <v>4294367</v>
      </c>
      <c r="BI10" s="117">
        <v>25177744</v>
      </c>
      <c r="BJ10" s="117">
        <v>25177744</v>
      </c>
      <c r="BK10" s="117">
        <v>47242398</v>
      </c>
      <c r="BL10" s="117">
        <v>43976883</v>
      </c>
      <c r="BM10" s="117">
        <v>0</v>
      </c>
      <c r="BN10" s="117">
        <v>0</v>
      </c>
      <c r="BO10" s="119"/>
      <c r="BP10" s="86">
        <v>1413829342.262295</v>
      </c>
      <c r="BQ10" s="86">
        <v>1176069761.262295</v>
      </c>
      <c r="BR10" s="87">
        <v>1478430</v>
      </c>
      <c r="BT10" s="114">
        <v>6586</v>
      </c>
      <c r="BU10" s="114">
        <v>1810</v>
      </c>
      <c r="BV10" s="114">
        <v>536</v>
      </c>
      <c r="BW10" s="114">
        <f t="shared" si="0"/>
        <v>8932</v>
      </c>
      <c r="BX10" s="89">
        <v>1077728574</v>
      </c>
      <c r="BY10" s="90">
        <f t="shared" si="1"/>
        <v>159268706</v>
      </c>
      <c r="BZ10" s="90">
        <f t="shared" si="1"/>
        <v>2775509</v>
      </c>
      <c r="CA10" s="89">
        <f t="shared" si="2"/>
        <v>101265509</v>
      </c>
      <c r="CB10" s="89">
        <f t="shared" si="3"/>
        <v>1341038298</v>
      </c>
    </row>
    <row r="11" spans="1:80" x14ac:dyDescent="0.25">
      <c r="A11" s="91" t="s">
        <v>65</v>
      </c>
      <c r="B11" s="114">
        <v>1179902175</v>
      </c>
      <c r="C11" s="114">
        <v>92948405</v>
      </c>
      <c r="D11" s="114">
        <v>630615715</v>
      </c>
      <c r="E11" s="114">
        <v>1000000</v>
      </c>
      <c r="F11" s="114">
        <v>146341220</v>
      </c>
      <c r="G11" s="114">
        <v>45474210</v>
      </c>
      <c r="H11" s="114">
        <v>9039600</v>
      </c>
      <c r="I11" s="114">
        <v>2111900</v>
      </c>
      <c r="J11" s="114">
        <v>539300</v>
      </c>
      <c r="K11" s="114">
        <v>73800</v>
      </c>
      <c r="L11" s="114">
        <v>67028615</v>
      </c>
      <c r="M11" s="114">
        <v>79308380</v>
      </c>
      <c r="N11" s="114">
        <v>4506</v>
      </c>
      <c r="O11" s="114">
        <v>1427</v>
      </c>
      <c r="P11" s="114">
        <v>3907650</v>
      </c>
      <c r="Q11" s="114">
        <v>670800</v>
      </c>
      <c r="R11" s="114">
        <v>5689600</v>
      </c>
      <c r="S11" s="114">
        <v>6834970</v>
      </c>
      <c r="T11" s="114">
        <v>187850</v>
      </c>
      <c r="U11" s="114">
        <v>11159890</v>
      </c>
      <c r="V11" s="114">
        <v>3907650</v>
      </c>
      <c r="W11" s="114">
        <v>1055700</v>
      </c>
      <c r="X11" s="114">
        <v>5689600</v>
      </c>
      <c r="Y11" s="114">
        <v>6830970</v>
      </c>
      <c r="Z11" s="114">
        <v>298350</v>
      </c>
      <c r="AA11" s="114">
        <v>11159890</v>
      </c>
      <c r="AB11" s="114">
        <v>-7480700</v>
      </c>
      <c r="AC11" s="114">
        <v>-3612184</v>
      </c>
      <c r="AD11" s="114">
        <v>52591</v>
      </c>
      <c r="AE11" s="114">
        <v>127</v>
      </c>
      <c r="AF11" s="114">
        <v>0</v>
      </c>
      <c r="AG11" s="114">
        <v>457917</v>
      </c>
      <c r="AH11" s="116">
        <v>84565.573770491814</v>
      </c>
      <c r="AI11" s="121">
        <v>2974212.2950819675</v>
      </c>
      <c r="AJ11" s="120">
        <v>301000.00000000006</v>
      </c>
      <c r="AK11" s="82">
        <f>177612760+25921602+1929985+110688216</f>
        <v>316152563</v>
      </c>
      <c r="AL11" s="83">
        <f>5342971+489689+9924+1890385</f>
        <v>7732969</v>
      </c>
      <c r="AM11" s="114">
        <v>0</v>
      </c>
      <c r="AN11" s="114">
        <v>142054781</v>
      </c>
      <c r="AO11" s="114">
        <v>14639270</v>
      </c>
      <c r="AP11" s="114">
        <v>332640071</v>
      </c>
      <c r="AQ11" s="114">
        <v>111670343</v>
      </c>
      <c r="AR11" s="114">
        <v>193086394</v>
      </c>
      <c r="AS11" s="114">
        <v>20520944</v>
      </c>
      <c r="AT11" s="114">
        <f>905185+1156836739</f>
        <v>1157741924</v>
      </c>
      <c r="AU11" s="114">
        <v>0</v>
      </c>
      <c r="AV11" s="114">
        <v>0</v>
      </c>
      <c r="AW11" s="114">
        <v>0</v>
      </c>
      <c r="AX11" s="114">
        <v>61</v>
      </c>
      <c r="AY11" s="114">
        <v>9500</v>
      </c>
      <c r="AZ11" s="114"/>
      <c r="BA11" s="114"/>
      <c r="BB11" s="114"/>
      <c r="BC11" s="114"/>
      <c r="BD11" s="82">
        <v>17011332.710000001</v>
      </c>
      <c r="BE11" s="82">
        <v>8675780</v>
      </c>
      <c r="BF11" s="117">
        <v>22911917</v>
      </c>
      <c r="BG11" s="118">
        <v>6165359</v>
      </c>
      <c r="BH11" s="118">
        <v>12088938</v>
      </c>
      <c r="BI11" s="117">
        <v>79001927</v>
      </c>
      <c r="BJ11" s="117">
        <v>79001927</v>
      </c>
      <c r="BK11" s="117">
        <v>142200245</v>
      </c>
      <c r="BL11" s="117">
        <v>138668983</v>
      </c>
      <c r="BM11" s="117">
        <v>0</v>
      </c>
      <c r="BN11" s="117">
        <v>0</v>
      </c>
      <c r="BO11" s="119"/>
      <c r="BP11" s="86">
        <v>2731588047.8688526</v>
      </c>
      <c r="BQ11" s="86">
        <v>2175190466.8688526</v>
      </c>
      <c r="BR11" s="87">
        <v>6954243</v>
      </c>
      <c r="BT11" s="114">
        <v>25423</v>
      </c>
      <c r="BU11" s="114">
        <v>1255</v>
      </c>
      <c r="BV11" s="114">
        <v>2590</v>
      </c>
      <c r="BW11" s="114">
        <f>SUM(BT11:BV11)</f>
        <v>29268</v>
      </c>
      <c r="BX11" s="89">
        <v>1903466295</v>
      </c>
      <c r="BY11" s="90">
        <f t="shared" si="1"/>
        <v>316152563</v>
      </c>
      <c r="BZ11" s="90">
        <f t="shared" si="1"/>
        <v>7732969</v>
      </c>
      <c r="CA11" s="89">
        <f t="shared" si="2"/>
        <v>288885338</v>
      </c>
      <c r="CB11" s="89">
        <f t="shared" si="3"/>
        <v>2516237165</v>
      </c>
    </row>
    <row r="12" spans="1:80" x14ac:dyDescent="0.25">
      <c r="A12" s="91" t="s">
        <v>66</v>
      </c>
      <c r="B12" s="114">
        <v>988559800</v>
      </c>
      <c r="C12" s="114">
        <v>166784600</v>
      </c>
      <c r="D12" s="114">
        <v>420511550</v>
      </c>
      <c r="E12" s="114">
        <v>0</v>
      </c>
      <c r="F12" s="114">
        <v>95499300</v>
      </c>
      <c r="G12" s="114">
        <v>10818500</v>
      </c>
      <c r="H12" s="114">
        <v>11819600</v>
      </c>
      <c r="I12" s="114">
        <v>1107000</v>
      </c>
      <c r="J12" s="114">
        <v>184500</v>
      </c>
      <c r="K12" s="114">
        <v>0</v>
      </c>
      <c r="L12" s="114">
        <v>264367272</v>
      </c>
      <c r="M12" s="114">
        <v>141561200</v>
      </c>
      <c r="N12" s="114">
        <v>3000</v>
      </c>
      <c r="O12" s="114">
        <v>349</v>
      </c>
      <c r="P12" s="114">
        <v>5327000</v>
      </c>
      <c r="Q12" s="114">
        <v>2327000</v>
      </c>
      <c r="R12" s="114">
        <v>3463000</v>
      </c>
      <c r="S12" s="114">
        <v>12961050</v>
      </c>
      <c r="T12" s="114">
        <v>408000</v>
      </c>
      <c r="U12" s="114">
        <v>6290000</v>
      </c>
      <c r="V12" s="114">
        <v>5327000</v>
      </c>
      <c r="W12" s="114">
        <v>2414000</v>
      </c>
      <c r="X12" s="114">
        <v>3463000</v>
      </c>
      <c r="Y12" s="114">
        <v>12961050</v>
      </c>
      <c r="Z12" s="114">
        <v>897000</v>
      </c>
      <c r="AA12" s="114">
        <v>6290000</v>
      </c>
      <c r="AB12" s="114">
        <v>-2635100</v>
      </c>
      <c r="AC12" s="114">
        <v>-517189</v>
      </c>
      <c r="AD12" s="114">
        <v>15102</v>
      </c>
      <c r="AE12" s="114">
        <v>0</v>
      </c>
      <c r="AF12" s="114">
        <v>0</v>
      </c>
      <c r="AG12" s="114">
        <v>99155</v>
      </c>
      <c r="AH12" s="116">
        <v>0</v>
      </c>
      <c r="AI12" s="121">
        <v>0</v>
      </c>
      <c r="AJ12" s="120">
        <v>0</v>
      </c>
      <c r="AK12" s="82">
        <f>108770951+68145527</f>
        <v>176916478</v>
      </c>
      <c r="AL12" s="83">
        <v>5353105</v>
      </c>
      <c r="AM12" s="114">
        <v>0</v>
      </c>
      <c r="AN12" s="114">
        <v>82424536</v>
      </c>
      <c r="AO12" s="114">
        <v>8850235</v>
      </c>
      <c r="AP12" s="114">
        <v>217644758</v>
      </c>
      <c r="AQ12" s="114">
        <v>98657619</v>
      </c>
      <c r="AR12" s="114">
        <v>113054190</v>
      </c>
      <c r="AS12" s="114">
        <v>202677325</v>
      </c>
      <c r="AT12" s="114">
        <v>1473379</v>
      </c>
      <c r="AU12" s="114">
        <v>0</v>
      </c>
      <c r="AV12" s="114">
        <v>609899</v>
      </c>
      <c r="AW12" s="114">
        <v>1835603</v>
      </c>
      <c r="AX12" s="114">
        <v>216204</v>
      </c>
      <c r="AY12" s="114">
        <v>8592215</v>
      </c>
      <c r="AZ12" s="114"/>
      <c r="BA12" s="114"/>
      <c r="BB12" s="114"/>
      <c r="BC12" s="114"/>
      <c r="BD12" s="82">
        <v>9519407.4700000007</v>
      </c>
      <c r="BE12" s="82">
        <v>4854898</v>
      </c>
      <c r="BF12" s="117"/>
      <c r="BG12" s="118">
        <v>3152140</v>
      </c>
      <c r="BH12" s="118">
        <v>6180666</v>
      </c>
      <c r="BI12" s="117">
        <v>51856422</v>
      </c>
      <c r="BJ12" s="117">
        <v>51856422</v>
      </c>
      <c r="BK12" s="117">
        <v>61149211</v>
      </c>
      <c r="BL12" s="117">
        <v>55387843</v>
      </c>
      <c r="BM12" s="117">
        <v>47188</v>
      </c>
      <c r="BN12" s="117">
        <v>0</v>
      </c>
      <c r="BO12" s="119"/>
      <c r="BP12" s="86">
        <v>2063356414</v>
      </c>
      <c r="BQ12" s="86">
        <v>1765788340</v>
      </c>
      <c r="BR12" s="87">
        <v>2521000</v>
      </c>
      <c r="BT12" s="114">
        <v>10307</v>
      </c>
      <c r="BU12" s="114">
        <v>1464</v>
      </c>
      <c r="BV12" s="114">
        <v>849</v>
      </c>
      <c r="BW12" s="114">
        <f t="shared" ref="BW12:BW19" si="4">SUM(BT12:BV12)</f>
        <v>12620</v>
      </c>
      <c r="BX12" s="89">
        <v>1575855950</v>
      </c>
      <c r="BY12" s="90">
        <f t="shared" si="1"/>
        <v>176916478</v>
      </c>
      <c r="BZ12" s="90">
        <f t="shared" si="1"/>
        <v>5353105</v>
      </c>
      <c r="CA12" s="89">
        <f t="shared" si="2"/>
        <v>392609715</v>
      </c>
      <c r="CB12" s="89">
        <f t="shared" si="3"/>
        <v>2150735248</v>
      </c>
    </row>
    <row r="13" spans="1:80" x14ac:dyDescent="0.25">
      <c r="A13" s="91" t="s">
        <v>67</v>
      </c>
      <c r="B13" s="114">
        <v>139548865</v>
      </c>
      <c r="C13" s="114">
        <v>104810075</v>
      </c>
      <c r="D13" s="114">
        <v>24104090</v>
      </c>
      <c r="E13" s="114">
        <v>0</v>
      </c>
      <c r="F13" s="114">
        <v>19837350</v>
      </c>
      <c r="G13" s="114">
        <v>3890890</v>
      </c>
      <c r="H13" s="114">
        <v>8724400</v>
      </c>
      <c r="I13" s="114">
        <v>877750</v>
      </c>
      <c r="J13" s="114">
        <v>0</v>
      </c>
      <c r="K13" s="114">
        <v>0</v>
      </c>
      <c r="L13" s="114">
        <v>97275375</v>
      </c>
      <c r="M13" s="114">
        <v>60420465</v>
      </c>
      <c r="N13" s="114">
        <v>835</v>
      </c>
      <c r="O13" s="114">
        <v>149</v>
      </c>
      <c r="P13" s="114">
        <v>1723529</v>
      </c>
      <c r="Q13" s="114">
        <v>1307895</v>
      </c>
      <c r="R13" s="114">
        <v>0</v>
      </c>
      <c r="S13" s="114">
        <v>3100520</v>
      </c>
      <c r="T13" s="114">
        <v>418310</v>
      </c>
      <c r="U13" s="114">
        <v>123000</v>
      </c>
      <c r="V13" s="114">
        <v>1723529</v>
      </c>
      <c r="W13" s="114">
        <v>1437315</v>
      </c>
      <c r="X13" s="114">
        <v>0</v>
      </c>
      <c r="Y13" s="114">
        <v>3100520</v>
      </c>
      <c r="Z13" s="114">
        <v>364290</v>
      </c>
      <c r="AA13" s="114">
        <v>123000</v>
      </c>
      <c r="AB13" s="114">
        <v>-381900</v>
      </c>
      <c r="AC13" s="114">
        <v>-315805</v>
      </c>
      <c r="AD13" s="114">
        <v>0</v>
      </c>
      <c r="AE13" s="114">
        <v>0</v>
      </c>
      <c r="AF13" s="114">
        <v>0</v>
      </c>
      <c r="AG13" s="114">
        <v>117032</v>
      </c>
      <c r="AH13" s="116">
        <v>0</v>
      </c>
      <c r="AI13" s="114">
        <v>0</v>
      </c>
      <c r="AJ13" s="120">
        <v>0</v>
      </c>
      <c r="AK13" s="82">
        <f>48465501+5057192</f>
        <v>53522693</v>
      </c>
      <c r="AL13" s="83">
        <v>735532</v>
      </c>
      <c r="AM13" s="114">
        <v>0</v>
      </c>
      <c r="AN13" s="114">
        <v>5138896</v>
      </c>
      <c r="AO13" s="114">
        <v>219771</v>
      </c>
      <c r="AP13" s="114">
        <v>35552638</v>
      </c>
      <c r="AQ13" s="114">
        <v>2922502</v>
      </c>
      <c r="AR13" s="114">
        <v>12435977</v>
      </c>
      <c r="AS13" s="114">
        <v>3809233</v>
      </c>
      <c r="AT13" s="114">
        <v>254314</v>
      </c>
      <c r="AU13" s="114">
        <v>0</v>
      </c>
      <c r="AV13" s="114">
        <v>0</v>
      </c>
      <c r="AW13" s="114">
        <v>0</v>
      </c>
      <c r="AX13" s="114">
        <v>0</v>
      </c>
      <c r="AY13" s="114">
        <v>0</v>
      </c>
      <c r="AZ13" s="114"/>
      <c r="BA13" s="114"/>
      <c r="BB13" s="114"/>
      <c r="BC13" s="114"/>
      <c r="BD13" s="82">
        <v>2879914.46</v>
      </c>
      <c r="BE13" s="82">
        <v>1468756</v>
      </c>
      <c r="BF13" s="117">
        <v>20100000</v>
      </c>
      <c r="BG13" s="118">
        <v>1421822</v>
      </c>
      <c r="BH13" s="118">
        <v>2787886</v>
      </c>
      <c r="BI13" s="117">
        <v>109012209</v>
      </c>
      <c r="BJ13" s="117">
        <v>109012209</v>
      </c>
      <c r="BK13" s="117">
        <v>87240552</v>
      </c>
      <c r="BL13" s="117">
        <v>82988111</v>
      </c>
      <c r="BM13" s="117">
        <v>0</v>
      </c>
      <c r="BN13" s="117">
        <v>0</v>
      </c>
      <c r="BO13" s="119"/>
      <c r="BP13" s="86">
        <v>525893322</v>
      </c>
      <c r="BQ13" s="86">
        <v>276744199</v>
      </c>
      <c r="BR13" s="87">
        <v>935040</v>
      </c>
      <c r="BT13" s="114">
        <v>3781</v>
      </c>
      <c r="BU13" s="114">
        <v>1822</v>
      </c>
      <c r="BV13" s="114">
        <v>250</v>
      </c>
      <c r="BW13" s="114">
        <f t="shared" si="4"/>
        <v>5853</v>
      </c>
      <c r="BX13" s="89">
        <v>268463030</v>
      </c>
      <c r="BY13" s="90">
        <f t="shared" si="1"/>
        <v>53522693</v>
      </c>
      <c r="BZ13" s="90">
        <f t="shared" si="1"/>
        <v>735532</v>
      </c>
      <c r="CA13" s="89">
        <f t="shared" si="2"/>
        <v>12090402</v>
      </c>
      <c r="CB13" s="89">
        <f t="shared" si="3"/>
        <v>334811657</v>
      </c>
    </row>
    <row r="14" spans="1:80" x14ac:dyDescent="0.25">
      <c r="A14" s="91" t="s">
        <v>68</v>
      </c>
      <c r="B14" s="122">
        <v>138248074</v>
      </c>
      <c r="C14" s="122">
        <v>78417524</v>
      </c>
      <c r="D14" s="122">
        <v>76390574</v>
      </c>
      <c r="E14" s="122">
        <v>0</v>
      </c>
      <c r="F14" s="122">
        <v>20322440</v>
      </c>
      <c r="G14" s="122">
        <v>35568370</v>
      </c>
      <c r="H14" s="122">
        <v>10578619</v>
      </c>
      <c r="I14" s="122">
        <v>12110949</v>
      </c>
      <c r="J14" s="122">
        <v>184500</v>
      </c>
      <c r="K14" s="122">
        <v>220900</v>
      </c>
      <c r="L14" s="122">
        <v>66458015</v>
      </c>
      <c r="M14" s="122">
        <v>49085615</v>
      </c>
      <c r="N14" s="122">
        <v>943</v>
      </c>
      <c r="O14" s="122">
        <v>1553</v>
      </c>
      <c r="P14" s="122">
        <v>652500</v>
      </c>
      <c r="Q14" s="122">
        <v>502100</v>
      </c>
      <c r="R14" s="122">
        <v>4711600</v>
      </c>
      <c r="S14" s="122">
        <v>1994642</v>
      </c>
      <c r="T14" s="122">
        <v>2521680</v>
      </c>
      <c r="U14" s="122">
        <v>433800</v>
      </c>
      <c r="V14" s="122">
        <v>652500</v>
      </c>
      <c r="W14" s="122">
        <v>231550</v>
      </c>
      <c r="X14" s="122">
        <v>4711600</v>
      </c>
      <c r="Y14" s="122">
        <v>1994642</v>
      </c>
      <c r="Z14" s="122">
        <v>2433800</v>
      </c>
      <c r="AA14" s="122">
        <v>433800</v>
      </c>
      <c r="AB14" s="122">
        <v>-8022078</v>
      </c>
      <c r="AC14" s="122">
        <v>0</v>
      </c>
      <c r="AD14" s="122">
        <v>253987</v>
      </c>
      <c r="AE14" s="122">
        <v>0</v>
      </c>
      <c r="AF14" s="122">
        <v>0</v>
      </c>
      <c r="AG14" s="122">
        <v>272375</v>
      </c>
      <c r="AH14" s="116">
        <v>551688.52459016396</v>
      </c>
      <c r="AI14" s="122">
        <v>4035585.24590164</v>
      </c>
      <c r="AJ14" s="120">
        <v>71890988</v>
      </c>
      <c r="AK14" s="82">
        <f>56080333+3839342</f>
        <v>59919675</v>
      </c>
      <c r="AL14" s="83">
        <v>1047352</v>
      </c>
      <c r="AM14" s="122">
        <v>0</v>
      </c>
      <c r="AN14" s="122">
        <v>22230852</v>
      </c>
      <c r="AO14" s="122">
        <v>310777</v>
      </c>
      <c r="AP14" s="122">
        <v>10335034</v>
      </c>
      <c r="AQ14" s="122">
        <v>12971873</v>
      </c>
      <c r="AR14" s="122">
        <v>8541877</v>
      </c>
      <c r="AS14" s="122">
        <v>0</v>
      </c>
      <c r="AT14" s="122">
        <v>354550</v>
      </c>
      <c r="AU14" s="122">
        <v>0</v>
      </c>
      <c r="AV14" s="122">
        <v>0</v>
      </c>
      <c r="AW14" s="122">
        <v>0</v>
      </c>
      <c r="AX14" s="122">
        <v>0</v>
      </c>
      <c r="AY14" s="122">
        <v>0</v>
      </c>
      <c r="BD14" s="82">
        <v>3224119.13</v>
      </c>
      <c r="BE14" s="82">
        <v>1644301</v>
      </c>
      <c r="BF14" s="117"/>
      <c r="BG14" s="118">
        <v>2370790</v>
      </c>
      <c r="BH14" s="118">
        <v>4648608</v>
      </c>
      <c r="BI14" s="117">
        <v>14338217</v>
      </c>
      <c r="BJ14" s="117">
        <v>14338217</v>
      </c>
      <c r="BK14" s="117">
        <v>42803915</v>
      </c>
      <c r="BL14" s="117">
        <v>37247510</v>
      </c>
      <c r="BM14" s="117">
        <v>0</v>
      </c>
      <c r="BN14" s="117">
        <v>0</v>
      </c>
      <c r="BO14" s="123"/>
      <c r="BP14" s="86">
        <v>521615780.77049178</v>
      </c>
      <c r="BQ14" s="86">
        <v>405047935.77049178</v>
      </c>
      <c r="BR14" s="87">
        <v>1218379</v>
      </c>
      <c r="BT14" s="122">
        <v>5687</v>
      </c>
      <c r="BU14" s="122">
        <v>3540</v>
      </c>
      <c r="BV14" s="122">
        <v>336</v>
      </c>
      <c r="BW14" s="114">
        <f t="shared" si="4"/>
        <v>9563</v>
      </c>
      <c r="BX14" s="89">
        <v>293056172</v>
      </c>
      <c r="BY14" s="90">
        <f t="shared" si="1"/>
        <v>59919675</v>
      </c>
      <c r="BZ14" s="90">
        <f t="shared" si="1"/>
        <v>1047352</v>
      </c>
      <c r="CA14" s="89">
        <f t="shared" si="2"/>
        <v>35513502</v>
      </c>
      <c r="CB14" s="89">
        <f t="shared" si="3"/>
        <v>389536701</v>
      </c>
    </row>
    <row r="15" spans="1:80" x14ac:dyDescent="0.25">
      <c r="A15" s="91" t="s">
        <v>69</v>
      </c>
      <c r="B15" s="114">
        <v>553453756</v>
      </c>
      <c r="C15" s="114">
        <v>222835195</v>
      </c>
      <c r="D15" s="114">
        <v>81359345</v>
      </c>
      <c r="E15" s="114">
        <v>0</v>
      </c>
      <c r="F15" s="114">
        <v>52206651</v>
      </c>
      <c r="G15" s="114">
        <v>10892585</v>
      </c>
      <c r="H15" s="114">
        <v>20459412</v>
      </c>
      <c r="I15" s="114">
        <v>2140453</v>
      </c>
      <c r="J15" s="114">
        <v>36900</v>
      </c>
      <c r="K15" s="114">
        <v>56900</v>
      </c>
      <c r="L15" s="114">
        <v>402017837</v>
      </c>
      <c r="M15" s="114">
        <v>128080500</v>
      </c>
      <c r="N15" s="114">
        <v>2124</v>
      </c>
      <c r="O15" s="114">
        <v>433</v>
      </c>
      <c r="P15" s="114">
        <v>6989900</v>
      </c>
      <c r="Q15" s="114">
        <v>3399750</v>
      </c>
      <c r="R15" s="114">
        <v>322600</v>
      </c>
      <c r="S15" s="114">
        <v>3733435</v>
      </c>
      <c r="T15" s="114">
        <v>537800</v>
      </c>
      <c r="U15" s="114">
        <v>485593</v>
      </c>
      <c r="V15" s="114">
        <v>6989900</v>
      </c>
      <c r="W15" s="114">
        <v>3447100</v>
      </c>
      <c r="X15" s="114">
        <v>322600</v>
      </c>
      <c r="Y15" s="114">
        <v>3733435</v>
      </c>
      <c r="Z15" s="114">
        <v>432150</v>
      </c>
      <c r="AA15" s="114">
        <v>485593</v>
      </c>
      <c r="AB15" s="114">
        <v>-1080200</v>
      </c>
      <c r="AC15" s="114">
        <v>0</v>
      </c>
      <c r="AD15" s="114">
        <v>148743</v>
      </c>
      <c r="AE15" s="114">
        <v>0</v>
      </c>
      <c r="AF15" s="114">
        <v>0</v>
      </c>
      <c r="AG15" s="114">
        <v>354732</v>
      </c>
      <c r="AH15" s="116">
        <v>5376409.8360655745</v>
      </c>
      <c r="AI15" s="114">
        <v>857204.09836065571</v>
      </c>
      <c r="AJ15" s="120">
        <v>0</v>
      </c>
      <c r="AK15" s="82">
        <f>122179509+6052969</f>
        <v>128232478</v>
      </c>
      <c r="AL15" s="83">
        <v>17763558</v>
      </c>
      <c r="AM15" s="114">
        <v>360000</v>
      </c>
      <c r="AN15" s="114">
        <v>21215765</v>
      </c>
      <c r="AO15" s="114">
        <v>157487</v>
      </c>
      <c r="AP15" s="114">
        <v>14174184</v>
      </c>
      <c r="AQ15" s="114">
        <v>17307094</v>
      </c>
      <c r="AR15" s="114">
        <v>18576956</v>
      </c>
      <c r="AS15" s="114">
        <v>0</v>
      </c>
      <c r="AT15" s="114">
        <v>2910957</v>
      </c>
      <c r="AU15" s="114">
        <v>0</v>
      </c>
      <c r="AV15" s="114">
        <v>0</v>
      </c>
      <c r="AW15" s="114">
        <v>863194</v>
      </c>
      <c r="AX15" s="114">
        <v>70530</v>
      </c>
      <c r="AY15" s="114">
        <v>119690</v>
      </c>
      <c r="AZ15" s="114"/>
      <c r="BA15" s="114"/>
      <c r="BB15" s="114"/>
      <c r="BC15" s="114"/>
      <c r="BD15" s="82">
        <v>6899850.2699999996</v>
      </c>
      <c r="BE15" s="82">
        <v>3518924</v>
      </c>
      <c r="BF15" s="117">
        <v>23536788</v>
      </c>
      <c r="BG15" s="118">
        <v>1936417</v>
      </c>
      <c r="BH15" s="118">
        <v>3796896</v>
      </c>
      <c r="BI15" s="117">
        <v>32516651</v>
      </c>
      <c r="BJ15" s="117">
        <v>32516651</v>
      </c>
      <c r="BK15" s="117">
        <v>82851745</v>
      </c>
      <c r="BL15" s="117">
        <v>79394866</v>
      </c>
      <c r="BM15" s="117">
        <v>0</v>
      </c>
      <c r="BN15" s="117">
        <v>0</v>
      </c>
      <c r="BO15" s="119"/>
      <c r="BP15" s="86">
        <v>1165925149.9344263</v>
      </c>
      <c r="BQ15" s="86">
        <v>902562255.93442619</v>
      </c>
      <c r="BR15" s="87">
        <v>2118813</v>
      </c>
      <c r="BT15" s="114">
        <v>12150</v>
      </c>
      <c r="BU15" s="114">
        <v>4617</v>
      </c>
      <c r="BV15" s="114">
        <v>599</v>
      </c>
      <c r="BW15" s="114">
        <f t="shared" si="4"/>
        <v>17366</v>
      </c>
      <c r="BX15" s="89">
        <v>857648296</v>
      </c>
      <c r="BY15" s="90">
        <f t="shared" si="1"/>
        <v>128232478</v>
      </c>
      <c r="BZ15" s="90">
        <f t="shared" si="1"/>
        <v>17763558</v>
      </c>
      <c r="CA15" s="89">
        <f t="shared" si="2"/>
        <v>38680346</v>
      </c>
      <c r="CB15" s="89">
        <f t="shared" si="3"/>
        <v>1042324678</v>
      </c>
    </row>
    <row r="16" spans="1:80" x14ac:dyDescent="0.25">
      <c r="A16" s="91" t="s">
        <v>70</v>
      </c>
      <c r="B16" s="114">
        <v>3591858272</v>
      </c>
      <c r="C16" s="114">
        <v>241297603</v>
      </c>
      <c r="D16" s="114">
        <v>1040419466</v>
      </c>
      <c r="E16" s="114">
        <v>23841565</v>
      </c>
      <c r="F16" s="114">
        <v>206878723</v>
      </c>
      <c r="G16" s="114">
        <v>39523802</v>
      </c>
      <c r="H16" s="114">
        <v>18055701</v>
      </c>
      <c r="I16" s="114">
        <v>3125212</v>
      </c>
      <c r="J16" s="114">
        <v>369000</v>
      </c>
      <c r="K16" s="114">
        <v>0</v>
      </c>
      <c r="L16" s="114">
        <v>351402691</v>
      </c>
      <c r="M16" s="114">
        <v>165207757</v>
      </c>
      <c r="N16" s="114">
        <v>6226</v>
      </c>
      <c r="O16" s="114">
        <v>1215</v>
      </c>
      <c r="P16" s="114">
        <v>39658538</v>
      </c>
      <c r="Q16" s="114">
        <v>2213551</v>
      </c>
      <c r="R16" s="114">
        <v>31973677</v>
      </c>
      <c r="S16" s="114">
        <v>3573511</v>
      </c>
      <c r="T16" s="114">
        <v>4332724</v>
      </c>
      <c r="U16" s="114">
        <v>6085957</v>
      </c>
      <c r="V16" s="114">
        <v>39658538</v>
      </c>
      <c r="W16" s="114">
        <v>2591473</v>
      </c>
      <c r="X16" s="114">
        <v>31973677</v>
      </c>
      <c r="Y16" s="114">
        <v>3573511</v>
      </c>
      <c r="Z16" s="114">
        <v>6104297</v>
      </c>
      <c r="AA16" s="114">
        <v>6085957</v>
      </c>
      <c r="AB16" s="114">
        <v>-17680128</v>
      </c>
      <c r="AC16" s="114">
        <v>-864014</v>
      </c>
      <c r="AD16" s="114">
        <v>26559</v>
      </c>
      <c r="AE16" s="114">
        <v>552</v>
      </c>
      <c r="AF16" s="114">
        <v>13784750</v>
      </c>
      <c r="AG16" s="114">
        <v>89232</v>
      </c>
      <c r="AH16" s="116">
        <v>0</v>
      </c>
      <c r="AI16" s="114">
        <v>684647.5409836066</v>
      </c>
      <c r="AJ16" s="120">
        <v>0</v>
      </c>
      <c r="AK16" s="82">
        <v>538008744</v>
      </c>
      <c r="AL16" s="83">
        <v>17630652</v>
      </c>
      <c r="AM16" s="114">
        <v>6000</v>
      </c>
      <c r="AN16" s="114">
        <v>208961357</v>
      </c>
      <c r="AO16" s="114">
        <v>4182554</v>
      </c>
      <c r="AP16" s="114">
        <v>156590104</v>
      </c>
      <c r="AQ16" s="114">
        <v>258003387</v>
      </c>
      <c r="AR16" s="114">
        <v>1260412340</v>
      </c>
      <c r="AS16" s="114">
        <v>2667767702</v>
      </c>
      <c r="AT16" s="114">
        <f>464425+22257774</f>
        <v>22722199</v>
      </c>
      <c r="AU16" s="114">
        <v>0</v>
      </c>
      <c r="AV16" s="114">
        <v>0</v>
      </c>
      <c r="AW16" s="114">
        <v>9450771</v>
      </c>
      <c r="AX16" s="114">
        <v>2009166</v>
      </c>
      <c r="AY16" s="114">
        <v>118750</v>
      </c>
      <c r="AZ16" s="114"/>
      <c r="BA16" s="114"/>
      <c r="BB16" s="114"/>
      <c r="BC16" s="114"/>
      <c r="BD16" s="82">
        <v>28948826.66</v>
      </c>
      <c r="BE16" s="82">
        <v>14763902</v>
      </c>
      <c r="BF16" s="117"/>
      <c r="BG16" s="118">
        <v>2958433</v>
      </c>
      <c r="BH16" s="118">
        <v>5800849</v>
      </c>
      <c r="BI16" s="117">
        <v>34801920</v>
      </c>
      <c r="BJ16" s="117">
        <v>34198323</v>
      </c>
      <c r="BK16" s="117">
        <v>85105842</v>
      </c>
      <c r="BL16" s="117">
        <v>81688083</v>
      </c>
      <c r="BM16" s="117">
        <v>230585475</v>
      </c>
      <c r="BN16" s="117">
        <v>0</v>
      </c>
      <c r="BO16" s="119"/>
      <c r="BP16" s="86">
        <v>6265240898.5409832</v>
      </c>
      <c r="BQ16" s="86">
        <v>5345407286.5409832</v>
      </c>
      <c r="BR16" s="87">
        <v>2826509</v>
      </c>
      <c r="BT16" s="114">
        <v>28248</v>
      </c>
      <c r="BU16" s="114">
        <v>2467</v>
      </c>
      <c r="BV16" s="114">
        <v>1002</v>
      </c>
      <c r="BW16" s="114">
        <f t="shared" si="4"/>
        <v>31717</v>
      </c>
      <c r="BX16" s="89">
        <v>4873575341</v>
      </c>
      <c r="BY16" s="90">
        <f t="shared" si="1"/>
        <v>538008744</v>
      </c>
      <c r="BZ16" s="90">
        <f t="shared" si="1"/>
        <v>17630652</v>
      </c>
      <c r="CA16" s="89">
        <f t="shared" si="2"/>
        <v>3138915000</v>
      </c>
      <c r="CB16" s="89">
        <f t="shared" si="3"/>
        <v>8568129737</v>
      </c>
    </row>
    <row r="17" spans="1:80" x14ac:dyDescent="0.25">
      <c r="A17" s="91" t="s">
        <v>71</v>
      </c>
      <c r="B17" s="114">
        <v>184268079</v>
      </c>
      <c r="C17" s="114">
        <v>121445345</v>
      </c>
      <c r="D17" s="114">
        <v>62036069</v>
      </c>
      <c r="E17" s="114">
        <v>0</v>
      </c>
      <c r="F17" s="114">
        <v>23351550</v>
      </c>
      <c r="G17" s="114">
        <v>9777500</v>
      </c>
      <c r="H17" s="114">
        <v>12459610</v>
      </c>
      <c r="I17" s="114">
        <v>3450900</v>
      </c>
      <c r="J17" s="114">
        <v>36900</v>
      </c>
      <c r="K17" s="114">
        <v>0</v>
      </c>
      <c r="L17" s="114">
        <v>238313209</v>
      </c>
      <c r="M17" s="114">
        <v>76972317</v>
      </c>
      <c r="N17" s="114">
        <v>1062</v>
      </c>
      <c r="O17" s="114">
        <v>421</v>
      </c>
      <c r="P17" s="114">
        <v>3958270</v>
      </c>
      <c r="Q17" s="114">
        <v>3433350</v>
      </c>
      <c r="R17" s="114">
        <v>301080</v>
      </c>
      <c r="S17" s="114">
        <v>301250</v>
      </c>
      <c r="T17" s="114">
        <v>322850</v>
      </c>
      <c r="U17" s="114">
        <v>0</v>
      </c>
      <c r="V17" s="114">
        <v>3958270</v>
      </c>
      <c r="W17" s="114">
        <v>3510910</v>
      </c>
      <c r="X17" s="114">
        <v>301080</v>
      </c>
      <c r="Y17" s="114">
        <v>301250</v>
      </c>
      <c r="Z17" s="114">
        <v>207200</v>
      </c>
      <c r="AA17" s="114">
        <v>0</v>
      </c>
      <c r="AB17" s="114">
        <v>-986640</v>
      </c>
      <c r="AC17" s="114">
        <v>0</v>
      </c>
      <c r="AD17" s="114">
        <v>0</v>
      </c>
      <c r="AE17" s="114">
        <v>0</v>
      </c>
      <c r="AF17" s="114">
        <v>0</v>
      </c>
      <c r="AG17" s="114">
        <v>0</v>
      </c>
      <c r="AH17" s="116">
        <v>647032.78688524594</v>
      </c>
      <c r="AI17" s="114">
        <v>475376.22950819676</v>
      </c>
      <c r="AJ17" s="120">
        <v>0</v>
      </c>
      <c r="AK17" s="82">
        <v>81582899</v>
      </c>
      <c r="AL17" s="83">
        <v>2112722</v>
      </c>
      <c r="AM17" s="114">
        <v>0</v>
      </c>
      <c r="AN17" s="114">
        <v>13539136</v>
      </c>
      <c r="AO17" s="114">
        <v>1146289</v>
      </c>
      <c r="AP17" s="114">
        <v>39214839</v>
      </c>
      <c r="AQ17" s="114">
        <v>8005565</v>
      </c>
      <c r="AR17" s="114">
        <v>13126242</v>
      </c>
      <c r="AS17" s="114">
        <v>1057031</v>
      </c>
      <c r="AT17" s="114">
        <v>1604831</v>
      </c>
      <c r="AU17" s="114">
        <v>0</v>
      </c>
      <c r="AV17" s="114">
        <v>0</v>
      </c>
      <c r="AW17" s="114">
        <v>0</v>
      </c>
      <c r="AX17" s="114">
        <v>139611</v>
      </c>
      <c r="AY17" s="114">
        <v>10000</v>
      </c>
      <c r="AZ17" s="114"/>
      <c r="BA17" s="114"/>
      <c r="BB17" s="114"/>
      <c r="BC17" s="114"/>
      <c r="BD17" s="82">
        <v>4389759.88</v>
      </c>
      <c r="BE17" s="82">
        <v>2238778</v>
      </c>
      <c r="BF17" s="117"/>
      <c r="BG17" s="118">
        <v>0</v>
      </c>
      <c r="BH17" s="118">
        <v>0</v>
      </c>
      <c r="BI17" s="117">
        <v>1576057</v>
      </c>
      <c r="BJ17" s="117">
        <v>1576057</v>
      </c>
      <c r="BK17" s="117">
        <v>23183738</v>
      </c>
      <c r="BL17" s="117">
        <v>23183738</v>
      </c>
      <c r="BM17" s="117">
        <v>0</v>
      </c>
      <c r="BN17" s="117">
        <v>0</v>
      </c>
      <c r="BO17" s="119"/>
      <c r="BP17" s="86">
        <v>502257086.01639348</v>
      </c>
      <c r="BQ17" s="86">
        <v>391562892.01639348</v>
      </c>
      <c r="BR17" s="87">
        <v>1184600</v>
      </c>
      <c r="BT17" s="114">
        <v>5140</v>
      </c>
      <c r="BU17" s="114">
        <v>3321</v>
      </c>
      <c r="BV17" s="114">
        <v>377</v>
      </c>
      <c r="BW17" s="114">
        <f t="shared" si="4"/>
        <v>8838</v>
      </c>
      <c r="BX17" s="89">
        <v>367749493</v>
      </c>
      <c r="BY17" s="90">
        <f t="shared" si="1"/>
        <v>81582899</v>
      </c>
      <c r="BZ17" s="90">
        <f t="shared" si="1"/>
        <v>2112722</v>
      </c>
      <c r="CA17" s="89">
        <f t="shared" si="2"/>
        <v>23748021</v>
      </c>
      <c r="CB17" s="89">
        <f t="shared" si="3"/>
        <v>475193135</v>
      </c>
    </row>
    <row r="18" spans="1:80" x14ac:dyDescent="0.25">
      <c r="A18" s="91" t="s">
        <v>72</v>
      </c>
      <c r="B18" s="114">
        <v>228272628</v>
      </c>
      <c r="C18" s="114">
        <v>113655393</v>
      </c>
      <c r="D18" s="114">
        <v>81834403</v>
      </c>
      <c r="E18" s="114">
        <v>10112127</v>
      </c>
      <c r="F18" s="114">
        <v>37758619</v>
      </c>
      <c r="G18" s="114">
        <v>10756566</v>
      </c>
      <c r="H18" s="114">
        <v>10780755</v>
      </c>
      <c r="I18" s="114">
        <v>1774416</v>
      </c>
      <c r="J18" s="114">
        <v>91800</v>
      </c>
      <c r="K18" s="114">
        <v>36900</v>
      </c>
      <c r="L18" s="114">
        <v>245504552</v>
      </c>
      <c r="M18" s="114">
        <v>59869909</v>
      </c>
      <c r="N18" s="114">
        <v>1370</v>
      </c>
      <c r="O18" s="114">
        <v>379</v>
      </c>
      <c r="P18" s="114">
        <v>1625790</v>
      </c>
      <c r="Q18" s="114">
        <v>1313845</v>
      </c>
      <c r="R18" s="114">
        <v>169120</v>
      </c>
      <c r="S18" s="114">
        <v>2992244</v>
      </c>
      <c r="T18" s="114">
        <v>479237</v>
      </c>
      <c r="U18" s="114">
        <v>661701</v>
      </c>
      <c r="V18" s="114">
        <v>1625790</v>
      </c>
      <c r="W18" s="114">
        <v>1314039</v>
      </c>
      <c r="X18" s="114">
        <v>169120</v>
      </c>
      <c r="Y18" s="114">
        <v>2992244</v>
      </c>
      <c r="Z18" s="114">
        <v>1075639</v>
      </c>
      <c r="AA18" s="114">
        <v>661701</v>
      </c>
      <c r="AB18" s="114">
        <v>-3759385</v>
      </c>
      <c r="AC18" s="114">
        <v>0</v>
      </c>
      <c r="AD18" s="114">
        <v>24812</v>
      </c>
      <c r="AE18" s="114">
        <v>46645</v>
      </c>
      <c r="AF18" s="114">
        <v>29613163</v>
      </c>
      <c r="AG18" s="114">
        <v>200025</v>
      </c>
      <c r="AH18" s="116">
        <v>68434.426229508201</v>
      </c>
      <c r="AI18" s="114">
        <v>2598795.0819672132</v>
      </c>
      <c r="AJ18" s="120">
        <v>0</v>
      </c>
      <c r="AK18" s="82">
        <v>91041535</v>
      </c>
      <c r="AL18" s="83">
        <v>2642544</v>
      </c>
      <c r="AM18" s="114">
        <v>0</v>
      </c>
      <c r="AN18" s="114">
        <v>20026534</v>
      </c>
      <c r="AO18" s="114">
        <v>6223622</v>
      </c>
      <c r="AP18" s="114">
        <v>119599246</v>
      </c>
      <c r="AQ18" s="114">
        <v>25337991</v>
      </c>
      <c r="AR18" s="114">
        <v>29637948</v>
      </c>
      <c r="AS18" s="114">
        <v>19086217</v>
      </c>
      <c r="AT18" s="114">
        <v>1160638</v>
      </c>
      <c r="AU18" s="114">
        <v>0</v>
      </c>
      <c r="AV18" s="114">
        <v>3678192</v>
      </c>
      <c r="AW18" s="114">
        <v>0</v>
      </c>
      <c r="AX18" s="114">
        <v>14562</v>
      </c>
      <c r="AY18" s="114">
        <v>949000</v>
      </c>
      <c r="AZ18" s="114"/>
      <c r="BA18" s="114"/>
      <c r="BB18" s="114"/>
      <c r="BC18" s="114"/>
      <c r="BD18" s="82">
        <v>4898704.05</v>
      </c>
      <c r="BE18" s="82">
        <v>2498339</v>
      </c>
      <c r="BF18" s="117"/>
      <c r="BG18" s="118">
        <v>1440084</v>
      </c>
      <c r="BH18" s="118">
        <v>2823694</v>
      </c>
      <c r="BI18" s="117">
        <v>15747672</v>
      </c>
      <c r="BJ18" s="117">
        <v>12748088</v>
      </c>
      <c r="BK18" s="117">
        <v>28009375</v>
      </c>
      <c r="BL18" s="117">
        <v>25551092</v>
      </c>
      <c r="BM18" s="117">
        <v>0</v>
      </c>
      <c r="BN18" s="117">
        <v>14567479</v>
      </c>
      <c r="BO18" s="119"/>
      <c r="BP18" s="86">
        <v>628506961.50819683</v>
      </c>
      <c r="BQ18" s="86">
        <v>478017800.50819677</v>
      </c>
      <c r="BR18" s="87">
        <v>399000</v>
      </c>
      <c r="BT18" s="114">
        <v>5527</v>
      </c>
      <c r="BU18" s="114">
        <v>2254</v>
      </c>
      <c r="BV18" s="114">
        <v>482</v>
      </c>
      <c r="BW18" s="114">
        <f t="shared" si="4"/>
        <v>8263</v>
      </c>
      <c r="BX18" s="89">
        <v>423762424</v>
      </c>
      <c r="BY18" s="90">
        <f t="shared" si="1"/>
        <v>91041535</v>
      </c>
      <c r="BZ18" s="90">
        <f t="shared" si="1"/>
        <v>2642544</v>
      </c>
      <c r="CA18" s="89">
        <f t="shared" si="2"/>
        <v>70674364</v>
      </c>
      <c r="CB18" s="89">
        <f t="shared" si="3"/>
        <v>588120867</v>
      </c>
    </row>
    <row r="19" spans="1:80" ht="12.75" customHeight="1" x14ac:dyDescent="0.25">
      <c r="A19" s="91" t="s">
        <v>73</v>
      </c>
      <c r="B19" s="114">
        <v>1309870836</v>
      </c>
      <c r="C19" s="114">
        <v>241053172</v>
      </c>
      <c r="D19" s="114">
        <v>345076885</v>
      </c>
      <c r="E19" s="114">
        <v>0</v>
      </c>
      <c r="F19" s="114">
        <v>101893244</v>
      </c>
      <c r="G19" s="114">
        <v>10508536</v>
      </c>
      <c r="H19" s="114">
        <v>16691100</v>
      </c>
      <c r="I19" s="114">
        <v>1384600</v>
      </c>
      <c r="J19" s="114">
        <v>184500</v>
      </c>
      <c r="K19" s="114">
        <v>36900</v>
      </c>
      <c r="L19" s="114">
        <v>557751607</v>
      </c>
      <c r="M19" s="114">
        <v>149888900</v>
      </c>
      <c r="N19" s="114">
        <v>3370</v>
      </c>
      <c r="O19" s="114">
        <v>379</v>
      </c>
      <c r="P19" s="114">
        <v>17925856</v>
      </c>
      <c r="Q19" s="114">
        <v>2977200</v>
      </c>
      <c r="R19" s="114">
        <v>18114357</v>
      </c>
      <c r="S19" s="114">
        <v>6047163</v>
      </c>
      <c r="T19" s="114">
        <v>513500</v>
      </c>
      <c r="U19" s="114">
        <v>2713407</v>
      </c>
      <c r="V19" s="114">
        <v>17925856</v>
      </c>
      <c r="W19" s="114">
        <v>3403500</v>
      </c>
      <c r="X19" s="114">
        <v>18114357</v>
      </c>
      <c r="Y19" s="114">
        <v>6047163</v>
      </c>
      <c r="Z19" s="114">
        <v>1107000</v>
      </c>
      <c r="AA19" s="114">
        <v>2713407</v>
      </c>
      <c r="AB19" s="114">
        <v>-6238520</v>
      </c>
      <c r="AC19" s="114">
        <v>-283739</v>
      </c>
      <c r="AD19" s="114">
        <v>66876</v>
      </c>
      <c r="AE19" s="114">
        <v>4681</v>
      </c>
      <c r="AF19" s="114">
        <v>2340500</v>
      </c>
      <c r="AG19" s="114">
        <v>202500</v>
      </c>
      <c r="AH19" s="116">
        <v>0</v>
      </c>
      <c r="AI19" s="114">
        <v>32360.655737704918</v>
      </c>
      <c r="AJ19" s="120">
        <v>0</v>
      </c>
      <c r="AK19" s="82">
        <f>199863299+52734049</f>
        <v>252597348</v>
      </c>
      <c r="AL19" s="83">
        <v>11836914</v>
      </c>
      <c r="AM19" s="114">
        <v>320500</v>
      </c>
      <c r="AN19" s="114">
        <v>64469707</v>
      </c>
      <c r="AO19" s="114">
        <v>4527823</v>
      </c>
      <c r="AP19" s="114">
        <v>145511727</v>
      </c>
      <c r="AQ19" s="114">
        <v>73434160</v>
      </c>
      <c r="AR19" s="114">
        <v>73933367</v>
      </c>
      <c r="AS19" s="114">
        <v>52311166</v>
      </c>
      <c r="AT19" s="114">
        <f>6324446+250</f>
        <v>6324696</v>
      </c>
      <c r="AU19" s="114">
        <v>0</v>
      </c>
      <c r="AV19" s="114">
        <v>0</v>
      </c>
      <c r="AW19" s="114">
        <v>0</v>
      </c>
      <c r="AX19" s="114">
        <v>1519803</v>
      </c>
      <c r="AY19" s="114">
        <v>2746900</v>
      </c>
      <c r="AZ19" s="114"/>
      <c r="BA19" s="114"/>
      <c r="BB19" s="114"/>
      <c r="BC19" s="114"/>
      <c r="BD19" s="82">
        <v>13591594.789999999</v>
      </c>
      <c r="BE19" s="82">
        <v>6931713</v>
      </c>
      <c r="BF19" s="117">
        <v>9737565</v>
      </c>
      <c r="BG19" s="118">
        <v>792437</v>
      </c>
      <c r="BH19" s="118">
        <v>1553799</v>
      </c>
      <c r="BI19" s="117">
        <v>3321852</v>
      </c>
      <c r="BJ19" s="117">
        <v>3321852</v>
      </c>
      <c r="BK19" s="117">
        <v>62679906</v>
      </c>
      <c r="BL19" s="117">
        <v>62077374</v>
      </c>
      <c r="BM19" s="117">
        <v>0</v>
      </c>
      <c r="BN19" s="117">
        <v>9341048</v>
      </c>
      <c r="BO19" s="119"/>
      <c r="BP19" s="86">
        <v>2385363629.6557379</v>
      </c>
      <c r="BQ19" s="86">
        <v>2038464943.6557376</v>
      </c>
      <c r="BR19" s="87">
        <v>2850946</v>
      </c>
      <c r="BT19" s="114">
        <v>19817</v>
      </c>
      <c r="BU19" s="114">
        <v>4095</v>
      </c>
      <c r="BV19" s="114">
        <v>872</v>
      </c>
      <c r="BW19" s="114">
        <f t="shared" si="4"/>
        <v>24784</v>
      </c>
      <c r="BX19" s="89">
        <v>1896000893</v>
      </c>
      <c r="BY19" s="90">
        <f t="shared" si="1"/>
        <v>252597348</v>
      </c>
      <c r="BZ19" s="90">
        <f t="shared" si="1"/>
        <v>11836914</v>
      </c>
      <c r="CA19" s="89">
        <f t="shared" si="2"/>
        <v>194742856</v>
      </c>
      <c r="CB19" s="89">
        <f t="shared" si="3"/>
        <v>2355178011</v>
      </c>
    </row>
    <row r="20" spans="1:80" x14ac:dyDescent="0.25">
      <c r="A20" s="91" t="s">
        <v>74</v>
      </c>
      <c r="B20" s="114">
        <v>4175372455</v>
      </c>
      <c r="C20" s="114">
        <v>173860005</v>
      </c>
      <c r="D20" s="114">
        <v>1109533221</v>
      </c>
      <c r="E20" s="114">
        <v>0</v>
      </c>
      <c r="F20" s="114">
        <v>256435941</v>
      </c>
      <c r="G20" s="114">
        <v>26104420</v>
      </c>
      <c r="H20" s="114">
        <v>13893900</v>
      </c>
      <c r="I20" s="114">
        <v>1180800</v>
      </c>
      <c r="J20" s="114">
        <v>818730</v>
      </c>
      <c r="K20" s="114">
        <v>184500</v>
      </c>
      <c r="L20" s="114">
        <v>218957958</v>
      </c>
      <c r="M20" s="114">
        <v>392817963</v>
      </c>
      <c r="N20" s="114">
        <v>7407</v>
      </c>
      <c r="O20" s="114">
        <v>766</v>
      </c>
      <c r="P20" s="114">
        <v>71064681</v>
      </c>
      <c r="Q20" s="114">
        <v>4594000</v>
      </c>
      <c r="R20" s="114">
        <v>13724725</v>
      </c>
      <c r="S20" s="114">
        <v>32170684</v>
      </c>
      <c r="T20" s="114">
        <v>2579490</v>
      </c>
      <c r="U20" s="114">
        <v>21415011</v>
      </c>
      <c r="V20" s="114">
        <v>71064681</v>
      </c>
      <c r="W20" s="114">
        <v>4594000</v>
      </c>
      <c r="X20" s="114">
        <v>13724725</v>
      </c>
      <c r="Y20" s="114">
        <v>32170684</v>
      </c>
      <c r="Z20" s="114">
        <v>2579490</v>
      </c>
      <c r="AA20" s="114">
        <v>21415011</v>
      </c>
      <c r="AB20" s="114">
        <v>-34508691</v>
      </c>
      <c r="AC20" s="114">
        <v>-5101201</v>
      </c>
      <c r="AD20" s="114">
        <v>0</v>
      </c>
      <c r="AE20" s="114">
        <v>0</v>
      </c>
      <c r="AF20" s="114">
        <v>0</v>
      </c>
      <c r="AG20" s="114">
        <v>0</v>
      </c>
      <c r="AH20" s="116">
        <v>0</v>
      </c>
      <c r="AI20" s="114">
        <v>0</v>
      </c>
      <c r="AJ20" s="120">
        <v>0</v>
      </c>
      <c r="AK20" s="82">
        <f>333285683+13791613+63392690+5645152+111523623+21619440+28931014</f>
        <v>578189215</v>
      </c>
      <c r="AL20" s="83">
        <v>8996838</v>
      </c>
      <c r="AM20" s="114">
        <v>1074778</v>
      </c>
      <c r="AN20" s="114">
        <v>150836143</v>
      </c>
      <c r="AO20" s="114">
        <v>16802182</v>
      </c>
      <c r="AP20" s="114">
        <v>241115836</v>
      </c>
      <c r="AQ20" s="114">
        <v>119860753</v>
      </c>
      <c r="AR20" s="114">
        <v>62848462</v>
      </c>
      <c r="AS20" s="114">
        <v>24757113</v>
      </c>
      <c r="AT20" s="114">
        <v>583367</v>
      </c>
      <c r="AU20" s="114">
        <v>0</v>
      </c>
      <c r="AV20" s="114">
        <v>0</v>
      </c>
      <c r="AW20" s="114">
        <v>149805</v>
      </c>
      <c r="AX20" s="114">
        <v>2425787</v>
      </c>
      <c r="AY20" s="114">
        <v>0</v>
      </c>
      <c r="AZ20" s="114"/>
      <c r="BA20" s="114"/>
      <c r="BB20" s="114"/>
      <c r="BC20" s="114"/>
      <c r="BD20" s="82">
        <v>31110831.309999999</v>
      </c>
      <c r="BE20" s="82">
        <v>15866524</v>
      </c>
      <c r="BF20" s="117">
        <v>31139378</v>
      </c>
      <c r="BG20" s="118">
        <v>2308830</v>
      </c>
      <c r="BH20" s="118">
        <v>4527118</v>
      </c>
      <c r="BI20" s="117">
        <v>90537862</v>
      </c>
      <c r="BJ20" s="117">
        <v>90537862</v>
      </c>
      <c r="BK20" s="117">
        <v>144318025</v>
      </c>
      <c r="BL20" s="117">
        <v>138670841</v>
      </c>
      <c r="BM20" s="117">
        <v>129078</v>
      </c>
      <c r="BN20" s="117">
        <v>0</v>
      </c>
      <c r="BO20" s="119"/>
      <c r="BP20" s="86">
        <v>6580963947</v>
      </c>
      <c r="BQ20" s="86">
        <v>5746264759</v>
      </c>
      <c r="BR20" s="87">
        <v>7610512</v>
      </c>
      <c r="BT20" s="114">
        <v>33065</v>
      </c>
      <c r="BU20" s="114">
        <v>1835</v>
      </c>
      <c r="BV20" s="114">
        <v>5930</v>
      </c>
      <c r="BW20" s="114">
        <f>SUM(BT20:BV20)</f>
        <v>40830</v>
      </c>
      <c r="BX20" s="89">
        <v>5458765681</v>
      </c>
      <c r="BY20" s="90">
        <f t="shared" si="1"/>
        <v>578189215</v>
      </c>
      <c r="BZ20" s="90">
        <f t="shared" si="1"/>
        <v>8996838</v>
      </c>
      <c r="CA20" s="89">
        <f t="shared" si="2"/>
        <v>312256191</v>
      </c>
      <c r="CB20" s="89">
        <f t="shared" si="3"/>
        <v>6358207925</v>
      </c>
    </row>
    <row r="21" spans="1:80" x14ac:dyDescent="0.25">
      <c r="A21" s="91" t="s">
        <v>75</v>
      </c>
      <c r="B21" s="114">
        <v>75542156</v>
      </c>
      <c r="C21" s="114">
        <v>87164612</v>
      </c>
      <c r="D21" s="114">
        <v>16848152</v>
      </c>
      <c r="E21" s="114">
        <v>0</v>
      </c>
      <c r="F21" s="114">
        <v>13839219</v>
      </c>
      <c r="G21" s="114">
        <v>5245200</v>
      </c>
      <c r="H21" s="114">
        <v>6437948</v>
      </c>
      <c r="I21" s="114">
        <v>1026325</v>
      </c>
      <c r="J21" s="114">
        <v>0</v>
      </c>
      <c r="K21" s="114">
        <v>0</v>
      </c>
      <c r="L21" s="114">
        <v>385752279</v>
      </c>
      <c r="M21" s="114">
        <v>30724529</v>
      </c>
      <c r="N21" s="114">
        <v>596</v>
      </c>
      <c r="O21" s="114">
        <v>198</v>
      </c>
      <c r="P21" s="114">
        <v>2993818</v>
      </c>
      <c r="Q21" s="114">
        <v>1818388</v>
      </c>
      <c r="R21" s="114">
        <v>1225000</v>
      </c>
      <c r="S21" s="114">
        <v>1842766</v>
      </c>
      <c r="T21" s="114">
        <v>1036125</v>
      </c>
      <c r="U21" s="114">
        <v>820000</v>
      </c>
      <c r="V21" s="114">
        <v>2993818</v>
      </c>
      <c r="W21" s="114">
        <v>2314400</v>
      </c>
      <c r="X21" s="114">
        <v>1225000</v>
      </c>
      <c r="Y21" s="114">
        <v>1842766</v>
      </c>
      <c r="Z21" s="114">
        <v>806820</v>
      </c>
      <c r="AA21" s="114">
        <v>820000</v>
      </c>
      <c r="AB21" s="114">
        <v>-1769150</v>
      </c>
      <c r="AC21" s="114">
        <v>0</v>
      </c>
      <c r="AD21" s="114">
        <v>26064</v>
      </c>
      <c r="AE21" s="114">
        <v>92429</v>
      </c>
      <c r="AF21" s="114">
        <v>50220140</v>
      </c>
      <c r="AG21" s="114">
        <v>41490</v>
      </c>
      <c r="AH21" s="116">
        <v>0</v>
      </c>
      <c r="AI21" s="114">
        <v>14122.950819672133</v>
      </c>
      <c r="AJ21" s="120">
        <v>0</v>
      </c>
      <c r="AK21" s="82">
        <v>41754897</v>
      </c>
      <c r="AL21" s="83">
        <v>1220613</v>
      </c>
      <c r="AM21" s="114">
        <v>104500</v>
      </c>
      <c r="AN21" s="114">
        <v>9906313</v>
      </c>
      <c r="AO21" s="114">
        <v>23529</v>
      </c>
      <c r="AP21" s="114">
        <v>571503</v>
      </c>
      <c r="AQ21" s="114">
        <v>2396775</v>
      </c>
      <c r="AR21" s="114">
        <v>993026</v>
      </c>
      <c r="AS21" s="114">
        <v>0</v>
      </c>
      <c r="AT21" s="114">
        <v>2294702</v>
      </c>
      <c r="AU21" s="114">
        <v>0</v>
      </c>
      <c r="AV21" s="114">
        <v>0</v>
      </c>
      <c r="AW21" s="114">
        <v>0</v>
      </c>
      <c r="AX21" s="114">
        <v>400</v>
      </c>
      <c r="AY21" s="114">
        <v>0</v>
      </c>
      <c r="AZ21" s="114"/>
      <c r="BA21" s="114"/>
      <c r="BB21" s="114"/>
      <c r="BC21" s="114"/>
      <c r="BD21" s="82">
        <v>2246720.5</v>
      </c>
      <c r="BE21" s="82">
        <v>1145827</v>
      </c>
      <c r="BF21" s="117">
        <v>13018135</v>
      </c>
      <c r="BG21" s="118">
        <v>802221</v>
      </c>
      <c r="BH21" s="118">
        <v>1572982</v>
      </c>
      <c r="BI21" s="117">
        <v>10377092</v>
      </c>
      <c r="BJ21" s="117">
        <v>10377092</v>
      </c>
      <c r="BK21" s="117">
        <v>23358399</v>
      </c>
      <c r="BL21" s="117">
        <v>19118743</v>
      </c>
      <c r="BM21" s="117">
        <v>0</v>
      </c>
      <c r="BN21" s="117">
        <v>0</v>
      </c>
      <c r="BO21" s="119"/>
      <c r="BP21" s="86">
        <v>266315052.95081967</v>
      </c>
      <c r="BQ21" s="86">
        <v>191895659.95081967</v>
      </c>
      <c r="BR21" s="87">
        <v>277450</v>
      </c>
      <c r="BT21" s="114">
        <v>1511</v>
      </c>
      <c r="BU21" s="114">
        <v>1548</v>
      </c>
      <c r="BV21" s="114">
        <v>53</v>
      </c>
      <c r="BW21" s="114">
        <f t="shared" ref="BW21:BW35" si="5">SUM(BT21:BV21)</f>
        <v>3112</v>
      </c>
      <c r="BX21" s="89">
        <v>179554920</v>
      </c>
      <c r="BY21" s="90">
        <f t="shared" si="1"/>
        <v>41754897</v>
      </c>
      <c r="BZ21" s="90">
        <f t="shared" si="1"/>
        <v>1220613</v>
      </c>
      <c r="CA21" s="89">
        <f t="shared" si="2"/>
        <v>12326617</v>
      </c>
      <c r="CB21" s="89">
        <f t="shared" si="3"/>
        <v>234857047</v>
      </c>
    </row>
    <row r="22" spans="1:80" x14ac:dyDescent="0.25">
      <c r="A22" s="91" t="s">
        <v>76</v>
      </c>
      <c r="B22" s="114">
        <v>227657140</v>
      </c>
      <c r="C22" s="114">
        <v>61976250</v>
      </c>
      <c r="D22" s="114">
        <v>195160913</v>
      </c>
      <c r="E22" s="114">
        <v>176847792</v>
      </c>
      <c r="F22" s="114">
        <v>23890100</v>
      </c>
      <c r="G22" s="114">
        <v>2853900</v>
      </c>
      <c r="H22" s="114">
        <v>5421900</v>
      </c>
      <c r="I22" s="114">
        <v>221400</v>
      </c>
      <c r="J22" s="114">
        <v>108800</v>
      </c>
      <c r="K22" s="114">
        <v>36900</v>
      </c>
      <c r="L22" s="114">
        <v>127516090</v>
      </c>
      <c r="M22" s="114">
        <v>43727800</v>
      </c>
      <c r="N22" s="114">
        <v>839</v>
      </c>
      <c r="O22" s="114">
        <v>102</v>
      </c>
      <c r="P22" s="114">
        <v>1753300</v>
      </c>
      <c r="Q22" s="114">
        <v>1188000</v>
      </c>
      <c r="R22" s="114">
        <v>1565000</v>
      </c>
      <c r="S22" s="114">
        <v>1635100</v>
      </c>
      <c r="T22" s="114">
        <v>260600</v>
      </c>
      <c r="U22" s="114">
        <v>759000</v>
      </c>
      <c r="V22" s="114">
        <v>1753300</v>
      </c>
      <c r="W22" s="114">
        <v>1223100</v>
      </c>
      <c r="X22" s="114">
        <v>1565000</v>
      </c>
      <c r="Y22" s="114">
        <v>1635100</v>
      </c>
      <c r="Z22" s="114">
        <v>553300</v>
      </c>
      <c r="AA22" s="114">
        <v>759000</v>
      </c>
      <c r="AB22" s="114">
        <v>-673100</v>
      </c>
      <c r="AC22" s="114">
        <v>-132126</v>
      </c>
      <c r="AD22" s="114">
        <v>22292</v>
      </c>
      <c r="AE22" s="114">
        <v>0</v>
      </c>
      <c r="AF22" s="114">
        <v>0</v>
      </c>
      <c r="AG22" s="114">
        <v>67326</v>
      </c>
      <c r="AH22" s="116">
        <v>0</v>
      </c>
      <c r="AI22" s="114">
        <v>296377.04918032786</v>
      </c>
      <c r="AJ22" s="120">
        <v>0</v>
      </c>
      <c r="AK22" s="82">
        <v>68330059</v>
      </c>
      <c r="AL22" s="83">
        <v>1982768</v>
      </c>
      <c r="AM22" s="114">
        <v>150360</v>
      </c>
      <c r="AN22" s="114">
        <v>35087708</v>
      </c>
      <c r="AO22" s="114">
        <v>3715480</v>
      </c>
      <c r="AP22" s="114">
        <v>110505244</v>
      </c>
      <c r="AQ22" s="114">
        <v>25958286</v>
      </c>
      <c r="AR22" s="114">
        <v>16603683</v>
      </c>
      <c r="AS22" s="114">
        <v>10878063</v>
      </c>
      <c r="AT22" s="114">
        <f>490+1468062011</f>
        <v>1468062501</v>
      </c>
      <c r="AU22" s="114">
        <v>0</v>
      </c>
      <c r="AV22" s="114">
        <v>0</v>
      </c>
      <c r="AW22" s="114">
        <v>0</v>
      </c>
      <c r="AX22" s="114">
        <v>9183388</v>
      </c>
      <c r="AY22" s="114">
        <v>0</v>
      </c>
      <c r="AZ22" s="114"/>
      <c r="BA22" s="114"/>
      <c r="BB22" s="114"/>
      <c r="BC22" s="114"/>
      <c r="BD22" s="82">
        <v>3676659.64</v>
      </c>
      <c r="BE22" s="82">
        <v>1875096</v>
      </c>
      <c r="BF22" s="117">
        <v>23719041</v>
      </c>
      <c r="BG22" s="118">
        <v>2079251</v>
      </c>
      <c r="BH22" s="118">
        <v>4076963</v>
      </c>
      <c r="BI22" s="117">
        <v>64697198</v>
      </c>
      <c r="BJ22" s="117">
        <v>64697198</v>
      </c>
      <c r="BK22" s="117">
        <v>55002903</v>
      </c>
      <c r="BL22" s="117">
        <v>53112557</v>
      </c>
      <c r="BM22" s="117">
        <v>0</v>
      </c>
      <c r="BN22" s="117">
        <v>0</v>
      </c>
      <c r="BO22" s="119"/>
      <c r="BP22" s="86">
        <v>741929083.04918027</v>
      </c>
      <c r="BQ22" s="86">
        <v>549852154.04918027</v>
      </c>
      <c r="BR22" s="87">
        <v>746400</v>
      </c>
      <c r="BT22" s="114">
        <v>3792</v>
      </c>
      <c r="BU22" s="114">
        <v>881</v>
      </c>
      <c r="BV22" s="114">
        <v>446</v>
      </c>
      <c r="BW22" s="114">
        <f t="shared" si="5"/>
        <v>5119</v>
      </c>
      <c r="BX22" s="89">
        <v>484794303</v>
      </c>
      <c r="BY22" s="90">
        <f t="shared" si="1"/>
        <v>68330059</v>
      </c>
      <c r="BZ22" s="90">
        <f t="shared" si="1"/>
        <v>1982768</v>
      </c>
      <c r="CA22" s="89">
        <f t="shared" si="2"/>
        <v>75639537</v>
      </c>
      <c r="CB22" s="89">
        <f t="shared" si="3"/>
        <v>630746667</v>
      </c>
    </row>
    <row r="23" spans="1:80" x14ac:dyDescent="0.25">
      <c r="A23" s="91" t="s">
        <v>77</v>
      </c>
      <c r="B23" s="122">
        <v>394122316</v>
      </c>
      <c r="C23" s="122">
        <v>139183299</v>
      </c>
      <c r="D23" s="122">
        <v>155053057</v>
      </c>
      <c r="E23" s="122">
        <v>0</v>
      </c>
      <c r="F23" s="122">
        <v>49885900</v>
      </c>
      <c r="G23" s="122">
        <v>34719600</v>
      </c>
      <c r="H23" s="122">
        <v>19768950</v>
      </c>
      <c r="I23" s="122">
        <v>8482850</v>
      </c>
      <c r="J23" s="122">
        <v>214500</v>
      </c>
      <c r="K23" s="122">
        <v>103800</v>
      </c>
      <c r="L23" s="122">
        <v>105137419</v>
      </c>
      <c r="M23" s="122">
        <v>92385790</v>
      </c>
      <c r="N23" s="122">
        <v>2200</v>
      </c>
      <c r="O23" s="122">
        <v>1442</v>
      </c>
      <c r="P23" s="122">
        <v>9299000</v>
      </c>
      <c r="Q23" s="122">
        <v>2127545</v>
      </c>
      <c r="R23" s="122">
        <v>1121000</v>
      </c>
      <c r="S23" s="122">
        <v>3732797</v>
      </c>
      <c r="T23" s="122">
        <v>716978</v>
      </c>
      <c r="U23" s="122">
        <v>1349500</v>
      </c>
      <c r="V23" s="122">
        <v>9299000</v>
      </c>
      <c r="W23" s="122">
        <v>2548900</v>
      </c>
      <c r="X23" s="122">
        <v>1121000</v>
      </c>
      <c r="Y23" s="122">
        <v>3732797</v>
      </c>
      <c r="Z23" s="122">
        <v>431800</v>
      </c>
      <c r="AA23" s="122">
        <v>1349500</v>
      </c>
      <c r="AB23" s="122">
        <v>-8146528</v>
      </c>
      <c r="AC23" s="122">
        <v>-1045158</v>
      </c>
      <c r="AD23" s="122">
        <v>143489</v>
      </c>
      <c r="AE23" s="122">
        <v>0</v>
      </c>
      <c r="AF23" s="122">
        <v>0</v>
      </c>
      <c r="AG23" s="122">
        <v>219100</v>
      </c>
      <c r="AH23" s="116">
        <v>0</v>
      </c>
      <c r="AI23" s="122">
        <v>2028262.2950819675</v>
      </c>
      <c r="AJ23" s="120">
        <v>56000</v>
      </c>
      <c r="AK23" s="82">
        <v>175090763</v>
      </c>
      <c r="AL23" s="83">
        <v>4419003</v>
      </c>
      <c r="AM23" s="122">
        <v>352750</v>
      </c>
      <c r="AN23" s="122">
        <v>22148199</v>
      </c>
      <c r="AO23" s="122">
        <v>2663235</v>
      </c>
      <c r="AP23" s="122">
        <v>27800965</v>
      </c>
      <c r="AQ23" s="122">
        <v>24437806</v>
      </c>
      <c r="AR23" s="122">
        <v>11613692</v>
      </c>
      <c r="AS23" s="122">
        <v>0</v>
      </c>
      <c r="AT23" s="122">
        <v>706209</v>
      </c>
      <c r="AU23" s="122">
        <v>0</v>
      </c>
      <c r="AV23" s="122">
        <v>0</v>
      </c>
      <c r="AW23" s="122">
        <v>0</v>
      </c>
      <c r="AX23" s="122">
        <v>0</v>
      </c>
      <c r="AY23" s="122">
        <v>25800</v>
      </c>
      <c r="BD23" s="82">
        <v>9421170.5800000001</v>
      </c>
      <c r="BE23" s="82">
        <v>4804797</v>
      </c>
      <c r="BF23" s="117"/>
      <c r="BG23" s="118">
        <v>0</v>
      </c>
      <c r="BH23" s="118">
        <v>0</v>
      </c>
      <c r="BI23" s="117">
        <v>39731481</v>
      </c>
      <c r="BJ23" s="117">
        <v>39731481</v>
      </c>
      <c r="BK23" s="117">
        <v>65561811</v>
      </c>
      <c r="BL23" s="117">
        <v>65158692</v>
      </c>
      <c r="BM23" s="117">
        <v>0</v>
      </c>
      <c r="BN23" s="117">
        <v>0</v>
      </c>
      <c r="BO23" s="123"/>
      <c r="BP23" s="86">
        <v>1028896910.295082</v>
      </c>
      <c r="BQ23" s="86">
        <v>739692174.29508197</v>
      </c>
      <c r="BR23" s="87">
        <v>13955291</v>
      </c>
      <c r="BT23" s="122">
        <v>11612</v>
      </c>
      <c r="BU23" s="122">
        <v>3575</v>
      </c>
      <c r="BV23" s="122">
        <v>679</v>
      </c>
      <c r="BW23" s="114">
        <f t="shared" si="5"/>
        <v>15866</v>
      </c>
      <c r="BX23" s="89">
        <v>688358672</v>
      </c>
      <c r="BY23" s="90">
        <f t="shared" si="1"/>
        <v>175090763</v>
      </c>
      <c r="BZ23" s="90">
        <f t="shared" si="1"/>
        <v>4419003</v>
      </c>
      <c r="CA23" s="89">
        <f t="shared" si="2"/>
        <v>49249240</v>
      </c>
      <c r="CB23" s="89">
        <f t="shared" si="3"/>
        <v>917117678</v>
      </c>
    </row>
    <row r="24" spans="1:80" x14ac:dyDescent="0.25">
      <c r="A24" s="91" t="s">
        <v>78</v>
      </c>
      <c r="B24" s="122">
        <v>217125487</v>
      </c>
      <c r="C24" s="114">
        <v>175279350</v>
      </c>
      <c r="D24" s="114">
        <v>68051950</v>
      </c>
      <c r="E24" s="114">
        <v>0</v>
      </c>
      <c r="F24" s="114">
        <v>41292500</v>
      </c>
      <c r="G24" s="114">
        <v>7363900</v>
      </c>
      <c r="H24" s="114">
        <v>22522200</v>
      </c>
      <c r="I24" s="114">
        <v>2255600</v>
      </c>
      <c r="J24" s="114">
        <v>0</v>
      </c>
      <c r="K24" s="114">
        <v>0</v>
      </c>
      <c r="L24" s="114">
        <v>286320995</v>
      </c>
      <c r="M24" s="114">
        <v>105642000</v>
      </c>
      <c r="N24" s="114">
        <v>1896</v>
      </c>
      <c r="O24" s="114">
        <v>325</v>
      </c>
      <c r="P24" s="114">
        <v>882000</v>
      </c>
      <c r="Q24" s="114">
        <v>1701500</v>
      </c>
      <c r="R24" s="114">
        <v>320000</v>
      </c>
      <c r="S24" s="114">
        <v>67100</v>
      </c>
      <c r="T24" s="114">
        <v>69000</v>
      </c>
      <c r="U24" s="114">
        <v>0</v>
      </c>
      <c r="V24" s="114">
        <v>882000</v>
      </c>
      <c r="W24" s="114">
        <v>1701500</v>
      </c>
      <c r="X24" s="114">
        <v>320000</v>
      </c>
      <c r="Y24" s="114">
        <v>67100</v>
      </c>
      <c r="Z24" s="114">
        <v>112000</v>
      </c>
      <c r="AA24" s="114">
        <v>0</v>
      </c>
      <c r="AB24" s="114">
        <v>-1549800</v>
      </c>
      <c r="AC24" s="114">
        <v>0</v>
      </c>
      <c r="AD24" s="114">
        <v>146528</v>
      </c>
      <c r="AE24" s="114">
        <v>0</v>
      </c>
      <c r="AF24" s="114">
        <v>0</v>
      </c>
      <c r="AG24" s="114">
        <v>273878</v>
      </c>
      <c r="AH24" s="116">
        <v>97655.737704918036</v>
      </c>
      <c r="AI24" s="114">
        <v>82016.393442622953</v>
      </c>
      <c r="AJ24" s="120">
        <v>0</v>
      </c>
      <c r="AK24" s="82">
        <v>83634449</v>
      </c>
      <c r="AL24" s="83">
        <v>2173891</v>
      </c>
      <c r="AM24" s="114">
        <v>0</v>
      </c>
      <c r="AN24" s="114">
        <v>10531597</v>
      </c>
      <c r="AO24" s="114">
        <v>103154</v>
      </c>
      <c r="AP24" s="114">
        <v>17857253</v>
      </c>
      <c r="AQ24" s="114">
        <v>14789611</v>
      </c>
      <c r="AR24" s="114">
        <v>8979520</v>
      </c>
      <c r="AS24" s="114">
        <v>0</v>
      </c>
      <c r="AT24" s="114">
        <v>0</v>
      </c>
      <c r="AU24" s="114">
        <v>0</v>
      </c>
      <c r="AV24" s="114">
        <v>0</v>
      </c>
      <c r="AW24" s="114">
        <v>941396</v>
      </c>
      <c r="AX24" s="114">
        <v>72676</v>
      </c>
      <c r="AY24" s="114">
        <v>0</v>
      </c>
      <c r="AZ24" s="114"/>
      <c r="BA24" s="114"/>
      <c r="BB24" s="114"/>
      <c r="BC24" s="114"/>
      <c r="BD24" s="82">
        <v>4500148.3600000003</v>
      </c>
      <c r="BE24" s="82">
        <v>2295076</v>
      </c>
      <c r="BF24" s="117"/>
      <c r="BG24" s="118">
        <v>0</v>
      </c>
      <c r="BH24" s="118">
        <v>0</v>
      </c>
      <c r="BI24" s="117">
        <v>23089011</v>
      </c>
      <c r="BJ24" s="117">
        <v>23089011</v>
      </c>
      <c r="BK24" s="117">
        <v>54249966</v>
      </c>
      <c r="BL24" s="117">
        <v>53636273</v>
      </c>
      <c r="BM24" s="117">
        <v>0</v>
      </c>
      <c r="BN24" s="117">
        <v>0</v>
      </c>
      <c r="BO24" s="119"/>
      <c r="BP24" s="86">
        <v>650889521.13114762</v>
      </c>
      <c r="BQ24" s="86">
        <v>486060821.13114756</v>
      </c>
      <c r="BR24" s="87">
        <v>636000</v>
      </c>
      <c r="BT24" s="114">
        <v>6480</v>
      </c>
      <c r="BU24" s="114">
        <v>4082</v>
      </c>
      <c r="BV24" s="114">
        <v>382</v>
      </c>
      <c r="BW24" s="114">
        <f t="shared" si="5"/>
        <v>10944</v>
      </c>
      <c r="BX24" s="89">
        <v>460456787</v>
      </c>
      <c r="BY24" s="90">
        <f t="shared" si="1"/>
        <v>83634449</v>
      </c>
      <c r="BZ24" s="90">
        <f t="shared" si="1"/>
        <v>2173891</v>
      </c>
      <c r="CA24" s="89">
        <f t="shared" si="2"/>
        <v>25424362</v>
      </c>
      <c r="CB24" s="89">
        <f t="shared" si="3"/>
        <v>571689489</v>
      </c>
    </row>
    <row r="25" spans="1:80" x14ac:dyDescent="0.25">
      <c r="A25" s="91" t="s">
        <v>79</v>
      </c>
      <c r="B25" s="114">
        <v>1695775953</v>
      </c>
      <c r="C25" s="114">
        <v>427358619</v>
      </c>
      <c r="D25" s="114">
        <v>840239340</v>
      </c>
      <c r="E25" s="114">
        <v>39202413</v>
      </c>
      <c r="F25" s="114">
        <v>118045533</v>
      </c>
      <c r="G25" s="114">
        <v>21791987</v>
      </c>
      <c r="H25" s="114">
        <v>16100894</v>
      </c>
      <c r="I25" s="114">
        <v>1667682</v>
      </c>
      <c r="J25" s="114">
        <v>147600</v>
      </c>
      <c r="K25" s="114">
        <v>0</v>
      </c>
      <c r="L25" s="114">
        <v>1055418026</v>
      </c>
      <c r="M25" s="114">
        <v>200330014</v>
      </c>
      <c r="N25" s="114">
        <v>3744</v>
      </c>
      <c r="O25" s="114">
        <v>683</v>
      </c>
      <c r="P25" s="114">
        <v>18385345</v>
      </c>
      <c r="Q25" s="114">
        <v>7228391</v>
      </c>
      <c r="R25" s="114">
        <v>76525147</v>
      </c>
      <c r="S25" s="114">
        <v>19221916</v>
      </c>
      <c r="T25" s="114">
        <v>4600162</v>
      </c>
      <c r="U25" s="114">
        <v>12549313</v>
      </c>
      <c r="V25" s="114">
        <v>18385345</v>
      </c>
      <c r="W25" s="114">
        <v>7815236</v>
      </c>
      <c r="X25" s="114">
        <v>76525147</v>
      </c>
      <c r="Y25" s="114">
        <v>19221916</v>
      </c>
      <c r="Z25" s="114">
        <v>6916177</v>
      </c>
      <c r="AA25" s="114">
        <v>12549313</v>
      </c>
      <c r="AB25" s="114">
        <v>-4529340</v>
      </c>
      <c r="AC25" s="114">
        <v>-5017356</v>
      </c>
      <c r="AD25" s="114">
        <v>45321</v>
      </c>
      <c r="AE25" s="114">
        <v>2810</v>
      </c>
      <c r="AF25" s="114">
        <v>242991964</v>
      </c>
      <c r="AG25" s="114">
        <v>409294</v>
      </c>
      <c r="AH25" s="116">
        <v>2832426.2295081969</v>
      </c>
      <c r="AI25" s="114">
        <v>1080955.7377049183</v>
      </c>
      <c r="AJ25" s="120">
        <v>0</v>
      </c>
      <c r="AK25" s="82">
        <v>349195419</v>
      </c>
      <c r="AL25" s="83">
        <v>8191009</v>
      </c>
      <c r="AM25" s="114">
        <v>0</v>
      </c>
      <c r="AN25" s="114">
        <v>161206842</v>
      </c>
      <c r="AO25" s="114">
        <v>33663552</v>
      </c>
      <c r="AP25" s="114">
        <v>572695790</v>
      </c>
      <c r="AQ25" s="114">
        <v>180058649</v>
      </c>
      <c r="AR25" s="114">
        <v>159461783</v>
      </c>
      <c r="AS25" s="114">
        <v>89929345</v>
      </c>
      <c r="AT25" s="114">
        <v>9153249</v>
      </c>
      <c r="AU25" s="114">
        <v>18410657</v>
      </c>
      <c r="AV25" s="114">
        <v>2699158</v>
      </c>
      <c r="AW25" s="114">
        <v>247181647</v>
      </c>
      <c r="AX25" s="114">
        <v>2225824</v>
      </c>
      <c r="AY25" s="114">
        <v>2899500</v>
      </c>
      <c r="AZ25" s="114"/>
      <c r="BA25" s="114"/>
      <c r="BB25" s="114"/>
      <c r="BC25" s="114"/>
      <c r="BD25" s="82">
        <v>18789281.34</v>
      </c>
      <c r="BE25" s="82">
        <v>9582533</v>
      </c>
      <c r="BF25" s="117"/>
      <c r="BG25" s="118">
        <v>2196650</v>
      </c>
      <c r="BH25" s="118">
        <v>4307156</v>
      </c>
      <c r="BI25" s="117">
        <v>47371019</v>
      </c>
      <c r="BJ25" s="117">
        <v>47371019</v>
      </c>
      <c r="BK25" s="117">
        <v>80134072</v>
      </c>
      <c r="BL25" s="117">
        <v>74248295</v>
      </c>
      <c r="BM25" s="117">
        <v>27073</v>
      </c>
      <c r="BN25" s="117">
        <v>12717873</v>
      </c>
      <c r="BO25" s="119"/>
      <c r="BP25" s="86">
        <v>3845746207.9672132</v>
      </c>
      <c r="BQ25" s="86">
        <v>3342216336.9672132</v>
      </c>
      <c r="BR25" s="87">
        <v>4919026</v>
      </c>
      <c r="BT25" s="114">
        <f>21693+3959</f>
        <v>25652</v>
      </c>
      <c r="BU25" s="114">
        <v>1619</v>
      </c>
      <c r="BV25" s="114">
        <v>914</v>
      </c>
      <c r="BW25" s="114">
        <f t="shared" si="5"/>
        <v>28185</v>
      </c>
      <c r="BX25" s="89">
        <v>2963373912</v>
      </c>
      <c r="BY25" s="90">
        <f t="shared" si="1"/>
        <v>349195419</v>
      </c>
      <c r="BZ25" s="90">
        <f t="shared" si="1"/>
        <v>8191009</v>
      </c>
      <c r="CA25" s="89">
        <f t="shared" si="2"/>
        <v>464858388</v>
      </c>
      <c r="CB25" s="89">
        <f t="shared" si="3"/>
        <v>3785618728</v>
      </c>
    </row>
    <row r="26" spans="1:80" x14ac:dyDescent="0.25">
      <c r="A26" s="91" t="s">
        <v>80</v>
      </c>
      <c r="B26" s="114">
        <v>1413691500</v>
      </c>
      <c r="C26" s="114">
        <v>253418700</v>
      </c>
      <c r="D26" s="114">
        <v>570960400</v>
      </c>
      <c r="E26" s="114">
        <v>0</v>
      </c>
      <c r="F26" s="114">
        <v>88686600</v>
      </c>
      <c r="G26" s="114">
        <v>17891000</v>
      </c>
      <c r="H26" s="114">
        <v>13819400</v>
      </c>
      <c r="I26" s="114">
        <v>2060200</v>
      </c>
      <c r="J26" s="114">
        <v>110700</v>
      </c>
      <c r="K26" s="114">
        <v>36900</v>
      </c>
      <c r="L26" s="114">
        <v>491412164</v>
      </c>
      <c r="M26" s="114">
        <v>0</v>
      </c>
      <c r="N26" s="114">
        <v>2841</v>
      </c>
      <c r="O26" s="114">
        <v>568</v>
      </c>
      <c r="P26" s="56">
        <v>10339700</v>
      </c>
      <c r="Q26" s="114">
        <v>886400</v>
      </c>
      <c r="R26" s="114">
        <v>121700</v>
      </c>
      <c r="S26" s="114">
        <v>4638100</v>
      </c>
      <c r="T26" s="114">
        <v>1756700</v>
      </c>
      <c r="U26" s="114">
        <v>29133000</v>
      </c>
      <c r="V26" s="114">
        <v>10339700</v>
      </c>
      <c r="W26" s="114">
        <v>1429700</v>
      </c>
      <c r="X26" s="114">
        <v>121700</v>
      </c>
      <c r="Y26" s="114">
        <v>4638100</v>
      </c>
      <c r="Z26" s="114">
        <v>3516900</v>
      </c>
      <c r="AA26" s="114">
        <v>29133000</v>
      </c>
      <c r="AB26" s="114">
        <v>-4589300</v>
      </c>
      <c r="AC26" s="114">
        <v>-106472</v>
      </c>
      <c r="AD26" s="114">
        <v>0</v>
      </c>
      <c r="AE26" s="114">
        <v>0</v>
      </c>
      <c r="AF26" s="114">
        <v>0</v>
      </c>
      <c r="AG26" s="114">
        <v>0</v>
      </c>
      <c r="AH26" s="116">
        <v>0</v>
      </c>
      <c r="AI26" s="114">
        <v>0</v>
      </c>
      <c r="AJ26" s="120">
        <v>0</v>
      </c>
      <c r="AK26" s="82">
        <v>262197272</v>
      </c>
      <c r="AL26" s="83">
        <v>4873794</v>
      </c>
      <c r="AM26" s="114">
        <v>0</v>
      </c>
      <c r="AN26" s="114">
        <v>81330009</v>
      </c>
      <c r="AO26" s="114">
        <v>11128088</v>
      </c>
      <c r="AP26" s="114">
        <v>299060873</v>
      </c>
      <c r="AQ26" s="114">
        <v>92287562</v>
      </c>
      <c r="AR26" s="114">
        <v>145548032</v>
      </c>
      <c r="AS26" s="114">
        <v>54433113</v>
      </c>
      <c r="AT26" s="114">
        <v>2862732</v>
      </c>
      <c r="AU26" s="114">
        <v>0</v>
      </c>
      <c r="AV26" s="114">
        <v>2523849</v>
      </c>
      <c r="AW26" s="114">
        <v>4295429</v>
      </c>
      <c r="AX26" s="114">
        <v>1993726</v>
      </c>
      <c r="AY26" s="114">
        <v>10000</v>
      </c>
      <c r="AZ26" s="114"/>
      <c r="BA26" s="114"/>
      <c r="BB26" s="114"/>
      <c r="BC26" s="114"/>
      <c r="BD26" s="82">
        <v>14108141.300000001</v>
      </c>
      <c r="BE26" s="82">
        <v>7195152</v>
      </c>
      <c r="BF26" s="117"/>
      <c r="BG26" s="118">
        <v>3337368</v>
      </c>
      <c r="BH26" s="118">
        <v>6543859</v>
      </c>
      <c r="BI26" s="117">
        <v>87192936</v>
      </c>
      <c r="BJ26" s="117">
        <v>86653448</v>
      </c>
      <c r="BK26" s="117">
        <v>137534561</v>
      </c>
      <c r="BL26" s="117">
        <v>132979973</v>
      </c>
      <c r="BM26" s="117">
        <v>0</v>
      </c>
      <c r="BN26" s="117">
        <v>0</v>
      </c>
      <c r="BO26" s="119"/>
      <c r="BP26" s="86">
        <v>2920053266</v>
      </c>
      <c r="BQ26" s="86">
        <v>2422816259</v>
      </c>
      <c r="BR26" s="87">
        <v>1453900</v>
      </c>
      <c r="BT26" s="114">
        <v>13691</v>
      </c>
      <c r="BU26" s="114">
        <v>2616</v>
      </c>
      <c r="BV26" s="114">
        <v>974</v>
      </c>
      <c r="BW26" s="114">
        <f t="shared" si="5"/>
        <v>17281</v>
      </c>
      <c r="BX26" s="89">
        <v>2238070600</v>
      </c>
      <c r="BY26" s="90">
        <f t="shared" si="1"/>
        <v>262197272</v>
      </c>
      <c r="BZ26" s="90">
        <f t="shared" si="1"/>
        <v>4873794</v>
      </c>
      <c r="CA26" s="89">
        <f t="shared" si="2"/>
        <v>239178772</v>
      </c>
      <c r="CB26" s="89">
        <f t="shared" si="3"/>
        <v>2744320438</v>
      </c>
    </row>
    <row r="27" spans="1:80" x14ac:dyDescent="0.25">
      <c r="A27" s="91" t="s">
        <v>81</v>
      </c>
      <c r="B27" s="122">
        <v>190208000</v>
      </c>
      <c r="C27" s="122">
        <v>69861230</v>
      </c>
      <c r="D27" s="122">
        <v>70174300</v>
      </c>
      <c r="E27" s="122">
        <v>0</v>
      </c>
      <c r="F27" s="122">
        <v>41148300</v>
      </c>
      <c r="G27" s="122">
        <v>28886400</v>
      </c>
      <c r="H27" s="122">
        <v>12849500</v>
      </c>
      <c r="I27" s="122">
        <v>4612600</v>
      </c>
      <c r="J27" s="122">
        <v>71900</v>
      </c>
      <c r="K27" s="122">
        <v>73800</v>
      </c>
      <c r="L27" s="122">
        <v>68159150</v>
      </c>
      <c r="M27" s="122">
        <v>48330890</v>
      </c>
      <c r="N27" s="122">
        <v>1681</v>
      </c>
      <c r="O27" s="122">
        <v>1184</v>
      </c>
      <c r="P27" s="122">
        <v>4554100</v>
      </c>
      <c r="Q27" s="122">
        <v>1454500</v>
      </c>
      <c r="R27" s="122">
        <v>117100</v>
      </c>
      <c r="S27" s="122">
        <v>3547400</v>
      </c>
      <c r="T27" s="122">
        <v>719900</v>
      </c>
      <c r="U27" s="122">
        <v>498600</v>
      </c>
      <c r="V27" s="122">
        <v>4554100</v>
      </c>
      <c r="W27" s="122">
        <v>1733820</v>
      </c>
      <c r="X27" s="122">
        <v>117100</v>
      </c>
      <c r="Y27" s="122">
        <v>3547400</v>
      </c>
      <c r="Z27" s="122">
        <v>942200</v>
      </c>
      <c r="AA27" s="122">
        <v>498200</v>
      </c>
      <c r="AB27" s="122">
        <v>-2394600</v>
      </c>
      <c r="AC27" s="122">
        <v>-13455</v>
      </c>
      <c r="AD27" s="122">
        <v>182900</v>
      </c>
      <c r="AE27" s="122">
        <v>0</v>
      </c>
      <c r="AF27" s="122">
        <v>0</v>
      </c>
      <c r="AG27" s="122">
        <v>216409</v>
      </c>
      <c r="AH27" s="116">
        <v>3426106.5573770497</v>
      </c>
      <c r="AI27" s="122">
        <v>10049252.459016394</v>
      </c>
      <c r="AJ27" s="120">
        <v>1637163.9344262294</v>
      </c>
      <c r="AK27" s="82">
        <v>95598931</v>
      </c>
      <c r="AL27" s="83">
        <v>2376170</v>
      </c>
      <c r="AM27" s="122">
        <v>0</v>
      </c>
      <c r="AN27" s="122">
        <v>16457518</v>
      </c>
      <c r="AO27" s="122">
        <v>202729</v>
      </c>
      <c r="AP27" s="122">
        <v>8333925</v>
      </c>
      <c r="AQ27" s="122">
        <v>13416838</v>
      </c>
      <c r="AR27" s="122">
        <v>1580712</v>
      </c>
      <c r="AS27" s="122">
        <v>0</v>
      </c>
      <c r="AT27" s="122">
        <v>388261</v>
      </c>
      <c r="AU27" s="122">
        <v>0</v>
      </c>
      <c r="AV27" s="122">
        <v>0</v>
      </c>
      <c r="AW27" s="122">
        <v>0</v>
      </c>
      <c r="AX27" s="122">
        <v>26484</v>
      </c>
      <c r="AY27" s="122">
        <v>0</v>
      </c>
      <c r="BD27" s="82">
        <v>5143925.47</v>
      </c>
      <c r="BE27" s="82">
        <v>2623402</v>
      </c>
      <c r="BF27" s="117"/>
      <c r="BG27" s="118">
        <v>695910</v>
      </c>
      <c r="BH27" s="118">
        <v>1364530</v>
      </c>
      <c r="BI27" s="117">
        <v>13186220</v>
      </c>
      <c r="BJ27" s="117">
        <v>13186220</v>
      </c>
      <c r="BK27" s="117">
        <v>50574953</v>
      </c>
      <c r="BL27" s="117">
        <v>49050662</v>
      </c>
      <c r="BM27" s="117">
        <v>0</v>
      </c>
      <c r="BN27" s="117">
        <v>0</v>
      </c>
      <c r="BO27" s="123"/>
      <c r="BP27" s="86">
        <v>538964432.95081973</v>
      </c>
      <c r="BQ27" s="86">
        <v>375433137.95081967</v>
      </c>
      <c r="BR27" s="87">
        <v>504700</v>
      </c>
      <c r="BT27" s="122">
        <v>8373</v>
      </c>
      <c r="BU27" s="122">
        <v>3267</v>
      </c>
      <c r="BV27" s="122">
        <v>388</v>
      </c>
      <c r="BW27" s="114">
        <f t="shared" si="5"/>
        <v>12028</v>
      </c>
      <c r="BX27" s="89">
        <v>330243530</v>
      </c>
      <c r="BY27" s="90">
        <f t="shared" si="1"/>
        <v>95598931</v>
      </c>
      <c r="BZ27" s="90">
        <f t="shared" si="1"/>
        <v>2376170</v>
      </c>
      <c r="CA27" s="89">
        <f t="shared" si="2"/>
        <v>30077085</v>
      </c>
      <c r="CB27" s="89">
        <f t="shared" si="3"/>
        <v>458295716</v>
      </c>
    </row>
    <row r="28" spans="1:80" x14ac:dyDescent="0.25">
      <c r="A28" s="91" t="s">
        <v>82</v>
      </c>
      <c r="B28" s="114">
        <v>194435041</v>
      </c>
      <c r="C28" s="114">
        <v>71034927</v>
      </c>
      <c r="D28" s="114">
        <v>108902626</v>
      </c>
      <c r="E28" s="114">
        <v>0</v>
      </c>
      <c r="F28" s="114">
        <v>26750100</v>
      </c>
      <c r="G28" s="114">
        <v>10292150</v>
      </c>
      <c r="H28" s="114">
        <v>9374100</v>
      </c>
      <c r="I28" s="114">
        <v>1398850</v>
      </c>
      <c r="J28" s="114">
        <v>36900</v>
      </c>
      <c r="K28" s="114">
        <v>0</v>
      </c>
      <c r="L28" s="114">
        <v>136887409</v>
      </c>
      <c r="M28" s="114">
        <v>46299630</v>
      </c>
      <c r="N28" s="114">
        <v>1086</v>
      </c>
      <c r="O28" s="114">
        <v>391</v>
      </c>
      <c r="P28" s="114">
        <v>2411409</v>
      </c>
      <c r="Q28" s="114">
        <v>336976</v>
      </c>
      <c r="R28" s="114">
        <v>372200</v>
      </c>
      <c r="S28" s="114">
        <v>3316162</v>
      </c>
      <c r="T28" s="114">
        <v>638095</v>
      </c>
      <c r="U28" s="114">
        <v>325570</v>
      </c>
      <c r="V28" s="114">
        <v>2411409</v>
      </c>
      <c r="W28" s="114">
        <v>400900</v>
      </c>
      <c r="X28" s="114">
        <v>372200</v>
      </c>
      <c r="Y28" s="114">
        <v>3316162</v>
      </c>
      <c r="Z28" s="114">
        <v>1346170</v>
      </c>
      <c r="AA28" s="114">
        <v>325570</v>
      </c>
      <c r="AB28" s="114">
        <v>-919800</v>
      </c>
      <c r="AC28" s="114">
        <v>150396</v>
      </c>
      <c r="AD28" s="114">
        <v>48625</v>
      </c>
      <c r="AE28" s="114">
        <v>0</v>
      </c>
      <c r="AF28" s="114">
        <v>0</v>
      </c>
      <c r="AG28" s="114">
        <v>96884</v>
      </c>
      <c r="AH28" s="116">
        <v>4325286.8852459025</v>
      </c>
      <c r="AI28" s="114">
        <v>292418.03278688528</v>
      </c>
      <c r="AJ28" s="120">
        <v>0</v>
      </c>
      <c r="AK28" s="82">
        <v>52935438</v>
      </c>
      <c r="AL28" s="83">
        <v>8328827</v>
      </c>
      <c r="AM28" s="114">
        <v>7048809</v>
      </c>
      <c r="AN28" s="114">
        <v>10820224</v>
      </c>
      <c r="AO28" s="114">
        <v>2375538</v>
      </c>
      <c r="AP28" s="114">
        <v>37774637</v>
      </c>
      <c r="AQ28" s="114">
        <v>9841837</v>
      </c>
      <c r="AR28" s="114">
        <v>2181480</v>
      </c>
      <c r="AS28" s="114">
        <v>0</v>
      </c>
      <c r="AT28" s="114">
        <v>145066</v>
      </c>
      <c r="AU28" s="114">
        <v>0</v>
      </c>
      <c r="AV28" s="114">
        <v>52080</v>
      </c>
      <c r="AW28" s="114">
        <v>547957</v>
      </c>
      <c r="AX28" s="114">
        <v>1590</v>
      </c>
      <c r="AY28" s="114">
        <v>20000</v>
      </c>
      <c r="AZ28" s="114"/>
      <c r="BA28" s="114"/>
      <c r="BB28" s="114"/>
      <c r="BC28" s="114"/>
      <c r="BD28" s="82">
        <v>2848315.82</v>
      </c>
      <c r="BE28" s="82">
        <v>1452641</v>
      </c>
      <c r="BF28" s="117"/>
      <c r="BG28" s="118">
        <v>0</v>
      </c>
      <c r="BH28" s="118">
        <v>0</v>
      </c>
      <c r="BI28" s="117">
        <v>2298458</v>
      </c>
      <c r="BJ28" s="117">
        <v>2298458</v>
      </c>
      <c r="BK28" s="117">
        <v>27331644</v>
      </c>
      <c r="BL28" s="117">
        <v>26244366</v>
      </c>
      <c r="BM28" s="117">
        <v>0</v>
      </c>
      <c r="BN28" s="117">
        <v>0</v>
      </c>
      <c r="BO28" s="119"/>
      <c r="BP28" s="86">
        <v>493287627.91803282</v>
      </c>
      <c r="BQ28" s="86">
        <v>402027897.91803282</v>
      </c>
      <c r="BR28" s="87">
        <v>402056</v>
      </c>
      <c r="BT28" s="114">
        <v>5512</v>
      </c>
      <c r="BU28" s="114">
        <v>1772</v>
      </c>
      <c r="BV28" s="114">
        <v>386</v>
      </c>
      <c r="BW28" s="114">
        <f t="shared" si="5"/>
        <v>7670</v>
      </c>
      <c r="BX28" s="89">
        <v>374372594</v>
      </c>
      <c r="BY28" s="90">
        <f t="shared" si="1"/>
        <v>52935438</v>
      </c>
      <c r="BZ28" s="90">
        <f t="shared" si="1"/>
        <v>8328827</v>
      </c>
      <c r="CA28" s="89">
        <f t="shared" si="2"/>
        <v>23037599</v>
      </c>
      <c r="CB28" s="89">
        <f t="shared" si="3"/>
        <v>458674458</v>
      </c>
    </row>
    <row r="29" spans="1:80" x14ac:dyDescent="0.25">
      <c r="A29" s="91" t="s">
        <v>83</v>
      </c>
      <c r="B29" s="114">
        <v>147245426</v>
      </c>
      <c r="C29" s="114">
        <v>151189741</v>
      </c>
      <c r="D29" s="114">
        <v>40829872</v>
      </c>
      <c r="E29" s="114">
        <v>0</v>
      </c>
      <c r="F29" s="114">
        <v>25084221</v>
      </c>
      <c r="G29" s="114">
        <v>4943718</v>
      </c>
      <c r="H29" s="114">
        <v>8985950</v>
      </c>
      <c r="I29" s="114">
        <v>1252866</v>
      </c>
      <c r="J29" s="114">
        <v>17500</v>
      </c>
      <c r="K29" s="114">
        <v>0</v>
      </c>
      <c r="L29" s="114">
        <v>245904619</v>
      </c>
      <c r="M29" s="114">
        <v>58345628</v>
      </c>
      <c r="N29" s="114">
        <v>1022</v>
      </c>
      <c r="O29" s="114">
        <v>205</v>
      </c>
      <c r="P29" s="114">
        <v>2675662</v>
      </c>
      <c r="Q29" s="114">
        <v>4448880</v>
      </c>
      <c r="R29" s="114">
        <v>401500</v>
      </c>
      <c r="S29" s="114">
        <v>2474161</v>
      </c>
      <c r="T29" s="114">
        <v>1363758</v>
      </c>
      <c r="U29" s="114">
        <v>289125</v>
      </c>
      <c r="V29" s="114">
        <v>2675662</v>
      </c>
      <c r="W29" s="114">
        <v>5332303</v>
      </c>
      <c r="X29" s="114">
        <v>401500</v>
      </c>
      <c r="Y29" s="114">
        <v>2474161</v>
      </c>
      <c r="Z29" s="114">
        <v>2293831</v>
      </c>
      <c r="AA29" s="114">
        <v>289125</v>
      </c>
      <c r="AB29" s="114">
        <v>-2625523</v>
      </c>
      <c r="AC29" s="114">
        <v>-11928</v>
      </c>
      <c r="AD29" s="114">
        <v>0</v>
      </c>
      <c r="AE29" s="114">
        <v>0</v>
      </c>
      <c r="AF29" s="114">
        <v>0</v>
      </c>
      <c r="AG29" s="114">
        <v>0</v>
      </c>
      <c r="AH29" s="116">
        <v>0</v>
      </c>
      <c r="AI29" s="114">
        <v>536409.83606557373</v>
      </c>
      <c r="AJ29" s="120">
        <v>0</v>
      </c>
      <c r="AK29" s="82">
        <v>61973116</v>
      </c>
      <c r="AL29" s="83">
        <v>1875937</v>
      </c>
      <c r="AM29" s="114">
        <v>10000</v>
      </c>
      <c r="AN29" s="114">
        <v>10064597</v>
      </c>
      <c r="AO29" s="114">
        <v>157530</v>
      </c>
      <c r="AP29" s="114">
        <v>12104012</v>
      </c>
      <c r="AQ29" s="114">
        <v>12912916</v>
      </c>
      <c r="AR29" s="114">
        <v>24147685</v>
      </c>
      <c r="AS29" s="114">
        <v>0</v>
      </c>
      <c r="AT29" s="114">
        <f>1296559+37</f>
        <v>1296596</v>
      </c>
      <c r="AU29" s="114">
        <v>0</v>
      </c>
      <c r="AV29" s="114">
        <v>0</v>
      </c>
      <c r="AW29" s="114">
        <v>100776</v>
      </c>
      <c r="AX29" s="114">
        <v>1494457</v>
      </c>
      <c r="AY29" s="114">
        <v>544750</v>
      </c>
      <c r="AZ29" s="114"/>
      <c r="BA29" s="114"/>
      <c r="BB29" s="114"/>
      <c r="BC29" s="114"/>
      <c r="BD29" s="82">
        <v>3334609.36</v>
      </c>
      <c r="BE29" s="82">
        <v>1700651</v>
      </c>
      <c r="BF29" s="117">
        <v>22234974</v>
      </c>
      <c r="BG29" s="118">
        <v>0</v>
      </c>
      <c r="BH29" s="118">
        <v>0</v>
      </c>
      <c r="BI29" s="117">
        <v>5099828</v>
      </c>
      <c r="BJ29" s="117">
        <v>5099828</v>
      </c>
      <c r="BK29" s="117">
        <v>23269037</v>
      </c>
      <c r="BL29" s="117">
        <v>23269037</v>
      </c>
      <c r="BM29" s="117">
        <v>0</v>
      </c>
      <c r="BN29" s="117">
        <v>0</v>
      </c>
      <c r="BO29" s="119"/>
      <c r="BP29" s="86">
        <v>456855060.83606559</v>
      </c>
      <c r="BQ29" s="86">
        <v>362936491.83606559</v>
      </c>
      <c r="BR29" s="87">
        <v>671606</v>
      </c>
      <c r="BT29" s="114">
        <f>4498+319</f>
        <v>4817</v>
      </c>
      <c r="BU29" s="114">
        <v>3838</v>
      </c>
      <c r="BV29" s="114">
        <v>306</v>
      </c>
      <c r="BW29" s="114">
        <f t="shared" si="5"/>
        <v>8961</v>
      </c>
      <c r="BX29" s="89">
        <v>339265039</v>
      </c>
      <c r="BY29" s="90">
        <f t="shared" si="1"/>
        <v>61973116</v>
      </c>
      <c r="BZ29" s="90">
        <f t="shared" si="1"/>
        <v>1875937</v>
      </c>
      <c r="CA29" s="89">
        <f t="shared" si="2"/>
        <v>23135043</v>
      </c>
      <c r="CB29" s="89">
        <f t="shared" si="3"/>
        <v>426249135</v>
      </c>
    </row>
    <row r="30" spans="1:80" x14ac:dyDescent="0.25">
      <c r="A30" s="91" t="s">
        <v>84</v>
      </c>
      <c r="B30" s="114">
        <v>138842904</v>
      </c>
      <c r="C30" s="114">
        <v>105598650</v>
      </c>
      <c r="D30" s="114">
        <v>31635297</v>
      </c>
      <c r="E30" s="114">
        <v>0</v>
      </c>
      <c r="F30" s="114">
        <v>18356850</v>
      </c>
      <c r="G30" s="114">
        <v>4772850</v>
      </c>
      <c r="H30" s="114">
        <v>7870900</v>
      </c>
      <c r="I30" s="114">
        <v>1024300</v>
      </c>
      <c r="J30" s="114">
        <v>36900</v>
      </c>
      <c r="K30" s="114">
        <v>0</v>
      </c>
      <c r="L30" s="114">
        <v>147930255</v>
      </c>
      <c r="M30" s="114">
        <v>52432800</v>
      </c>
      <c r="N30" s="114">
        <v>742</v>
      </c>
      <c r="O30" s="114">
        <v>177</v>
      </c>
      <c r="P30" s="114">
        <v>1289750</v>
      </c>
      <c r="Q30" s="114">
        <v>160000</v>
      </c>
      <c r="R30" s="114">
        <v>545000</v>
      </c>
      <c r="S30" s="114">
        <v>1133609</v>
      </c>
      <c r="T30" s="114">
        <v>85000</v>
      </c>
      <c r="U30" s="114">
        <v>58210</v>
      </c>
      <c r="V30" s="114">
        <v>1289750</v>
      </c>
      <c r="W30" s="114">
        <v>160000</v>
      </c>
      <c r="X30" s="114">
        <v>545000</v>
      </c>
      <c r="Y30" s="114">
        <v>1133609</v>
      </c>
      <c r="Z30" s="114">
        <v>70000</v>
      </c>
      <c r="AA30" s="114">
        <v>58210</v>
      </c>
      <c r="AB30" s="114">
        <v>-1307700</v>
      </c>
      <c r="AC30" s="114">
        <v>-38056</v>
      </c>
      <c r="AD30" s="114">
        <v>165495</v>
      </c>
      <c r="AE30" s="114">
        <v>0</v>
      </c>
      <c r="AF30" s="114">
        <v>0</v>
      </c>
      <c r="AG30" s="114">
        <v>0</v>
      </c>
      <c r="AH30" s="116">
        <v>5322196.7213114752</v>
      </c>
      <c r="AI30" s="114">
        <v>0</v>
      </c>
      <c r="AJ30" s="120">
        <v>0</v>
      </c>
      <c r="AK30" s="82">
        <v>38884013</v>
      </c>
      <c r="AL30" s="83">
        <v>5604651</v>
      </c>
      <c r="AM30" s="114">
        <v>6847822</v>
      </c>
      <c r="AN30" s="114">
        <v>6383560</v>
      </c>
      <c r="AO30" s="114">
        <v>35764</v>
      </c>
      <c r="AP30" s="114">
        <v>903025</v>
      </c>
      <c r="AQ30" s="114">
        <v>4137760</v>
      </c>
      <c r="AR30" s="114">
        <v>5305540</v>
      </c>
      <c r="AS30" s="114">
        <v>0</v>
      </c>
      <c r="AT30" s="114">
        <v>752813</v>
      </c>
      <c r="AU30" s="114">
        <v>0</v>
      </c>
      <c r="AV30" s="114">
        <v>0</v>
      </c>
      <c r="AW30" s="114">
        <v>0</v>
      </c>
      <c r="AX30" s="114">
        <v>6530</v>
      </c>
      <c r="AY30" s="114">
        <v>0</v>
      </c>
      <c r="AZ30" s="114"/>
      <c r="BA30" s="114"/>
      <c r="BB30" s="114"/>
      <c r="BC30" s="114"/>
      <c r="BD30" s="82">
        <v>2092245.83</v>
      </c>
      <c r="BE30" s="82">
        <v>1067045</v>
      </c>
      <c r="BF30" s="117"/>
      <c r="BG30" s="118">
        <v>0</v>
      </c>
      <c r="BH30" s="118">
        <v>0</v>
      </c>
      <c r="BI30" s="117">
        <v>1980393</v>
      </c>
      <c r="BJ30" s="117">
        <v>1980393</v>
      </c>
      <c r="BK30" s="117">
        <v>22340798</v>
      </c>
      <c r="BL30" s="117">
        <v>21974803</v>
      </c>
      <c r="BM30" s="117">
        <v>0</v>
      </c>
      <c r="BN30" s="117">
        <v>0</v>
      </c>
      <c r="BO30" s="119"/>
      <c r="BP30" s="86">
        <v>361467036.72131145</v>
      </c>
      <c r="BQ30" s="86">
        <v>291956131.72131145</v>
      </c>
      <c r="BR30" s="87">
        <v>361616</v>
      </c>
      <c r="BT30" s="114">
        <v>3562</v>
      </c>
      <c r="BU30" s="114">
        <v>1867</v>
      </c>
      <c r="BV30" s="114">
        <v>239</v>
      </c>
      <c r="BW30" s="114">
        <f t="shared" si="5"/>
        <v>5668</v>
      </c>
      <c r="BX30" s="89">
        <v>276076851</v>
      </c>
      <c r="BY30" s="90">
        <f t="shared" si="1"/>
        <v>38884013</v>
      </c>
      <c r="BZ30" s="90">
        <f t="shared" si="1"/>
        <v>5604651</v>
      </c>
      <c r="CA30" s="89">
        <f t="shared" si="2"/>
        <v>10557084</v>
      </c>
      <c r="CB30" s="89">
        <f t="shared" si="3"/>
        <v>331122599</v>
      </c>
    </row>
    <row r="31" spans="1:80" x14ac:dyDescent="0.25">
      <c r="A31" s="91" t="s">
        <v>85</v>
      </c>
      <c r="B31" s="114">
        <v>3466210601</v>
      </c>
      <c r="C31" s="114">
        <v>389458342</v>
      </c>
      <c r="D31" s="114">
        <v>1503902987</v>
      </c>
      <c r="E31" s="114">
        <v>0</v>
      </c>
      <c r="F31" s="114">
        <v>288574155</v>
      </c>
      <c r="G31" s="114">
        <v>33708650</v>
      </c>
      <c r="H31" s="114">
        <v>20590800</v>
      </c>
      <c r="I31" s="114">
        <v>1351200</v>
      </c>
      <c r="J31" s="114">
        <v>1145800</v>
      </c>
      <c r="K31" s="114">
        <v>0</v>
      </c>
      <c r="L31" s="114">
        <v>931041679</v>
      </c>
      <c r="M31" s="114">
        <v>211933676</v>
      </c>
      <c r="N31" s="114">
        <v>8523</v>
      </c>
      <c r="O31" s="114">
        <v>933</v>
      </c>
      <c r="P31" s="114">
        <v>56217182</v>
      </c>
      <c r="Q31" s="114">
        <v>28474969</v>
      </c>
      <c r="R31" s="114">
        <v>98652101</v>
      </c>
      <c r="S31" s="114">
        <v>16386658</v>
      </c>
      <c r="T31" s="114">
        <v>6011100</v>
      </c>
      <c r="U31" s="114">
        <v>36626165</v>
      </c>
      <c r="V31" s="114">
        <v>56217182</v>
      </c>
      <c r="W31" s="114">
        <v>134166461</v>
      </c>
      <c r="X31" s="114">
        <v>98652101</v>
      </c>
      <c r="Y31" s="114">
        <v>16386658</v>
      </c>
      <c r="Z31" s="114">
        <v>20842618</v>
      </c>
      <c r="AA31" s="114">
        <v>36626165</v>
      </c>
      <c r="AB31" s="114">
        <v>-2520964</v>
      </c>
      <c r="AC31" s="114">
        <v>-12076664</v>
      </c>
      <c r="AD31" s="114">
        <v>0</v>
      </c>
      <c r="AE31" s="114">
        <v>0</v>
      </c>
      <c r="AF31" s="114">
        <v>0</v>
      </c>
      <c r="AG31" s="114">
        <v>249549</v>
      </c>
      <c r="AH31" s="116">
        <v>6993622.9508196721</v>
      </c>
      <c r="AI31" s="114">
        <v>195459.01639344264</v>
      </c>
      <c r="AJ31" s="120">
        <v>2518483.6065573771</v>
      </c>
      <c r="AK31" s="82">
        <f>517924130+146428045</f>
        <v>664352175</v>
      </c>
      <c r="AL31" s="83">
        <v>13900978</v>
      </c>
      <c r="AM31" s="114">
        <v>292995</v>
      </c>
      <c r="AN31" s="114">
        <v>222743563</v>
      </c>
      <c r="AO31" s="114">
        <v>23491258</v>
      </c>
      <c r="AP31" s="114">
        <v>296204307</v>
      </c>
      <c r="AQ31" s="114">
        <v>261527524</v>
      </c>
      <c r="AR31" s="114">
        <v>214623917</v>
      </c>
      <c r="AS31" s="114">
        <v>41712746</v>
      </c>
      <c r="AT31" s="114">
        <f>30850550+250854511</f>
        <v>281705061</v>
      </c>
      <c r="AU31" s="114">
        <v>36197683</v>
      </c>
      <c r="AV31" s="114">
        <v>7737004</v>
      </c>
      <c r="AW31" s="114">
        <v>77520502</v>
      </c>
      <c r="AX31" s="114">
        <v>4482324</v>
      </c>
      <c r="AY31" s="114">
        <v>5221191</v>
      </c>
      <c r="AZ31" s="114"/>
      <c r="BA31" s="114"/>
      <c r="BB31" s="114"/>
      <c r="BC31" s="114"/>
      <c r="BD31" s="82">
        <v>35747032.310000002</v>
      </c>
      <c r="BE31" s="82">
        <v>18230986</v>
      </c>
      <c r="BF31" s="117">
        <v>34680311</v>
      </c>
      <c r="BG31" s="118">
        <v>1931199</v>
      </c>
      <c r="BH31" s="118">
        <v>3786665</v>
      </c>
      <c r="BI31" s="117">
        <v>77869101</v>
      </c>
      <c r="BJ31" s="117">
        <v>77869101</v>
      </c>
      <c r="BK31" s="117">
        <v>150367497</v>
      </c>
      <c r="BL31" s="117">
        <v>146503595</v>
      </c>
      <c r="BM31" s="117">
        <v>31220049</v>
      </c>
      <c r="BN31" s="117">
        <v>0</v>
      </c>
      <c r="BO31" s="119"/>
      <c r="BP31" s="86">
        <v>6831049923.5737715</v>
      </c>
      <c r="BQ31" s="86">
        <v>5877041840.5737715</v>
      </c>
      <c r="BR31" s="87">
        <v>2753380</v>
      </c>
      <c r="BT31" s="114">
        <v>35355</v>
      </c>
      <c r="BU31" s="114">
        <v>4675</v>
      </c>
      <c r="BV31" s="114">
        <v>4077</v>
      </c>
      <c r="BW31" s="114">
        <f t="shared" si="5"/>
        <v>44107</v>
      </c>
      <c r="BX31" s="89">
        <v>5359571930</v>
      </c>
      <c r="BY31" s="90">
        <f t="shared" si="1"/>
        <v>664352175</v>
      </c>
      <c r="BZ31" s="90">
        <f t="shared" si="1"/>
        <v>13900978</v>
      </c>
      <c r="CA31" s="89">
        <f t="shared" si="2"/>
        <v>549475091</v>
      </c>
      <c r="CB31" s="89">
        <f t="shared" si="3"/>
        <v>6587300174</v>
      </c>
    </row>
    <row r="32" spans="1:80" x14ac:dyDescent="0.25">
      <c r="A32" s="91" t="s">
        <v>86</v>
      </c>
      <c r="B32" s="114">
        <v>376196100</v>
      </c>
      <c r="C32" s="114">
        <v>113690058</v>
      </c>
      <c r="D32" s="114">
        <v>44483348</v>
      </c>
      <c r="E32" s="114">
        <v>0</v>
      </c>
      <c r="F32" s="114">
        <v>29167389</v>
      </c>
      <c r="G32" s="114">
        <v>9804450</v>
      </c>
      <c r="H32" s="114">
        <v>13946293</v>
      </c>
      <c r="I32" s="114">
        <v>1686100</v>
      </c>
      <c r="J32" s="114">
        <v>36900</v>
      </c>
      <c r="K32" s="114">
        <v>0</v>
      </c>
      <c r="L32" s="114">
        <v>178983317</v>
      </c>
      <c r="M32" s="114">
        <v>88511160</v>
      </c>
      <c r="N32" s="114">
        <v>1259</v>
      </c>
      <c r="O32" s="114">
        <v>381</v>
      </c>
      <c r="P32" s="114">
        <v>5267900</v>
      </c>
      <c r="Q32" s="114">
        <v>2177500</v>
      </c>
      <c r="R32" s="114">
        <v>939000</v>
      </c>
      <c r="S32" s="114">
        <v>581000</v>
      </c>
      <c r="T32" s="114">
        <v>323000</v>
      </c>
      <c r="U32" s="114">
        <v>122000</v>
      </c>
      <c r="V32" s="114">
        <v>5267900</v>
      </c>
      <c r="W32" s="114">
        <v>1440000</v>
      </c>
      <c r="X32" s="114">
        <v>939000</v>
      </c>
      <c r="Y32" s="114">
        <v>581000</v>
      </c>
      <c r="Z32" s="114">
        <v>55000</v>
      </c>
      <c r="AA32" s="114">
        <v>122000</v>
      </c>
      <c r="AB32" s="114">
        <v>-1473274</v>
      </c>
      <c r="AC32" s="114">
        <v>-535</v>
      </c>
      <c r="AD32" s="114">
        <v>66758</v>
      </c>
      <c r="AE32" s="114">
        <v>7845</v>
      </c>
      <c r="AF32" s="114">
        <v>9623471</v>
      </c>
      <c r="AG32" s="114">
        <v>137673</v>
      </c>
      <c r="AH32" s="116">
        <v>1761040.9836065574</v>
      </c>
      <c r="AI32" s="114">
        <v>257687.70491803277</v>
      </c>
      <c r="AJ32" s="120">
        <v>0</v>
      </c>
      <c r="AK32" s="82">
        <v>70938539</v>
      </c>
      <c r="AL32" s="83">
        <v>6699473</v>
      </c>
      <c r="AM32" s="114">
        <v>763515</v>
      </c>
      <c r="AN32" s="114">
        <v>5410486</v>
      </c>
      <c r="AO32" s="114">
        <v>57106</v>
      </c>
      <c r="AP32" s="114">
        <v>3206436</v>
      </c>
      <c r="AQ32" s="114">
        <v>5996757</v>
      </c>
      <c r="AR32" s="114">
        <v>946905</v>
      </c>
      <c r="AS32" s="114">
        <v>0</v>
      </c>
      <c r="AT32" s="114">
        <v>717055</v>
      </c>
      <c r="AU32" s="114">
        <v>0</v>
      </c>
      <c r="AV32" s="114">
        <v>0</v>
      </c>
      <c r="AW32" s="114">
        <v>0</v>
      </c>
      <c r="AX32" s="114">
        <v>0</v>
      </c>
      <c r="AY32" s="114">
        <v>25000</v>
      </c>
      <c r="AZ32" s="114"/>
      <c r="BA32" s="114"/>
      <c r="BB32" s="114"/>
      <c r="BC32" s="114"/>
      <c r="BD32" s="82">
        <v>3817015.04</v>
      </c>
      <c r="BE32" s="82">
        <v>1946678</v>
      </c>
      <c r="BF32" s="117"/>
      <c r="BG32" s="118">
        <v>289582</v>
      </c>
      <c r="BH32" s="118">
        <v>567808</v>
      </c>
      <c r="BI32" s="117">
        <v>2528715</v>
      </c>
      <c r="BJ32" s="117">
        <v>2528715</v>
      </c>
      <c r="BK32" s="117">
        <v>17888296</v>
      </c>
      <c r="BL32" s="117">
        <v>17314728</v>
      </c>
      <c r="BM32" s="117">
        <v>0</v>
      </c>
      <c r="BN32" s="117">
        <v>0</v>
      </c>
      <c r="BO32" s="119"/>
      <c r="BP32" s="86">
        <v>647570298.6885246</v>
      </c>
      <c r="BQ32" s="86">
        <v>547852583.6885246</v>
      </c>
      <c r="BR32" s="87">
        <v>767550</v>
      </c>
      <c r="BT32" s="114">
        <v>7231</v>
      </c>
      <c r="BU32" s="114">
        <v>2174</v>
      </c>
      <c r="BV32" s="114">
        <v>251</v>
      </c>
      <c r="BW32" s="114">
        <f t="shared" si="5"/>
        <v>9656</v>
      </c>
      <c r="BX32" s="89">
        <v>534369506</v>
      </c>
      <c r="BY32" s="90">
        <f t="shared" si="1"/>
        <v>70938539</v>
      </c>
      <c r="BZ32" s="90">
        <f t="shared" si="1"/>
        <v>6699473</v>
      </c>
      <c r="CA32" s="89">
        <f t="shared" si="2"/>
        <v>11464349</v>
      </c>
      <c r="CB32" s="89">
        <f t="shared" si="3"/>
        <v>623471867</v>
      </c>
    </row>
    <row r="33" spans="1:80" x14ac:dyDescent="0.25">
      <c r="A33" s="91" t="s">
        <v>87</v>
      </c>
      <c r="B33" s="114">
        <v>63520481</v>
      </c>
      <c r="C33" s="114">
        <v>59226811</v>
      </c>
      <c r="D33" s="114">
        <v>13220555</v>
      </c>
      <c r="E33" s="114">
        <v>0</v>
      </c>
      <c r="F33" s="114">
        <v>7599564</v>
      </c>
      <c r="G33" s="114">
        <v>7833050</v>
      </c>
      <c r="H33" s="114">
        <v>11065409</v>
      </c>
      <c r="I33" s="114">
        <v>5579982</v>
      </c>
      <c r="J33" s="114">
        <v>0</v>
      </c>
      <c r="K33" s="114">
        <v>0</v>
      </c>
      <c r="L33" s="114">
        <v>97656697</v>
      </c>
      <c r="M33" s="114">
        <v>17</v>
      </c>
      <c r="N33" s="114">
        <v>589</v>
      </c>
      <c r="O33" s="114">
        <v>453</v>
      </c>
      <c r="P33" s="114">
        <v>1538518</v>
      </c>
      <c r="Q33" s="114">
        <v>1031799</v>
      </c>
      <c r="R33" s="114">
        <v>54400</v>
      </c>
      <c r="S33" s="114">
        <v>984547</v>
      </c>
      <c r="T33" s="114">
        <v>635910</v>
      </c>
      <c r="U33" s="114">
        <v>88750</v>
      </c>
      <c r="V33" s="114">
        <v>1538518</v>
      </c>
      <c r="W33" s="114">
        <v>1486326</v>
      </c>
      <c r="X33" s="114">
        <v>54400</v>
      </c>
      <c r="Y33" s="114">
        <v>984547</v>
      </c>
      <c r="Z33" s="114">
        <v>666130</v>
      </c>
      <c r="AA33" s="114">
        <v>88750</v>
      </c>
      <c r="AB33" s="114">
        <v>-854557</v>
      </c>
      <c r="AC33" s="114">
        <v>4435</v>
      </c>
      <c r="AD33" s="114">
        <v>120247</v>
      </c>
      <c r="AE33" s="114">
        <v>0</v>
      </c>
      <c r="AF33" s="114">
        <v>0</v>
      </c>
      <c r="AG33" s="114">
        <v>337292</v>
      </c>
      <c r="AH33" s="116">
        <v>2934327.8688524594</v>
      </c>
      <c r="AI33" s="114">
        <v>0</v>
      </c>
      <c r="AJ33" s="120">
        <v>23000</v>
      </c>
      <c r="AK33" s="82">
        <v>31294310</v>
      </c>
      <c r="AL33" s="83">
        <v>1060826</v>
      </c>
      <c r="AM33" s="114">
        <v>0</v>
      </c>
      <c r="AN33" s="114">
        <v>1916185</v>
      </c>
      <c r="AO33" s="114">
        <v>40396</v>
      </c>
      <c r="AP33" s="114">
        <v>48284</v>
      </c>
      <c r="AQ33" s="114">
        <v>890161</v>
      </c>
      <c r="AR33" s="114">
        <v>128201</v>
      </c>
      <c r="AS33" s="114">
        <v>0</v>
      </c>
      <c r="AT33" s="114">
        <v>729761</v>
      </c>
      <c r="AU33" s="114">
        <v>0</v>
      </c>
      <c r="AV33" s="114">
        <v>0</v>
      </c>
      <c r="AW33" s="114">
        <v>0</v>
      </c>
      <c r="AX33" s="114">
        <v>0</v>
      </c>
      <c r="AY33" s="114">
        <v>0</v>
      </c>
      <c r="AZ33" s="114"/>
      <c r="BA33" s="114"/>
      <c r="BB33" s="114"/>
      <c r="BC33" s="114"/>
      <c r="BD33" s="82">
        <v>1683864</v>
      </c>
      <c r="BE33" s="82">
        <v>858771</v>
      </c>
      <c r="BF33" s="117"/>
      <c r="BG33" s="118">
        <v>0</v>
      </c>
      <c r="BH33" s="118">
        <v>0</v>
      </c>
      <c r="BI33" s="117">
        <v>3315203</v>
      </c>
      <c r="BJ33" s="117">
        <v>3315203</v>
      </c>
      <c r="BK33" s="117">
        <v>30238475</v>
      </c>
      <c r="BL33" s="117">
        <v>30224306</v>
      </c>
      <c r="BM33" s="117">
        <v>0</v>
      </c>
      <c r="BN33" s="117">
        <v>0</v>
      </c>
      <c r="BO33" s="119"/>
      <c r="BP33" s="86">
        <v>208525332.86885247</v>
      </c>
      <c r="BQ33" s="86">
        <v>141771916.86885247</v>
      </c>
      <c r="BR33" s="87">
        <v>215481</v>
      </c>
      <c r="BT33" s="114">
        <f>2053+2167</f>
        <v>4220</v>
      </c>
      <c r="BU33" s="114">
        <v>87</v>
      </c>
      <c r="BV33" s="114">
        <v>172</v>
      </c>
      <c r="BW33" s="114">
        <f t="shared" si="5"/>
        <v>4479</v>
      </c>
      <c r="BX33" s="89">
        <v>135967847</v>
      </c>
      <c r="BY33" s="90">
        <f t="shared" si="1"/>
        <v>31294310</v>
      </c>
      <c r="BZ33" s="90">
        <f t="shared" si="1"/>
        <v>1060826</v>
      </c>
      <c r="CA33" s="89">
        <f t="shared" si="2"/>
        <v>2846742</v>
      </c>
      <c r="CB33" s="89">
        <f t="shared" si="3"/>
        <v>171169725</v>
      </c>
    </row>
    <row r="34" spans="1:80" x14ac:dyDescent="0.25">
      <c r="A34" s="91" t="s">
        <v>88</v>
      </c>
      <c r="B34" s="114">
        <v>217838783</v>
      </c>
      <c r="C34" s="114">
        <v>97160661</v>
      </c>
      <c r="D34" s="114">
        <v>66932994</v>
      </c>
      <c r="E34" s="114">
        <v>0</v>
      </c>
      <c r="F34" s="114">
        <v>35465346</v>
      </c>
      <c r="G34" s="114">
        <v>13688035</v>
      </c>
      <c r="H34" s="114">
        <v>10695298</v>
      </c>
      <c r="I34" s="114">
        <v>2807701</v>
      </c>
      <c r="J34" s="114">
        <v>146700</v>
      </c>
      <c r="K34" s="114">
        <v>109352</v>
      </c>
      <c r="L34" s="114">
        <v>84153699</v>
      </c>
      <c r="M34" s="114">
        <v>2025200</v>
      </c>
      <c r="N34" s="114">
        <v>1346</v>
      </c>
      <c r="O34" s="114">
        <v>513</v>
      </c>
      <c r="P34" s="114">
        <v>2238438</v>
      </c>
      <c r="Q34" s="114">
        <v>264000</v>
      </c>
      <c r="R34" s="114">
        <v>1580700</v>
      </c>
      <c r="S34" s="114">
        <v>4307867</v>
      </c>
      <c r="T34" s="114">
        <v>3119102</v>
      </c>
      <c r="U34" s="114">
        <v>729200</v>
      </c>
      <c r="V34" s="114">
        <v>2238438</v>
      </c>
      <c r="W34" s="114">
        <v>282400</v>
      </c>
      <c r="X34" s="114">
        <v>1580700</v>
      </c>
      <c r="Y34" s="114">
        <v>4307867</v>
      </c>
      <c r="Z34" s="114">
        <v>2760550</v>
      </c>
      <c r="AA34" s="114">
        <v>729200</v>
      </c>
      <c r="AB34" s="114">
        <v>-1967250</v>
      </c>
      <c r="AC34" s="114">
        <v>691</v>
      </c>
      <c r="AD34" s="114">
        <v>92997</v>
      </c>
      <c r="AE34" s="114">
        <v>11913</v>
      </c>
      <c r="AF34" s="114">
        <v>11269198</v>
      </c>
      <c r="AG34" s="114">
        <v>138206</v>
      </c>
      <c r="AH34" s="116">
        <v>4843590.1639344264</v>
      </c>
      <c r="AI34" s="114">
        <v>61622.950819672136</v>
      </c>
      <c r="AJ34" s="120">
        <v>0</v>
      </c>
      <c r="AK34" s="82">
        <v>75859660</v>
      </c>
      <c r="AL34" s="83">
        <v>1536906</v>
      </c>
      <c r="AM34" s="114">
        <v>0</v>
      </c>
      <c r="AN34" s="114">
        <v>10148018</v>
      </c>
      <c r="AO34" s="114">
        <v>96448</v>
      </c>
      <c r="AP34" s="114">
        <v>2719136</v>
      </c>
      <c r="AQ34" s="114">
        <v>7492227</v>
      </c>
      <c r="AR34" s="114">
        <v>2257769</v>
      </c>
      <c r="AS34" s="114">
        <v>0</v>
      </c>
      <c r="AT34" s="114">
        <v>26897</v>
      </c>
      <c r="AU34" s="114">
        <v>0</v>
      </c>
      <c r="AV34" s="114">
        <v>0</v>
      </c>
      <c r="AW34" s="114">
        <v>0</v>
      </c>
      <c r="AX34" s="114">
        <v>48034</v>
      </c>
      <c r="AY34" s="114">
        <v>0</v>
      </c>
      <c r="AZ34" s="114"/>
      <c r="BA34" s="114"/>
      <c r="BB34" s="114"/>
      <c r="BC34" s="114"/>
      <c r="BD34" s="82">
        <v>4081807.54</v>
      </c>
      <c r="BE34" s="82">
        <v>2081722</v>
      </c>
      <c r="BF34" s="117"/>
      <c r="BG34" s="118">
        <v>4691360</v>
      </c>
      <c r="BH34" s="118">
        <v>9198745</v>
      </c>
      <c r="BI34" s="117">
        <v>21744360</v>
      </c>
      <c r="BJ34" s="117">
        <v>21744360</v>
      </c>
      <c r="BK34" s="117">
        <v>35084645</v>
      </c>
      <c r="BL34" s="117">
        <v>31958379</v>
      </c>
      <c r="BM34" s="117">
        <v>0</v>
      </c>
      <c r="BN34" s="117">
        <v>0</v>
      </c>
      <c r="BO34" s="119"/>
      <c r="BP34" s="86">
        <v>542446731.11475408</v>
      </c>
      <c r="BQ34" s="86">
        <v>404574344.11475408</v>
      </c>
      <c r="BR34" s="87">
        <v>967000</v>
      </c>
      <c r="BT34" s="114">
        <v>6872</v>
      </c>
      <c r="BU34" s="114">
        <v>2488</v>
      </c>
      <c r="BV34" s="114">
        <v>463</v>
      </c>
      <c r="BW34" s="114">
        <f t="shared" si="5"/>
        <v>9823</v>
      </c>
      <c r="BX34" s="89">
        <v>381932438</v>
      </c>
      <c r="BY34" s="90">
        <f t="shared" si="1"/>
        <v>75859660</v>
      </c>
      <c r="BZ34" s="90">
        <f t="shared" si="1"/>
        <v>1536906</v>
      </c>
      <c r="CA34" s="89">
        <f t="shared" si="2"/>
        <v>17736693</v>
      </c>
      <c r="CB34" s="89">
        <f t="shared" si="3"/>
        <v>477065697</v>
      </c>
    </row>
    <row r="35" spans="1:80" x14ac:dyDescent="0.25">
      <c r="A35" s="91" t="s">
        <v>89</v>
      </c>
      <c r="B35" s="114">
        <v>16346595000</v>
      </c>
      <c r="C35" s="114">
        <v>948410300</v>
      </c>
      <c r="D35" s="114">
        <v>7509401500</v>
      </c>
      <c r="E35" s="114">
        <v>0</v>
      </c>
      <c r="F35" s="114">
        <v>693634600</v>
      </c>
      <c r="G35" s="114">
        <v>43529400</v>
      </c>
      <c r="H35" s="114">
        <v>14058900</v>
      </c>
      <c r="I35" s="114">
        <v>332100</v>
      </c>
      <c r="J35" s="114">
        <v>1033200</v>
      </c>
      <c r="K35" s="114">
        <v>73800</v>
      </c>
      <c r="L35" s="114">
        <v>1582906800</v>
      </c>
      <c r="M35" s="114">
        <v>591047000</v>
      </c>
      <c r="N35" s="114">
        <v>19334</v>
      </c>
      <c r="O35" s="114">
        <v>1222</v>
      </c>
      <c r="P35" s="114">
        <v>152473500</v>
      </c>
      <c r="Q35" s="114">
        <v>14434600</v>
      </c>
      <c r="R35" s="114">
        <v>286024600</v>
      </c>
      <c r="S35" s="114">
        <v>74687000</v>
      </c>
      <c r="T35" s="114">
        <v>4490600</v>
      </c>
      <c r="U35" s="114">
        <v>32001700</v>
      </c>
      <c r="V35" s="114">
        <v>152473500</v>
      </c>
      <c r="W35" s="114">
        <v>25084500</v>
      </c>
      <c r="X35" s="114">
        <v>286024600</v>
      </c>
      <c r="Y35" s="114">
        <v>74687000</v>
      </c>
      <c r="Z35" s="114">
        <v>25880700</v>
      </c>
      <c r="AA35" s="114">
        <v>32001700</v>
      </c>
      <c r="AB35" s="114">
        <v>27068700</v>
      </c>
      <c r="AC35" s="114">
        <v>-96385640</v>
      </c>
      <c r="AD35" s="114">
        <v>0</v>
      </c>
      <c r="AE35" s="114">
        <v>0</v>
      </c>
      <c r="AF35" s="114">
        <v>0</v>
      </c>
      <c r="AG35" s="114">
        <v>0</v>
      </c>
      <c r="AH35" s="116">
        <v>0</v>
      </c>
      <c r="AI35" s="114">
        <v>1344581.967213115</v>
      </c>
      <c r="AJ35" s="120">
        <v>0</v>
      </c>
      <c r="AK35" s="82">
        <v>2166779614</v>
      </c>
      <c r="AL35" s="83">
        <v>21573521</v>
      </c>
      <c r="AM35" s="114">
        <v>0</v>
      </c>
      <c r="AN35" s="114">
        <v>997540302</v>
      </c>
      <c r="AO35" s="114">
        <v>23428261</v>
      </c>
      <c r="AP35" s="114">
        <v>421324901</v>
      </c>
      <c r="AQ35" s="114">
        <v>793861227</v>
      </c>
      <c r="AR35" s="114">
        <v>416559392</v>
      </c>
      <c r="AS35" s="114">
        <v>200326041</v>
      </c>
      <c r="AT35" s="114">
        <f>615495427+67744326</f>
        <v>683239753</v>
      </c>
      <c r="AU35" s="114">
        <v>2998490</v>
      </c>
      <c r="AV35" s="114">
        <v>22505</v>
      </c>
      <c r="AW35" s="114">
        <v>9177123</v>
      </c>
      <c r="AX35" s="114">
        <v>2342957</v>
      </c>
      <c r="AY35" s="114">
        <v>62130908</v>
      </c>
      <c r="AZ35" s="114"/>
      <c r="BA35" s="114"/>
      <c r="BB35" s="114"/>
      <c r="BC35" s="114"/>
      <c r="BD35" s="82">
        <v>116588676.59999999</v>
      </c>
      <c r="BE35" s="82">
        <v>59460225</v>
      </c>
      <c r="BF35" s="117"/>
      <c r="BG35" s="118">
        <v>4729188</v>
      </c>
      <c r="BH35" s="118">
        <v>9272918</v>
      </c>
      <c r="BI35" s="117">
        <v>318759558</v>
      </c>
      <c r="BJ35" s="117">
        <v>312978618</v>
      </c>
      <c r="BK35" s="117">
        <v>608486968</v>
      </c>
      <c r="BL35" s="117">
        <v>589218702</v>
      </c>
      <c r="BM35" s="117">
        <v>143090</v>
      </c>
      <c r="BN35" s="117">
        <v>0</v>
      </c>
      <c r="BO35" s="119"/>
      <c r="BP35" s="86">
        <v>29775464129.967213</v>
      </c>
      <c r="BQ35" s="86">
        <v>26620581171.967213</v>
      </c>
      <c r="BR35" s="87">
        <v>13975600</v>
      </c>
      <c r="BT35" s="114">
        <v>98095</v>
      </c>
      <c r="BU35" s="114">
        <v>2438</v>
      </c>
      <c r="BV35" s="114">
        <v>7586</v>
      </c>
      <c r="BW35" s="114">
        <f t="shared" si="5"/>
        <v>108119</v>
      </c>
      <c r="BX35" s="89">
        <v>24804406800</v>
      </c>
      <c r="BY35" s="90">
        <f t="shared" si="1"/>
        <v>2166779614</v>
      </c>
      <c r="BZ35" s="90">
        <f t="shared" si="1"/>
        <v>21573521</v>
      </c>
      <c r="CA35" s="89">
        <f t="shared" si="2"/>
        <v>2015155831</v>
      </c>
      <c r="CB35" s="89">
        <f t="shared" si="3"/>
        <v>29007915766</v>
      </c>
    </row>
    <row r="36" spans="1:80" x14ac:dyDescent="0.25">
      <c r="A36" s="91" t="s">
        <v>90</v>
      </c>
      <c r="B36" s="114">
        <v>263882543</v>
      </c>
      <c r="C36" s="114">
        <v>180134480</v>
      </c>
      <c r="D36" s="114">
        <v>76149840</v>
      </c>
      <c r="E36" s="114">
        <v>0</v>
      </c>
      <c r="F36" s="114">
        <v>36474600</v>
      </c>
      <c r="G36" s="114">
        <v>8647520</v>
      </c>
      <c r="H36" s="114">
        <v>14440900</v>
      </c>
      <c r="I36" s="114">
        <v>1891700</v>
      </c>
      <c r="J36" s="114">
        <v>0</v>
      </c>
      <c r="K36" s="114">
        <v>36900</v>
      </c>
      <c r="L36" s="114">
        <v>222575940</v>
      </c>
      <c r="M36" s="114">
        <v>94618500</v>
      </c>
      <c r="N36" s="114">
        <v>1477</v>
      </c>
      <c r="O36" s="114">
        <v>326</v>
      </c>
      <c r="P36" s="114">
        <v>1642600</v>
      </c>
      <c r="Q36" s="114">
        <v>2006300</v>
      </c>
      <c r="R36" s="114">
        <v>15534500</v>
      </c>
      <c r="S36" s="114">
        <v>1409200</v>
      </c>
      <c r="T36" s="114">
        <v>737800</v>
      </c>
      <c r="U36" s="114">
        <v>132500</v>
      </c>
      <c r="V36" s="114">
        <v>1642600</v>
      </c>
      <c r="W36" s="114">
        <v>2139050</v>
      </c>
      <c r="X36" s="114">
        <v>15534500</v>
      </c>
      <c r="Y36" s="114">
        <v>1409200</v>
      </c>
      <c r="Z36" s="114">
        <v>462300</v>
      </c>
      <c r="AA36" s="114">
        <v>132500</v>
      </c>
      <c r="AB36" s="114">
        <v>-2149800</v>
      </c>
      <c r="AC36" s="114">
        <v>0</v>
      </c>
      <c r="AD36" s="114">
        <v>52017</v>
      </c>
      <c r="AE36" s="114">
        <v>71088</v>
      </c>
      <c r="AF36" s="114">
        <v>125296760</v>
      </c>
      <c r="AG36" s="114">
        <v>212280</v>
      </c>
      <c r="AH36" s="116">
        <v>0</v>
      </c>
      <c r="AI36" s="114">
        <v>128360.65573770492</v>
      </c>
      <c r="AJ36" s="120">
        <v>0</v>
      </c>
      <c r="AK36" s="82">
        <v>102170308</v>
      </c>
      <c r="AL36" s="83">
        <v>1250542</v>
      </c>
      <c r="AM36" s="114">
        <v>0</v>
      </c>
      <c r="AN36" s="114">
        <v>17057962</v>
      </c>
      <c r="AO36" s="114">
        <v>1915275</v>
      </c>
      <c r="AP36" s="114">
        <v>29044248</v>
      </c>
      <c r="AQ36" s="114">
        <v>22168810</v>
      </c>
      <c r="AR36" s="114">
        <v>12678045</v>
      </c>
      <c r="AS36" s="114">
        <v>395070</v>
      </c>
      <c r="AT36" s="114">
        <v>1481396</v>
      </c>
      <c r="AU36" s="114">
        <v>0</v>
      </c>
      <c r="AV36" s="114">
        <v>53266</v>
      </c>
      <c r="AW36" s="114">
        <v>0</v>
      </c>
      <c r="AX36" s="114">
        <v>1947</v>
      </c>
      <c r="AY36" s="114">
        <v>92500</v>
      </c>
      <c r="AZ36" s="114"/>
      <c r="BA36" s="114"/>
      <c r="BB36" s="114"/>
      <c r="BC36" s="114"/>
      <c r="BD36" s="82">
        <v>5497513.8799999999</v>
      </c>
      <c r="BE36" s="82">
        <v>2803732</v>
      </c>
      <c r="BF36" s="117"/>
      <c r="BG36" s="118">
        <v>583077</v>
      </c>
      <c r="BH36" s="118">
        <v>1143289</v>
      </c>
      <c r="BI36" s="117">
        <v>15026887</v>
      </c>
      <c r="BJ36" s="117">
        <v>15026887</v>
      </c>
      <c r="BK36" s="117">
        <v>34506712</v>
      </c>
      <c r="BL36" s="117">
        <v>34245238</v>
      </c>
      <c r="BM36" s="117">
        <v>0</v>
      </c>
      <c r="BN36" s="117">
        <v>0</v>
      </c>
      <c r="BO36" s="119"/>
      <c r="BP36" s="86">
        <v>717517054.65573764</v>
      </c>
      <c r="BQ36" s="86">
        <v>561437270.65573764</v>
      </c>
      <c r="BR36" s="87">
        <v>873550</v>
      </c>
      <c r="BT36" s="114">
        <v>5727</v>
      </c>
      <c r="BU36" s="114">
        <v>2672</v>
      </c>
      <c r="BV36" s="114">
        <v>416</v>
      </c>
      <c r="BW36" s="114">
        <f>SUM(BT36:BV36)</f>
        <v>8815</v>
      </c>
      <c r="BX36" s="89">
        <v>520166863</v>
      </c>
      <c r="BY36" s="90">
        <f t="shared" si="1"/>
        <v>102170308</v>
      </c>
      <c r="BZ36" s="90">
        <f t="shared" si="1"/>
        <v>1250542</v>
      </c>
      <c r="CA36" s="89">
        <f t="shared" si="2"/>
        <v>41537117</v>
      </c>
      <c r="CB36" s="89">
        <f t="shared" si="3"/>
        <v>665124830</v>
      </c>
    </row>
    <row r="37" spans="1:80" x14ac:dyDescent="0.25">
      <c r="A37" s="91" t="s">
        <v>91</v>
      </c>
      <c r="B37" s="114">
        <v>630404648</v>
      </c>
      <c r="C37" s="114">
        <v>119543473</v>
      </c>
      <c r="D37" s="114">
        <v>276879420</v>
      </c>
      <c r="E37" s="114">
        <v>0</v>
      </c>
      <c r="F37" s="114">
        <v>90328500</v>
      </c>
      <c r="G37" s="114">
        <v>77266500</v>
      </c>
      <c r="H37" s="114">
        <v>20153234</v>
      </c>
      <c r="I37" s="114">
        <v>9677100</v>
      </c>
      <c r="J37" s="114">
        <v>248400</v>
      </c>
      <c r="K37" s="114">
        <v>184500</v>
      </c>
      <c r="L37" s="114">
        <v>67901298</v>
      </c>
      <c r="M37" s="114">
        <v>60713094</v>
      </c>
      <c r="N37" s="114">
        <v>3379</v>
      </c>
      <c r="O37" s="114">
        <v>2951</v>
      </c>
      <c r="P37" s="114">
        <v>5636700</v>
      </c>
      <c r="Q37" s="114">
        <v>1863000</v>
      </c>
      <c r="R37" s="114">
        <v>4557000</v>
      </c>
      <c r="S37" s="114">
        <v>3048800</v>
      </c>
      <c r="T37" s="114">
        <v>117600</v>
      </c>
      <c r="U37" s="114">
        <v>893000</v>
      </c>
      <c r="V37" s="114">
        <v>5636700</v>
      </c>
      <c r="W37" s="114">
        <v>359000</v>
      </c>
      <c r="X37" s="114">
        <v>4557000</v>
      </c>
      <c r="Y37" s="114">
        <v>3048800</v>
      </c>
      <c r="Z37" s="114">
        <v>125000</v>
      </c>
      <c r="AA37" s="114">
        <v>893800</v>
      </c>
      <c r="AB37" s="114">
        <v>-6318450</v>
      </c>
      <c r="AC37" s="114">
        <v>-1106030</v>
      </c>
      <c r="AD37" s="114">
        <v>183761</v>
      </c>
      <c r="AE37" s="114">
        <v>0</v>
      </c>
      <c r="AF37" s="114">
        <v>0</v>
      </c>
      <c r="AG37" s="114">
        <v>208383</v>
      </c>
      <c r="AH37" s="116">
        <v>3010131.1475409837</v>
      </c>
      <c r="AI37" s="114">
        <v>117441973.77049179</v>
      </c>
      <c r="AJ37" s="120">
        <v>141836355</v>
      </c>
      <c r="AK37" s="82">
        <v>277466225</v>
      </c>
      <c r="AL37" s="83">
        <v>7027001</v>
      </c>
      <c r="AM37" s="114">
        <v>0</v>
      </c>
      <c r="AN37" s="114">
        <v>95307703</v>
      </c>
      <c r="AO37" s="114">
        <v>2362128</v>
      </c>
      <c r="AP37" s="114">
        <v>148017021</v>
      </c>
      <c r="AQ37" s="114">
        <v>55120590</v>
      </c>
      <c r="AR37" s="114">
        <v>41410921</v>
      </c>
      <c r="AS37" s="114">
        <v>627173</v>
      </c>
      <c r="AT37" s="114">
        <v>20000</v>
      </c>
      <c r="AU37" s="114">
        <v>0</v>
      </c>
      <c r="AV37" s="114">
        <v>0</v>
      </c>
      <c r="AW37" s="114">
        <v>0</v>
      </c>
      <c r="AX37" s="114">
        <v>2224</v>
      </c>
      <c r="AY37" s="114">
        <v>2500000</v>
      </c>
      <c r="AZ37" s="114"/>
      <c r="BA37" s="114"/>
      <c r="BB37" s="114"/>
      <c r="BC37" s="114"/>
      <c r="BD37" s="82">
        <v>14929723.25</v>
      </c>
      <c r="BE37" s="82">
        <v>7614159</v>
      </c>
      <c r="BF37" s="117"/>
      <c r="BG37" s="118">
        <v>4974420</v>
      </c>
      <c r="BH37" s="118">
        <v>9753764</v>
      </c>
      <c r="BI37" s="117">
        <v>108373194</v>
      </c>
      <c r="BJ37" s="117">
        <v>108373194</v>
      </c>
      <c r="BK37" s="117">
        <v>303387770</v>
      </c>
      <c r="BL37" s="117">
        <v>299135447</v>
      </c>
      <c r="BM37" s="117">
        <v>0</v>
      </c>
      <c r="BN37" s="117">
        <v>0</v>
      </c>
      <c r="BO37" s="119"/>
      <c r="BP37" s="86">
        <v>2146496867.9180326</v>
      </c>
      <c r="BQ37" s="86">
        <v>1441906421.9180326</v>
      </c>
      <c r="BR37" s="87">
        <v>14671600</v>
      </c>
      <c r="BT37" s="114">
        <v>21810</v>
      </c>
      <c r="BU37" s="114">
        <v>4371</v>
      </c>
      <c r="BV37" s="114">
        <v>1529</v>
      </c>
      <c r="BW37" s="114">
        <f t="shared" ref="BW37:BW93" si="6">SUM(BT37:BV37)</f>
        <v>27710</v>
      </c>
      <c r="BX37" s="89">
        <v>1026827541</v>
      </c>
      <c r="BY37" s="90">
        <f t="shared" si="1"/>
        <v>277466225</v>
      </c>
      <c r="BZ37" s="90">
        <f t="shared" si="1"/>
        <v>7027001</v>
      </c>
      <c r="CA37" s="89">
        <f t="shared" si="2"/>
        <v>153417594</v>
      </c>
      <c r="CB37" s="89">
        <f t="shared" si="3"/>
        <v>1464738361</v>
      </c>
    </row>
    <row r="38" spans="1:80" x14ac:dyDescent="0.25">
      <c r="A38" s="91" t="s">
        <v>92</v>
      </c>
      <c r="B38" s="114">
        <v>1916188625</v>
      </c>
      <c r="C38" s="114">
        <v>175865800</v>
      </c>
      <c r="D38" s="114">
        <v>833300949</v>
      </c>
      <c r="E38" s="114">
        <v>0</v>
      </c>
      <c r="F38" s="114">
        <v>158603775</v>
      </c>
      <c r="G38" s="114">
        <v>10099945</v>
      </c>
      <c r="H38" s="114">
        <v>12212819</v>
      </c>
      <c r="I38" s="114">
        <v>528484</v>
      </c>
      <c r="J38" s="114">
        <v>221400</v>
      </c>
      <c r="K38" s="114">
        <v>36900</v>
      </c>
      <c r="L38" s="114">
        <v>171414486</v>
      </c>
      <c r="M38" s="114">
        <v>141700786</v>
      </c>
      <c r="N38" s="114">
        <v>4709</v>
      </c>
      <c r="O38" s="114">
        <v>319</v>
      </c>
      <c r="P38" s="114">
        <v>13446357</v>
      </c>
      <c r="Q38" s="114">
        <v>5328368</v>
      </c>
      <c r="R38" s="114">
        <v>19920700</v>
      </c>
      <c r="S38" s="114">
        <v>8788591</v>
      </c>
      <c r="T38" s="114">
        <v>1116467</v>
      </c>
      <c r="U38" s="114">
        <v>5514976</v>
      </c>
      <c r="V38" s="114">
        <v>13446357</v>
      </c>
      <c r="W38" s="114">
        <v>6190500</v>
      </c>
      <c r="X38" s="114">
        <v>19920700</v>
      </c>
      <c r="Y38" s="114">
        <v>8788591</v>
      </c>
      <c r="Z38" s="114">
        <v>1887905</v>
      </c>
      <c r="AA38" s="114">
        <v>5514976</v>
      </c>
      <c r="AB38" s="114">
        <v>-3604875</v>
      </c>
      <c r="AC38" s="114">
        <v>-443911</v>
      </c>
      <c r="AD38" s="114">
        <v>0</v>
      </c>
      <c r="AE38" s="114">
        <v>0</v>
      </c>
      <c r="AF38" s="114">
        <v>0</v>
      </c>
      <c r="AG38" s="114">
        <v>103535</v>
      </c>
      <c r="AH38" s="116">
        <v>0</v>
      </c>
      <c r="AI38" s="114">
        <v>395868.85245901637</v>
      </c>
      <c r="AJ38" s="120">
        <v>0</v>
      </c>
      <c r="AK38" s="82">
        <f>322566172+18890958</f>
        <v>341457130</v>
      </c>
      <c r="AL38" s="83">
        <f>8876261+416056</f>
        <v>9292317</v>
      </c>
      <c r="AM38" s="114">
        <v>260379</v>
      </c>
      <c r="AN38" s="114">
        <v>102358585</v>
      </c>
      <c r="AO38" s="114">
        <v>11280635</v>
      </c>
      <c r="AP38" s="114">
        <v>207728571</v>
      </c>
      <c r="AQ38" s="114">
        <v>75964150</v>
      </c>
      <c r="AR38" s="114">
        <v>68818125</v>
      </c>
      <c r="AS38" s="114">
        <v>42368096</v>
      </c>
      <c r="AT38" s="114">
        <v>4716653</v>
      </c>
      <c r="AU38" s="114">
        <v>0</v>
      </c>
      <c r="AV38" s="114">
        <v>0</v>
      </c>
      <c r="AW38" s="114">
        <v>25289</v>
      </c>
      <c r="AX38" s="114">
        <v>172743</v>
      </c>
      <c r="AY38" s="114">
        <v>1135253</v>
      </c>
      <c r="AZ38" s="114"/>
      <c r="BA38" s="114"/>
      <c r="BB38" s="114"/>
      <c r="BC38" s="114"/>
      <c r="BD38" s="82">
        <v>18372904.489999998</v>
      </c>
      <c r="BE38" s="82">
        <v>9370181</v>
      </c>
      <c r="BF38" s="117">
        <v>4035622</v>
      </c>
      <c r="BG38" s="118">
        <v>1008320</v>
      </c>
      <c r="BH38" s="118">
        <v>1977097</v>
      </c>
      <c r="BI38" s="117">
        <v>74562934</v>
      </c>
      <c r="BJ38" s="117">
        <v>73051355</v>
      </c>
      <c r="BK38" s="117">
        <v>43367124</v>
      </c>
      <c r="BL38" s="117">
        <v>41430251</v>
      </c>
      <c r="BM38" s="117">
        <v>148214579</v>
      </c>
      <c r="BN38" s="117">
        <v>0</v>
      </c>
      <c r="BO38" s="119"/>
      <c r="BP38" s="86">
        <v>3739178745.852459</v>
      </c>
      <c r="BQ38" s="86">
        <v>3115354612.852459</v>
      </c>
      <c r="BR38" s="87">
        <v>5626260</v>
      </c>
      <c r="BT38" s="114">
        <v>19214</v>
      </c>
      <c r="BU38" s="114">
        <v>1983</v>
      </c>
      <c r="BV38" s="114">
        <v>1583</v>
      </c>
      <c r="BW38" s="114">
        <f t="shared" si="6"/>
        <v>22780</v>
      </c>
      <c r="BX38" s="89">
        <v>2925355374</v>
      </c>
      <c r="BY38" s="90">
        <f t="shared" si="1"/>
        <v>341457130</v>
      </c>
      <c r="BZ38" s="90">
        <f t="shared" si="1"/>
        <v>9292317</v>
      </c>
      <c r="CA38" s="89">
        <f t="shared" si="2"/>
        <v>231971466</v>
      </c>
      <c r="CB38" s="89">
        <f t="shared" si="3"/>
        <v>3508076287</v>
      </c>
    </row>
    <row r="39" spans="1:80" x14ac:dyDescent="0.25">
      <c r="A39" s="91" t="s">
        <v>93</v>
      </c>
      <c r="B39" s="114">
        <v>73988436</v>
      </c>
      <c r="C39" s="114">
        <v>60400305</v>
      </c>
      <c r="D39" s="114">
        <v>56644457</v>
      </c>
      <c r="E39" s="114">
        <v>0</v>
      </c>
      <c r="F39" s="114">
        <v>20472190</v>
      </c>
      <c r="G39" s="114">
        <v>4049825</v>
      </c>
      <c r="H39" s="114">
        <v>3319250</v>
      </c>
      <c r="I39" s="114">
        <v>183730</v>
      </c>
      <c r="J39" s="114">
        <v>51000</v>
      </c>
      <c r="K39" s="114">
        <v>0</v>
      </c>
      <c r="L39" s="114">
        <v>294696555</v>
      </c>
      <c r="M39" s="114">
        <v>14681634</v>
      </c>
      <c r="N39" s="114">
        <v>730</v>
      </c>
      <c r="O39" s="114">
        <v>141</v>
      </c>
      <c r="P39" s="114">
        <v>929840</v>
      </c>
      <c r="Q39" s="114">
        <v>435000</v>
      </c>
      <c r="R39" s="114">
        <v>359883</v>
      </c>
      <c r="S39" s="114">
        <v>830958</v>
      </c>
      <c r="T39" s="114">
        <v>95564</v>
      </c>
      <c r="U39" s="114">
        <v>952421</v>
      </c>
      <c r="V39" s="114">
        <v>929840</v>
      </c>
      <c r="W39" s="114">
        <v>583197</v>
      </c>
      <c r="X39" s="114">
        <v>359883</v>
      </c>
      <c r="Y39" s="114">
        <v>830958</v>
      </c>
      <c r="Z39" s="114">
        <v>150782</v>
      </c>
      <c r="AA39" s="114">
        <v>952421</v>
      </c>
      <c r="AB39" s="114">
        <v>-715790</v>
      </c>
      <c r="AC39" s="114">
        <v>0</v>
      </c>
      <c r="AD39" s="114">
        <v>26012</v>
      </c>
      <c r="AE39" s="114">
        <v>41197</v>
      </c>
      <c r="AF39" s="114">
        <v>21693906</v>
      </c>
      <c r="AG39" s="114">
        <v>0</v>
      </c>
      <c r="AH39" s="116">
        <v>0</v>
      </c>
      <c r="AI39" s="114">
        <v>0</v>
      </c>
      <c r="AJ39" s="120">
        <v>0</v>
      </c>
      <c r="AK39" s="82">
        <f>27639113+9479746</f>
        <v>37118859</v>
      </c>
      <c r="AL39" s="83">
        <v>666754</v>
      </c>
      <c r="AM39" s="114">
        <v>0</v>
      </c>
      <c r="AN39" s="114">
        <v>16380470</v>
      </c>
      <c r="AO39" s="114">
        <v>3402847</v>
      </c>
      <c r="AP39" s="114">
        <v>33258357</v>
      </c>
      <c r="AQ39" s="114">
        <v>26875632</v>
      </c>
      <c r="AR39" s="114">
        <v>43118961</v>
      </c>
      <c r="AS39" s="114">
        <v>2332432</v>
      </c>
      <c r="AT39" s="114">
        <v>4553104</v>
      </c>
      <c r="AU39" s="114">
        <v>0</v>
      </c>
      <c r="AV39" s="114">
        <v>0</v>
      </c>
      <c r="AW39" s="114">
        <v>2890346</v>
      </c>
      <c r="AX39" s="114">
        <v>0</v>
      </c>
      <c r="AY39" s="114">
        <v>210900</v>
      </c>
      <c r="AZ39" s="114"/>
      <c r="BA39" s="114"/>
      <c r="BB39" s="114"/>
      <c r="BC39" s="114"/>
      <c r="BD39" s="82">
        <v>1997267.57</v>
      </c>
      <c r="BE39" s="82">
        <v>1018606</v>
      </c>
      <c r="BF39" s="117">
        <v>47177720</v>
      </c>
      <c r="BG39" s="118">
        <v>1143327</v>
      </c>
      <c r="BH39" s="118">
        <v>2241818</v>
      </c>
      <c r="BI39" s="117">
        <v>12472461</v>
      </c>
      <c r="BJ39" s="117">
        <v>12472461</v>
      </c>
      <c r="BK39" s="117">
        <v>19240353</v>
      </c>
      <c r="BL39" s="117">
        <v>13718391</v>
      </c>
      <c r="BM39" s="117">
        <v>0</v>
      </c>
      <c r="BN39" s="117">
        <v>3789600</v>
      </c>
      <c r="BO39" s="119"/>
      <c r="BP39" s="86">
        <v>307620145</v>
      </c>
      <c r="BQ39" s="86">
        <v>237692147</v>
      </c>
      <c r="BR39" s="87">
        <v>1143242</v>
      </c>
      <c r="BT39" s="114">
        <v>2931</v>
      </c>
      <c r="BU39" s="114">
        <v>1158</v>
      </c>
      <c r="BV39" s="114">
        <v>394</v>
      </c>
      <c r="BW39" s="114">
        <f t="shared" si="6"/>
        <v>4483</v>
      </c>
      <c r="BX39" s="89">
        <v>191033198</v>
      </c>
      <c r="BY39" s="90">
        <f t="shared" si="1"/>
        <v>37118859</v>
      </c>
      <c r="BZ39" s="90">
        <f t="shared" si="1"/>
        <v>666754</v>
      </c>
      <c r="CA39" s="89">
        <f t="shared" si="2"/>
        <v>48991381</v>
      </c>
      <c r="CB39" s="89">
        <f t="shared" si="3"/>
        <v>277810192</v>
      </c>
    </row>
    <row r="40" spans="1:80" x14ac:dyDescent="0.25">
      <c r="A40" s="91" t="s">
        <v>94</v>
      </c>
      <c r="B40" s="114">
        <v>237521361</v>
      </c>
      <c r="C40" s="114">
        <v>64937458</v>
      </c>
      <c r="D40" s="114">
        <v>98426336</v>
      </c>
      <c r="E40" s="114">
        <v>84630174</v>
      </c>
      <c r="F40" s="114">
        <v>17094700</v>
      </c>
      <c r="G40" s="114">
        <v>3861100</v>
      </c>
      <c r="H40" s="114">
        <v>4635600</v>
      </c>
      <c r="I40" s="114">
        <v>502100</v>
      </c>
      <c r="J40" s="114">
        <v>0</v>
      </c>
      <c r="K40" s="114">
        <v>24300</v>
      </c>
      <c r="L40" s="114">
        <v>108518436</v>
      </c>
      <c r="M40" s="114">
        <v>51643935</v>
      </c>
      <c r="N40" s="114">
        <v>610</v>
      </c>
      <c r="O40" s="114">
        <v>126</v>
      </c>
      <c r="P40" s="114">
        <v>2170450</v>
      </c>
      <c r="Q40" s="114">
        <v>624900</v>
      </c>
      <c r="R40" s="114">
        <v>424500</v>
      </c>
      <c r="S40" s="114">
        <v>3916805</v>
      </c>
      <c r="T40" s="114">
        <v>1519237</v>
      </c>
      <c r="U40" s="114">
        <v>751807</v>
      </c>
      <c r="V40" s="114">
        <v>2170450</v>
      </c>
      <c r="W40" s="114">
        <v>58000</v>
      </c>
      <c r="X40" s="114">
        <v>424500</v>
      </c>
      <c r="Y40" s="114">
        <v>3916805</v>
      </c>
      <c r="Z40" s="114">
        <v>1209915</v>
      </c>
      <c r="AA40" s="114">
        <v>751807</v>
      </c>
      <c r="AB40" s="114">
        <v>-1186000</v>
      </c>
      <c r="AC40" s="114">
        <v>-2338615</v>
      </c>
      <c r="AD40" s="114">
        <v>23850</v>
      </c>
      <c r="AE40" s="114">
        <v>0</v>
      </c>
      <c r="AF40" s="114">
        <v>0</v>
      </c>
      <c r="AG40" s="114">
        <v>52789</v>
      </c>
      <c r="AH40" s="116">
        <v>0</v>
      </c>
      <c r="AI40" s="114">
        <v>1936040.9836065574</v>
      </c>
      <c r="AJ40" s="120">
        <v>0</v>
      </c>
      <c r="AK40" s="82">
        <v>54994819</v>
      </c>
      <c r="AL40" s="83">
        <v>2821295</v>
      </c>
      <c r="AM40" s="114">
        <v>464928</v>
      </c>
      <c r="AN40" s="114">
        <v>24562202</v>
      </c>
      <c r="AO40" s="114">
        <v>1443000</v>
      </c>
      <c r="AP40" s="114">
        <v>201728827</v>
      </c>
      <c r="AQ40" s="114">
        <v>66083850</v>
      </c>
      <c r="AR40" s="114">
        <v>33115746</v>
      </c>
      <c r="AS40" s="114">
        <v>39987800</v>
      </c>
      <c r="AT40" s="114">
        <v>80800</v>
      </c>
      <c r="AU40" s="114">
        <v>0</v>
      </c>
      <c r="AV40" s="114">
        <v>0</v>
      </c>
      <c r="AW40" s="114">
        <v>15865885</v>
      </c>
      <c r="AX40" s="114">
        <v>4321280</v>
      </c>
      <c r="AY40" s="114">
        <v>21000</v>
      </c>
      <c r="AZ40" s="114"/>
      <c r="BA40" s="114"/>
      <c r="BB40" s="114"/>
      <c r="BC40" s="114"/>
      <c r="BD40" s="82">
        <v>2959125.67</v>
      </c>
      <c r="BE40" s="82">
        <v>1509154</v>
      </c>
      <c r="BF40" s="117">
        <v>19162694</v>
      </c>
      <c r="BG40" s="118">
        <v>750044</v>
      </c>
      <c r="BH40" s="118">
        <v>1470674</v>
      </c>
      <c r="BI40" s="117">
        <v>5200740</v>
      </c>
      <c r="BJ40" s="117">
        <v>5200740</v>
      </c>
      <c r="BK40" s="117">
        <v>25766948</v>
      </c>
      <c r="BL40" s="117">
        <v>24672626</v>
      </c>
      <c r="BM40" s="117">
        <v>0</v>
      </c>
      <c r="BN40" s="117">
        <v>0</v>
      </c>
      <c r="BO40" s="119"/>
      <c r="BP40" s="86">
        <v>584858925.98360658</v>
      </c>
      <c r="BQ40" s="86">
        <v>494910247.98360658</v>
      </c>
      <c r="BR40" s="87">
        <v>432476</v>
      </c>
      <c r="BT40" s="114">
        <v>3564</v>
      </c>
      <c r="BU40" s="114">
        <v>790</v>
      </c>
      <c r="BV40" s="114">
        <v>240</v>
      </c>
      <c r="BW40" s="114">
        <f t="shared" si="6"/>
        <v>4594</v>
      </c>
      <c r="BX40" s="89">
        <v>400885155</v>
      </c>
      <c r="BY40" s="90">
        <f t="shared" si="1"/>
        <v>54994819</v>
      </c>
      <c r="BZ40" s="90">
        <f t="shared" si="1"/>
        <v>2821295</v>
      </c>
      <c r="CA40" s="89">
        <f t="shared" si="2"/>
        <v>132076852</v>
      </c>
      <c r="CB40" s="89">
        <f t="shared" si="3"/>
        <v>590778121</v>
      </c>
    </row>
    <row r="41" spans="1:80" x14ac:dyDescent="0.25">
      <c r="A41" s="91" t="s">
        <v>95</v>
      </c>
      <c r="B41" s="114">
        <v>491187368</v>
      </c>
      <c r="C41" s="114">
        <v>130500406</v>
      </c>
      <c r="D41" s="114">
        <v>55983377</v>
      </c>
      <c r="E41" s="114">
        <v>0</v>
      </c>
      <c r="F41" s="114">
        <v>45793000</v>
      </c>
      <c r="G41" s="114">
        <v>9377200</v>
      </c>
      <c r="H41" s="114">
        <v>13342200</v>
      </c>
      <c r="I41" s="114">
        <v>2066800</v>
      </c>
      <c r="J41" s="114">
        <v>184500</v>
      </c>
      <c r="K41" s="114">
        <v>36900</v>
      </c>
      <c r="L41" s="114">
        <v>208811544</v>
      </c>
      <c r="M41" s="114">
        <v>94138250</v>
      </c>
      <c r="N41" s="114">
        <v>1644</v>
      </c>
      <c r="O41" s="114">
        <v>335</v>
      </c>
      <c r="P41" s="114">
        <v>821400</v>
      </c>
      <c r="Q41" s="114">
        <v>88000</v>
      </c>
      <c r="R41" s="114">
        <v>0</v>
      </c>
      <c r="S41" s="114">
        <v>5165624</v>
      </c>
      <c r="T41" s="114">
        <v>1287460</v>
      </c>
      <c r="U41" s="114">
        <v>3102950</v>
      </c>
      <c r="V41" s="114">
        <v>821400</v>
      </c>
      <c r="W41" s="114">
        <v>88000</v>
      </c>
      <c r="X41" s="114">
        <v>0</v>
      </c>
      <c r="Y41" s="114">
        <v>5165624</v>
      </c>
      <c r="Z41" s="114">
        <v>3977955</v>
      </c>
      <c r="AA41" s="114">
        <v>3102950</v>
      </c>
      <c r="AB41" s="114">
        <v>-2293250</v>
      </c>
      <c r="AC41" s="114">
        <v>-20565</v>
      </c>
      <c r="AD41" s="114">
        <v>0</v>
      </c>
      <c r="AE41" s="114">
        <v>0</v>
      </c>
      <c r="AF41" s="114">
        <v>0</v>
      </c>
      <c r="AG41" s="114">
        <v>130553</v>
      </c>
      <c r="AH41" s="116">
        <v>0</v>
      </c>
      <c r="AI41" s="114">
        <v>61368.852459016402</v>
      </c>
      <c r="AJ41" s="120">
        <v>0</v>
      </c>
      <c r="AK41" s="82">
        <v>112175767</v>
      </c>
      <c r="AL41" s="83">
        <v>6311565</v>
      </c>
      <c r="AM41" s="114">
        <v>301103</v>
      </c>
      <c r="AN41" s="114">
        <v>7987708</v>
      </c>
      <c r="AO41" s="114">
        <v>299742</v>
      </c>
      <c r="AP41" s="114">
        <v>8186367</v>
      </c>
      <c r="AQ41" s="114">
        <v>8394329</v>
      </c>
      <c r="AR41" s="114">
        <v>2423025</v>
      </c>
      <c r="AS41" s="114">
        <v>0</v>
      </c>
      <c r="AT41" s="114">
        <v>3794603</v>
      </c>
      <c r="AU41" s="114">
        <v>0</v>
      </c>
      <c r="AV41" s="114">
        <v>0</v>
      </c>
      <c r="AW41" s="114">
        <v>2500</v>
      </c>
      <c r="AX41" s="114">
        <v>496318</v>
      </c>
      <c r="AY41" s="114">
        <v>0</v>
      </c>
      <c r="AZ41" s="114"/>
      <c r="BA41" s="114"/>
      <c r="BB41" s="114"/>
      <c r="BC41" s="114"/>
      <c r="BD41" s="82">
        <v>6035881.1500000004</v>
      </c>
      <c r="BE41" s="82">
        <v>3078299</v>
      </c>
      <c r="BF41" s="117"/>
      <c r="BG41" s="118">
        <v>0</v>
      </c>
      <c r="BH41" s="118">
        <v>0</v>
      </c>
      <c r="BI41" s="117">
        <v>27784879</v>
      </c>
      <c r="BJ41" s="117">
        <v>27784879</v>
      </c>
      <c r="BK41" s="117">
        <v>34970130</v>
      </c>
      <c r="BL41" s="117">
        <v>34966082</v>
      </c>
      <c r="BM41" s="117">
        <v>0</v>
      </c>
      <c r="BN41" s="117">
        <v>0</v>
      </c>
      <c r="BO41" s="119"/>
      <c r="BP41" s="86">
        <v>878730890.85245907</v>
      </c>
      <c r="BQ41" s="86">
        <v>694414298.85245907</v>
      </c>
      <c r="BR41" s="87">
        <v>787750</v>
      </c>
      <c r="BT41" s="114">
        <v>7471</v>
      </c>
      <c r="BU41" s="114">
        <v>2620</v>
      </c>
      <c r="BV41" s="114">
        <v>408</v>
      </c>
      <c r="BW41" s="114">
        <f t="shared" si="6"/>
        <v>10499</v>
      </c>
      <c r="BX41" s="89">
        <v>677671151</v>
      </c>
      <c r="BY41" s="90">
        <f t="shared" si="1"/>
        <v>112175767</v>
      </c>
      <c r="BZ41" s="90">
        <f t="shared" si="1"/>
        <v>6311565</v>
      </c>
      <c r="CA41" s="89">
        <f t="shared" si="2"/>
        <v>16681779</v>
      </c>
      <c r="CB41" s="89">
        <f t="shared" si="3"/>
        <v>812840262</v>
      </c>
    </row>
    <row r="42" spans="1:80" x14ac:dyDescent="0.25">
      <c r="A42" s="91" t="s">
        <v>96</v>
      </c>
      <c r="B42" s="114">
        <v>598783321</v>
      </c>
      <c r="C42" s="4">
        <v>218613500</v>
      </c>
      <c r="D42" s="114">
        <v>220653624</v>
      </c>
      <c r="E42" s="114">
        <v>2192000</v>
      </c>
      <c r="F42" s="114">
        <v>43528800</v>
      </c>
      <c r="G42" s="114">
        <v>6688800</v>
      </c>
      <c r="H42" s="114">
        <v>20668600</v>
      </c>
      <c r="I42" s="114">
        <v>2060900</v>
      </c>
      <c r="J42" s="114">
        <v>221400</v>
      </c>
      <c r="K42" s="114">
        <v>0</v>
      </c>
      <c r="L42" s="114">
        <v>288681182</v>
      </c>
      <c r="M42" s="114">
        <v>176185200</v>
      </c>
      <c r="N42" s="114">
        <v>1800</v>
      </c>
      <c r="O42" s="114">
        <v>260</v>
      </c>
      <c r="P42" s="114">
        <v>3237641</v>
      </c>
      <c r="Q42" s="114">
        <v>2953700</v>
      </c>
      <c r="R42" s="114">
        <v>17594200</v>
      </c>
      <c r="S42" s="114">
        <v>4618565</v>
      </c>
      <c r="T42" s="114">
        <v>1029600</v>
      </c>
      <c r="U42" s="114">
        <v>1185800</v>
      </c>
      <c r="V42" s="114">
        <v>3237641</v>
      </c>
      <c r="W42" s="114">
        <v>3214270</v>
      </c>
      <c r="X42" s="114">
        <v>17594200</v>
      </c>
      <c r="Y42" s="114">
        <v>4618565</v>
      </c>
      <c r="Z42" s="114">
        <v>1763500</v>
      </c>
      <c r="AA42" s="114">
        <v>1185800</v>
      </c>
      <c r="AB42" s="114">
        <v>-1013400</v>
      </c>
      <c r="AC42" s="114">
        <v>-105092</v>
      </c>
      <c r="AD42" s="114">
        <v>68879</v>
      </c>
      <c r="AE42" s="114">
        <v>66</v>
      </c>
      <c r="AF42" s="114">
        <v>0</v>
      </c>
      <c r="AG42" s="114">
        <v>144981</v>
      </c>
      <c r="AH42" s="116">
        <v>0</v>
      </c>
      <c r="AI42" s="114">
        <v>0</v>
      </c>
      <c r="AJ42" s="120">
        <v>0</v>
      </c>
      <c r="AK42" s="82">
        <v>148447895</v>
      </c>
      <c r="AL42" s="83">
        <v>4015741</v>
      </c>
      <c r="AM42" s="114">
        <v>0</v>
      </c>
      <c r="AN42" s="114">
        <v>23207641</v>
      </c>
      <c r="AO42" s="114">
        <v>703777</v>
      </c>
      <c r="AP42" s="114">
        <v>43421136</v>
      </c>
      <c r="AQ42" s="114">
        <v>29305569</v>
      </c>
      <c r="AR42" s="114">
        <v>35628700</v>
      </c>
      <c r="AS42" s="114">
        <v>9192732</v>
      </c>
      <c r="AT42" s="114">
        <v>320103</v>
      </c>
      <c r="AU42" s="114">
        <v>0</v>
      </c>
      <c r="AV42" s="114">
        <v>0</v>
      </c>
      <c r="AW42" s="114">
        <v>0</v>
      </c>
      <c r="AX42" s="114">
        <v>981</v>
      </c>
      <c r="AY42" s="114">
        <v>0</v>
      </c>
      <c r="AZ42" s="114"/>
      <c r="BA42" s="114"/>
      <c r="BB42" s="114"/>
      <c r="BC42" s="114"/>
      <c r="BD42" s="82">
        <v>7987588.3600000003</v>
      </c>
      <c r="BE42" s="82">
        <v>4073670</v>
      </c>
      <c r="BF42" s="117"/>
      <c r="BG42" s="118">
        <v>2704723</v>
      </c>
      <c r="BH42" s="118">
        <v>5303378</v>
      </c>
      <c r="BI42" s="117">
        <v>36374401</v>
      </c>
      <c r="BJ42" s="117">
        <v>36374401</v>
      </c>
      <c r="BK42" s="117">
        <v>66941510</v>
      </c>
      <c r="BL42" s="117">
        <v>60801292</v>
      </c>
      <c r="BM42" s="117">
        <v>0</v>
      </c>
      <c r="BN42" s="117">
        <v>0</v>
      </c>
      <c r="BO42" s="119"/>
      <c r="BP42" s="86">
        <v>1347685154</v>
      </c>
      <c r="BQ42" s="86">
        <v>1091267432</v>
      </c>
      <c r="BR42" s="87">
        <v>1610600</v>
      </c>
      <c r="BT42" s="114">
        <v>8192</v>
      </c>
      <c r="BU42" s="114">
        <v>2884</v>
      </c>
      <c r="BV42" s="114">
        <v>558</v>
      </c>
      <c r="BW42" s="114">
        <f t="shared" si="6"/>
        <v>11634</v>
      </c>
      <c r="BX42" s="89">
        <v>1038050445</v>
      </c>
      <c r="BY42" s="90">
        <f t="shared" si="1"/>
        <v>148447895</v>
      </c>
      <c r="BZ42" s="90">
        <f t="shared" si="1"/>
        <v>4015741</v>
      </c>
      <c r="CA42" s="89">
        <f t="shared" si="2"/>
        <v>62409719</v>
      </c>
      <c r="CB42" s="89">
        <f t="shared" si="3"/>
        <v>1252923800</v>
      </c>
    </row>
    <row r="43" spans="1:80" x14ac:dyDescent="0.25">
      <c r="A43" s="91" t="s">
        <v>97</v>
      </c>
      <c r="B43" s="114">
        <v>774911318</v>
      </c>
      <c r="C43" s="114">
        <v>385403728</v>
      </c>
      <c r="D43" s="114">
        <v>281383550</v>
      </c>
      <c r="E43" s="114">
        <v>126000000</v>
      </c>
      <c r="F43" s="114">
        <v>95716776</v>
      </c>
      <c r="G43" s="114">
        <v>24426900</v>
      </c>
      <c r="H43" s="114">
        <v>24516340</v>
      </c>
      <c r="I43" s="114">
        <v>4495550</v>
      </c>
      <c r="J43" s="114">
        <v>70900</v>
      </c>
      <c r="K43" s="114">
        <v>143700</v>
      </c>
      <c r="L43" s="114">
        <v>987111943</v>
      </c>
      <c r="M43" s="114">
        <v>209859529</v>
      </c>
      <c r="N43" s="114">
        <v>3427</v>
      </c>
      <c r="O43" s="114">
        <v>882</v>
      </c>
      <c r="P43" s="114">
        <v>9061720</v>
      </c>
      <c r="Q43" s="114">
        <v>10606300</v>
      </c>
      <c r="R43" s="114">
        <v>5960255</v>
      </c>
      <c r="S43" s="114">
        <v>7648262</v>
      </c>
      <c r="T43" s="114">
        <v>1809595</v>
      </c>
      <c r="U43" s="114">
        <v>4004197</v>
      </c>
      <c r="V43" s="114">
        <v>9061720</v>
      </c>
      <c r="W43" s="114">
        <v>13575100</v>
      </c>
      <c r="X43" s="114">
        <v>5960255</v>
      </c>
      <c r="Y43" s="114">
        <v>7648262</v>
      </c>
      <c r="Z43" s="114">
        <v>4187550</v>
      </c>
      <c r="AA43" s="114">
        <v>4004197</v>
      </c>
      <c r="AB43" s="114">
        <v>-5216661</v>
      </c>
      <c r="AC43" s="114">
        <v>-147167</v>
      </c>
      <c r="AD43" s="114">
        <v>55911</v>
      </c>
      <c r="AE43" s="114">
        <v>92647</v>
      </c>
      <c r="AF43" s="114">
        <v>215390696</v>
      </c>
      <c r="AG43" s="114">
        <v>334634</v>
      </c>
      <c r="AH43" s="116">
        <v>0</v>
      </c>
      <c r="AI43" s="114">
        <v>260352.45901639346</v>
      </c>
      <c r="AJ43" s="120">
        <v>0</v>
      </c>
      <c r="AK43" s="82">
        <v>254375640</v>
      </c>
      <c r="AL43" s="83">
        <v>5278660</v>
      </c>
      <c r="AM43" s="114">
        <v>0</v>
      </c>
      <c r="AN43" s="114">
        <v>74132890</v>
      </c>
      <c r="AO43" s="114">
        <v>7311501</v>
      </c>
      <c r="AP43" s="114">
        <v>41585534</v>
      </c>
      <c r="AQ43" s="114">
        <v>97469872</v>
      </c>
      <c r="AR43" s="114">
        <v>73788636</v>
      </c>
      <c r="AS43" s="114">
        <v>6309145</v>
      </c>
      <c r="AT43" s="114">
        <v>22498607</v>
      </c>
      <c r="AU43" s="114">
        <v>0</v>
      </c>
      <c r="AV43" s="114">
        <v>0</v>
      </c>
      <c r="AW43" s="114">
        <v>17655810</v>
      </c>
      <c r="AX43" s="114">
        <v>167466</v>
      </c>
      <c r="AY43" s="114">
        <v>0</v>
      </c>
      <c r="AZ43" s="114"/>
      <c r="BA43" s="114"/>
      <c r="BB43" s="114"/>
      <c r="BC43" s="114"/>
      <c r="BD43" s="82">
        <v>13687279.98</v>
      </c>
      <c r="BE43" s="82">
        <v>6980513</v>
      </c>
      <c r="BF43" s="117"/>
      <c r="BG43" s="118">
        <v>2447751</v>
      </c>
      <c r="BH43" s="118">
        <v>4799512</v>
      </c>
      <c r="BI43" s="117">
        <v>68598999</v>
      </c>
      <c r="BJ43" s="117">
        <v>66599878</v>
      </c>
      <c r="BK43" s="117">
        <v>129059723</v>
      </c>
      <c r="BL43" s="117">
        <v>108109764</v>
      </c>
      <c r="BM43" s="117">
        <v>0</v>
      </c>
      <c r="BN43" s="117">
        <v>9099765</v>
      </c>
      <c r="BO43" s="119"/>
      <c r="BP43" s="86">
        <v>2073765182.4590163</v>
      </c>
      <c r="BQ43" s="86">
        <v>1620873211.4590163</v>
      </c>
      <c r="BR43" s="87">
        <v>4402844</v>
      </c>
      <c r="BT43" s="114">
        <v>17982</v>
      </c>
      <c r="BU43" s="114">
        <v>8873</v>
      </c>
      <c r="BV43" s="114">
        <v>1777</v>
      </c>
      <c r="BW43" s="114">
        <f t="shared" si="6"/>
        <v>28632</v>
      </c>
      <c r="BX43" s="89">
        <v>1441698596</v>
      </c>
      <c r="BY43" s="90">
        <f t="shared" si="1"/>
        <v>254375640</v>
      </c>
      <c r="BZ43" s="90">
        <f t="shared" si="1"/>
        <v>5278660</v>
      </c>
      <c r="CA43" s="89">
        <f t="shared" si="2"/>
        <v>185223408</v>
      </c>
      <c r="CB43" s="89">
        <f t="shared" si="3"/>
        <v>1886576304</v>
      </c>
    </row>
    <row r="44" spans="1:80" s="98" customFormat="1" x14ac:dyDescent="0.25">
      <c r="A44" s="91" t="s">
        <v>98</v>
      </c>
      <c r="B44" s="56">
        <v>692428599</v>
      </c>
      <c r="C44" s="56">
        <v>202239308</v>
      </c>
      <c r="D44" s="56">
        <v>162840922</v>
      </c>
      <c r="E44" s="56">
        <v>17600000</v>
      </c>
      <c r="F44" s="56">
        <v>62980657</v>
      </c>
      <c r="G44" s="56">
        <v>14601889</v>
      </c>
      <c r="H44" s="56">
        <v>22227800</v>
      </c>
      <c r="I44" s="56">
        <v>3157100</v>
      </c>
      <c r="J44" s="56">
        <v>199600</v>
      </c>
      <c r="K44" s="56">
        <v>0</v>
      </c>
      <c r="L44" s="56">
        <v>305654713</v>
      </c>
      <c r="M44" s="56">
        <v>123345045</v>
      </c>
      <c r="N44" s="56">
        <v>2456</v>
      </c>
      <c r="O44" s="56">
        <v>555</v>
      </c>
      <c r="P44" s="56">
        <v>8971703</v>
      </c>
      <c r="Q44" s="56">
        <v>1600500</v>
      </c>
      <c r="R44" s="56">
        <v>4290500</v>
      </c>
      <c r="S44" s="56">
        <v>6719077</v>
      </c>
      <c r="T44" s="56">
        <v>3211808</v>
      </c>
      <c r="U44" s="56">
        <v>6277538</v>
      </c>
      <c r="V44" s="56">
        <v>8971703</v>
      </c>
      <c r="W44" s="56">
        <v>1994398</v>
      </c>
      <c r="X44" s="56">
        <v>4290500</v>
      </c>
      <c r="Y44" s="56">
        <v>6719077</v>
      </c>
      <c r="Z44" s="56">
        <v>3450205</v>
      </c>
      <c r="AA44" s="56">
        <v>6277538</v>
      </c>
      <c r="AB44" s="56">
        <v>-5209108</v>
      </c>
      <c r="AC44" s="56">
        <v>-85062</v>
      </c>
      <c r="AD44" s="56">
        <v>126371</v>
      </c>
      <c r="AE44" s="56">
        <v>5525</v>
      </c>
      <c r="AF44" s="56">
        <v>4873791</v>
      </c>
      <c r="AG44" s="56">
        <v>270468</v>
      </c>
      <c r="AH44" s="116">
        <v>0</v>
      </c>
      <c r="AI44" s="56">
        <v>1081831.1475409837</v>
      </c>
      <c r="AJ44" s="120">
        <v>0</v>
      </c>
      <c r="AK44" s="83">
        <v>149263548</v>
      </c>
      <c r="AL44" s="83">
        <v>16487979</v>
      </c>
      <c r="AM44" s="56">
        <v>250604</v>
      </c>
      <c r="AN44" s="56">
        <v>30990164</v>
      </c>
      <c r="AO44" s="56">
        <v>4763573</v>
      </c>
      <c r="AP44" s="56">
        <v>66574955</v>
      </c>
      <c r="AQ44" s="56">
        <v>44158438</v>
      </c>
      <c r="AR44" s="56">
        <v>53444454</v>
      </c>
      <c r="AS44" s="56">
        <v>12224593</v>
      </c>
      <c r="AT44" s="56">
        <v>5934753</v>
      </c>
      <c r="AU44" s="56">
        <v>0</v>
      </c>
      <c r="AV44" s="56">
        <v>0</v>
      </c>
      <c r="AW44" s="56">
        <v>83147</v>
      </c>
      <c r="AX44" s="56">
        <v>492391</v>
      </c>
      <c r="AY44" s="56">
        <v>117085</v>
      </c>
      <c r="AZ44" s="56"/>
      <c r="BA44" s="56"/>
      <c r="BB44" s="56"/>
      <c r="BC44" s="56"/>
      <c r="BD44" s="83">
        <v>8031476.4900000002</v>
      </c>
      <c r="BE44" s="83">
        <v>4096053</v>
      </c>
      <c r="BF44" s="117"/>
      <c r="BG44" s="118">
        <v>2237087</v>
      </c>
      <c r="BH44" s="118">
        <v>4386444</v>
      </c>
      <c r="BI44" s="117">
        <v>9333342</v>
      </c>
      <c r="BJ44" s="117">
        <v>5660394</v>
      </c>
      <c r="BK44" s="117">
        <v>55075530</v>
      </c>
      <c r="BL44" s="117">
        <v>51321532</v>
      </c>
      <c r="BM44" s="117">
        <v>0</v>
      </c>
      <c r="BN44" s="117">
        <v>0</v>
      </c>
      <c r="BO44" s="63"/>
      <c r="BP44" s="96">
        <v>1367569428.147541</v>
      </c>
      <c r="BQ44" s="96">
        <v>1138502835.147541</v>
      </c>
      <c r="BR44" s="97">
        <v>1262503</v>
      </c>
      <c r="BT44" s="56">
        <v>20874</v>
      </c>
      <c r="BU44" s="56">
        <v>6147</v>
      </c>
      <c r="BV44" s="56">
        <v>1682</v>
      </c>
      <c r="BW44" s="114">
        <f t="shared" si="6"/>
        <v>28703</v>
      </c>
      <c r="BX44" s="89">
        <v>1057508829</v>
      </c>
      <c r="BY44" s="90">
        <f t="shared" si="1"/>
        <v>149263548</v>
      </c>
      <c r="BZ44" s="90">
        <f t="shared" si="1"/>
        <v>16487979</v>
      </c>
      <c r="CA44" s="89">
        <f t="shared" si="2"/>
        <v>92136768</v>
      </c>
      <c r="CB44" s="89">
        <f t="shared" si="3"/>
        <v>1315397124</v>
      </c>
    </row>
    <row r="45" spans="1:80" x14ac:dyDescent="0.25">
      <c r="A45" s="91" t="s">
        <v>99</v>
      </c>
      <c r="B45" s="114">
        <v>162790769</v>
      </c>
      <c r="C45" s="114">
        <v>121100043</v>
      </c>
      <c r="D45" s="114">
        <v>38495236</v>
      </c>
      <c r="E45" s="114">
        <v>0</v>
      </c>
      <c r="F45" s="114">
        <v>32589825</v>
      </c>
      <c r="G45" s="114">
        <v>6886773</v>
      </c>
      <c r="H45" s="114">
        <v>15682500</v>
      </c>
      <c r="I45" s="114">
        <v>1538000</v>
      </c>
      <c r="J45" s="114">
        <v>66900</v>
      </c>
      <c r="K45" s="114">
        <v>0</v>
      </c>
      <c r="L45" s="114">
        <v>231967456</v>
      </c>
      <c r="M45" s="114">
        <v>70229740</v>
      </c>
      <c r="N45" s="114">
        <v>1393</v>
      </c>
      <c r="O45" s="114">
        <v>267</v>
      </c>
      <c r="P45" s="114">
        <v>725200</v>
      </c>
      <c r="Q45" s="114">
        <v>2117589</v>
      </c>
      <c r="R45" s="114">
        <v>95000</v>
      </c>
      <c r="S45" s="114">
        <v>1158485</v>
      </c>
      <c r="T45" s="114">
        <v>151100</v>
      </c>
      <c r="U45" s="114">
        <v>179500</v>
      </c>
      <c r="V45" s="114">
        <v>725200</v>
      </c>
      <c r="W45" s="114">
        <v>1634000</v>
      </c>
      <c r="X45" s="114">
        <v>95000</v>
      </c>
      <c r="Y45" s="114">
        <v>1158485</v>
      </c>
      <c r="Z45" s="114">
        <v>801099</v>
      </c>
      <c r="AA45" s="114">
        <v>179500</v>
      </c>
      <c r="AB45" s="114">
        <v>-753803</v>
      </c>
      <c r="AC45" s="114">
        <v>-2423</v>
      </c>
      <c r="AD45" s="114">
        <v>39124</v>
      </c>
      <c r="AE45" s="114">
        <v>0</v>
      </c>
      <c r="AF45" s="114">
        <v>0</v>
      </c>
      <c r="AG45" s="114">
        <v>167210</v>
      </c>
      <c r="AH45" s="116">
        <v>1490868.8524590165</v>
      </c>
      <c r="AI45" s="114">
        <v>131393.44262295082</v>
      </c>
      <c r="AJ45" s="120">
        <v>0</v>
      </c>
      <c r="AK45" s="82">
        <v>60510598</v>
      </c>
      <c r="AL45" s="83">
        <v>1262969</v>
      </c>
      <c r="AM45" s="114">
        <v>0</v>
      </c>
      <c r="AN45" s="114">
        <v>6447846</v>
      </c>
      <c r="AO45" s="114">
        <v>131551</v>
      </c>
      <c r="AP45" s="114">
        <v>4207349</v>
      </c>
      <c r="AQ45" s="114">
        <v>7489434</v>
      </c>
      <c r="AR45" s="114">
        <v>3361782</v>
      </c>
      <c r="AS45" s="114">
        <v>0</v>
      </c>
      <c r="AT45" s="114">
        <v>244770</v>
      </c>
      <c r="AU45" s="114">
        <v>0</v>
      </c>
      <c r="AV45" s="114">
        <v>0</v>
      </c>
      <c r="AW45" s="114">
        <v>0</v>
      </c>
      <c r="AX45" s="114">
        <v>3180</v>
      </c>
      <c r="AY45" s="114">
        <v>0</v>
      </c>
      <c r="AZ45" s="114"/>
      <c r="BA45" s="114"/>
      <c r="BB45" s="114"/>
      <c r="BC45" s="114"/>
      <c r="BD45" s="82">
        <v>3255915.14</v>
      </c>
      <c r="BE45" s="82">
        <v>1660517</v>
      </c>
      <c r="BF45" s="117"/>
      <c r="BG45" s="118">
        <v>0</v>
      </c>
      <c r="BH45" s="118">
        <v>0</v>
      </c>
      <c r="BI45" s="117">
        <v>22874676</v>
      </c>
      <c r="BJ45" s="117">
        <v>22874676</v>
      </c>
      <c r="BK45" s="117">
        <v>32619822</v>
      </c>
      <c r="BL45" s="117">
        <v>32188410</v>
      </c>
      <c r="BM45" s="117">
        <v>0</v>
      </c>
      <c r="BN45" s="117">
        <v>0</v>
      </c>
      <c r="BO45" s="119"/>
      <c r="BP45" s="86">
        <v>456574311.29508197</v>
      </c>
      <c r="BQ45" s="86">
        <v>338077141.29508197</v>
      </c>
      <c r="BR45" s="87">
        <v>328762</v>
      </c>
      <c r="BT45" s="114">
        <f>4498+3158</f>
        <v>7656</v>
      </c>
      <c r="BU45" s="114">
        <v>311</v>
      </c>
      <c r="BV45" s="114">
        <v>256</v>
      </c>
      <c r="BW45" s="114">
        <f t="shared" si="6"/>
        <v>8223</v>
      </c>
      <c r="BX45" s="89">
        <v>322386048</v>
      </c>
      <c r="BY45" s="90">
        <f t="shared" si="1"/>
        <v>60510598</v>
      </c>
      <c r="BZ45" s="90">
        <f t="shared" si="1"/>
        <v>1262969</v>
      </c>
      <c r="CA45" s="89">
        <f t="shared" si="2"/>
        <v>14068831</v>
      </c>
      <c r="CB45" s="89">
        <f t="shared" si="3"/>
        <v>398228446</v>
      </c>
    </row>
    <row r="46" spans="1:80" x14ac:dyDescent="0.25">
      <c r="A46" s="91" t="s">
        <v>100</v>
      </c>
      <c r="B46" s="114">
        <v>902986159</v>
      </c>
      <c r="C46" s="114">
        <v>127972879</v>
      </c>
      <c r="D46" s="114">
        <v>271435429</v>
      </c>
      <c r="E46" s="114">
        <v>0</v>
      </c>
      <c r="F46" s="114">
        <v>122464344</v>
      </c>
      <c r="G46" s="114">
        <v>38863245</v>
      </c>
      <c r="H46" s="114">
        <v>16541382</v>
      </c>
      <c r="I46" s="114">
        <v>5882908</v>
      </c>
      <c r="J46" s="114">
        <v>219500</v>
      </c>
      <c r="K46" s="114">
        <v>0</v>
      </c>
      <c r="L46" s="114">
        <v>118684804</v>
      </c>
      <c r="M46" s="114">
        <v>109466815</v>
      </c>
      <c r="N46" s="114">
        <v>4076</v>
      </c>
      <c r="O46" s="114">
        <v>1450</v>
      </c>
      <c r="P46" s="114">
        <v>3258049</v>
      </c>
      <c r="Q46" s="114">
        <v>1705863</v>
      </c>
      <c r="R46" s="114">
        <v>492184</v>
      </c>
      <c r="S46" s="114">
        <v>2357011</v>
      </c>
      <c r="T46" s="114">
        <v>222774</v>
      </c>
      <c r="U46" s="114">
        <v>1155307</v>
      </c>
      <c r="V46" s="114">
        <v>3258049</v>
      </c>
      <c r="W46" s="114">
        <v>2891875</v>
      </c>
      <c r="X46" s="114">
        <v>492184</v>
      </c>
      <c r="Y46" s="114">
        <v>2357011</v>
      </c>
      <c r="Z46" s="114">
        <v>219650</v>
      </c>
      <c r="AA46" s="114">
        <v>1155307</v>
      </c>
      <c r="AB46" s="114">
        <v>-6286892</v>
      </c>
      <c r="AC46" s="114">
        <v>-91171</v>
      </c>
      <c r="AD46" s="114">
        <v>146723</v>
      </c>
      <c r="AE46" s="114">
        <v>0</v>
      </c>
      <c r="AF46" s="114">
        <v>0</v>
      </c>
      <c r="AG46" s="114">
        <v>186792</v>
      </c>
      <c r="AH46" s="116">
        <v>29617844.262295082</v>
      </c>
      <c r="AI46" s="114">
        <v>1308843.4426229508</v>
      </c>
      <c r="AJ46" s="120">
        <v>0</v>
      </c>
      <c r="AK46" s="82">
        <f>27118489+90496742+124343020</f>
        <v>241958251</v>
      </c>
      <c r="AL46" s="83">
        <v>6353170</v>
      </c>
      <c r="AM46" s="114">
        <v>25000</v>
      </c>
      <c r="AN46" s="114">
        <v>47657418</v>
      </c>
      <c r="AO46" s="114">
        <v>1599329</v>
      </c>
      <c r="AP46" s="114">
        <v>103126457</v>
      </c>
      <c r="AQ46" s="114">
        <v>44162178</v>
      </c>
      <c r="AR46" s="114">
        <v>72331343</v>
      </c>
      <c r="AS46" s="114">
        <v>94384544</v>
      </c>
      <c r="AT46" s="114">
        <v>425137</v>
      </c>
      <c r="AU46" s="114">
        <v>0</v>
      </c>
      <c r="AV46" s="114">
        <v>0</v>
      </c>
      <c r="AW46" s="114">
        <v>0</v>
      </c>
      <c r="AX46" s="114">
        <v>21968</v>
      </c>
      <c r="AY46" s="114">
        <v>993500</v>
      </c>
      <c r="AZ46" s="114"/>
      <c r="BA46" s="114"/>
      <c r="BB46" s="114"/>
      <c r="BC46" s="114"/>
      <c r="BD46" s="82">
        <v>13019133.140000001</v>
      </c>
      <c r="BE46" s="82">
        <v>6639758</v>
      </c>
      <c r="BF46" s="117">
        <v>33743005</v>
      </c>
      <c r="BG46" s="118">
        <v>30667001</v>
      </c>
      <c r="BH46" s="118">
        <v>60131375</v>
      </c>
      <c r="BI46" s="117">
        <v>72584250</v>
      </c>
      <c r="BJ46" s="117">
        <v>72584250</v>
      </c>
      <c r="BK46" s="117">
        <v>120283319</v>
      </c>
      <c r="BL46" s="117">
        <v>104312093</v>
      </c>
      <c r="BM46" s="117">
        <v>0</v>
      </c>
      <c r="BN46" s="117">
        <v>0</v>
      </c>
      <c r="BO46" s="119"/>
      <c r="BP46" s="86">
        <v>1889254602.7049179</v>
      </c>
      <c r="BQ46" s="86">
        <v>1426740079.7049179</v>
      </c>
      <c r="BR46" s="87">
        <v>2039589</v>
      </c>
      <c r="BT46" s="114">
        <v>17635</v>
      </c>
      <c r="BU46" s="114">
        <v>3317</v>
      </c>
      <c r="BV46" s="114">
        <v>855</v>
      </c>
      <c r="BW46" s="114">
        <f t="shared" si="6"/>
        <v>21807</v>
      </c>
      <c r="BX46" s="89">
        <v>1302394467</v>
      </c>
      <c r="BY46" s="90">
        <f t="shared" si="1"/>
        <v>241958251</v>
      </c>
      <c r="BZ46" s="90">
        <f t="shared" si="1"/>
        <v>6353170</v>
      </c>
      <c r="CA46" s="89">
        <f t="shared" si="2"/>
        <v>187803469</v>
      </c>
      <c r="CB46" s="89">
        <f t="shared" si="3"/>
        <v>1738509357</v>
      </c>
    </row>
    <row r="47" spans="1:80" x14ac:dyDescent="0.25">
      <c r="A47" s="91" t="s">
        <v>101</v>
      </c>
      <c r="B47" s="114">
        <v>162875949</v>
      </c>
      <c r="C47" s="114">
        <v>81208275</v>
      </c>
      <c r="D47" s="114">
        <v>160942703</v>
      </c>
      <c r="E47" s="114">
        <v>400000000</v>
      </c>
      <c r="F47" s="114">
        <v>21596500</v>
      </c>
      <c r="G47" s="114">
        <v>3759300</v>
      </c>
      <c r="H47" s="114">
        <v>9786100</v>
      </c>
      <c r="I47" s="114">
        <v>867600</v>
      </c>
      <c r="J47" s="114">
        <v>0</v>
      </c>
      <c r="K47" s="114">
        <v>0</v>
      </c>
      <c r="L47" s="114">
        <v>179814436</v>
      </c>
      <c r="M47" s="114">
        <v>61860405</v>
      </c>
      <c r="N47" s="114">
        <v>900</v>
      </c>
      <c r="O47" s="114">
        <v>148</v>
      </c>
      <c r="P47" s="114">
        <v>3376356</v>
      </c>
      <c r="Q47" s="114">
        <v>915837</v>
      </c>
      <c r="R47" s="114">
        <v>49962385</v>
      </c>
      <c r="S47" s="114">
        <v>1495570</v>
      </c>
      <c r="T47" s="114">
        <v>984920</v>
      </c>
      <c r="U47" s="114">
        <v>116700</v>
      </c>
      <c r="V47" s="114">
        <v>3376356</v>
      </c>
      <c r="W47" s="114">
        <v>937837</v>
      </c>
      <c r="X47" s="114">
        <v>49962385</v>
      </c>
      <c r="Y47" s="114">
        <v>1495570</v>
      </c>
      <c r="Z47" s="114">
        <v>1687900</v>
      </c>
      <c r="AA47" s="114">
        <v>116700</v>
      </c>
      <c r="AB47" s="114">
        <v>-381400</v>
      </c>
      <c r="AC47" s="114">
        <v>0</v>
      </c>
      <c r="AD47" s="114">
        <v>89175</v>
      </c>
      <c r="AE47" s="114">
        <v>0</v>
      </c>
      <c r="AF47" s="114">
        <v>0</v>
      </c>
      <c r="AG47" s="114">
        <v>107754</v>
      </c>
      <c r="AH47" s="116">
        <v>907524.59016393451</v>
      </c>
      <c r="AI47" s="114">
        <v>217040.98360655739</v>
      </c>
      <c r="AJ47" s="120">
        <v>0</v>
      </c>
      <c r="AK47" s="82">
        <v>61320822</v>
      </c>
      <c r="AL47" s="83">
        <v>1720990</v>
      </c>
      <c r="AM47" s="114">
        <v>0</v>
      </c>
      <c r="AN47" s="114">
        <v>61353619</v>
      </c>
      <c r="AO47" s="114">
        <v>49195483</v>
      </c>
      <c r="AP47" s="114">
        <v>568754416</v>
      </c>
      <c r="AQ47" s="114">
        <v>17221638</v>
      </c>
      <c r="AR47" s="114">
        <v>122622396</v>
      </c>
      <c r="AS47" s="114">
        <v>39652224</v>
      </c>
      <c r="AT47" s="114">
        <f>1937497+16443681</f>
        <v>18381178</v>
      </c>
      <c r="AU47" s="114">
        <v>0</v>
      </c>
      <c r="AV47" s="114">
        <v>0</v>
      </c>
      <c r="AW47" s="114">
        <v>0</v>
      </c>
      <c r="AX47" s="114">
        <v>1814</v>
      </c>
      <c r="AY47" s="114">
        <v>330400</v>
      </c>
      <c r="AZ47" s="114"/>
      <c r="BA47" s="114"/>
      <c r="BB47" s="114"/>
      <c r="BC47" s="114"/>
      <c r="BD47" s="82">
        <v>3299511.14</v>
      </c>
      <c r="BE47" s="82">
        <v>1682751</v>
      </c>
      <c r="BF47" s="117">
        <v>31139378</v>
      </c>
      <c r="BG47" s="118">
        <v>1663140</v>
      </c>
      <c r="BH47" s="118">
        <v>3261059</v>
      </c>
      <c r="BI47" s="117">
        <v>124936131</v>
      </c>
      <c r="BJ47" s="117">
        <v>124936131</v>
      </c>
      <c r="BK47" s="117">
        <v>55292025</v>
      </c>
      <c r="BL47" s="117">
        <v>53519147</v>
      </c>
      <c r="BM47" s="117">
        <v>0</v>
      </c>
      <c r="BN47" s="117">
        <v>0</v>
      </c>
      <c r="BO47" s="119"/>
      <c r="BP47" s="86">
        <v>778765213.57377052</v>
      </c>
      <c r="BQ47" s="86">
        <v>533922232.57377052</v>
      </c>
      <c r="BR47" s="87">
        <v>468310</v>
      </c>
      <c r="BT47" s="114">
        <v>3337</v>
      </c>
      <c r="BU47" s="114">
        <v>1815</v>
      </c>
      <c r="BV47" s="114">
        <v>281</v>
      </c>
      <c r="BW47" s="114">
        <f t="shared" si="6"/>
        <v>5433</v>
      </c>
      <c r="BX47" s="89">
        <v>405026927</v>
      </c>
      <c r="BY47" s="90">
        <f t="shared" si="1"/>
        <v>61320822</v>
      </c>
      <c r="BZ47" s="90">
        <f t="shared" si="1"/>
        <v>1720990</v>
      </c>
      <c r="CA47" s="89">
        <f t="shared" si="2"/>
        <v>167422964</v>
      </c>
      <c r="CB47" s="89">
        <f t="shared" si="3"/>
        <v>635491703</v>
      </c>
    </row>
    <row r="48" spans="1:80" x14ac:dyDescent="0.25">
      <c r="A48" s="91" t="s">
        <v>102</v>
      </c>
      <c r="B48" s="114">
        <v>3898749742</v>
      </c>
      <c r="C48" s="114">
        <v>374601410</v>
      </c>
      <c r="D48" s="114">
        <v>1510071998</v>
      </c>
      <c r="E48" s="114">
        <v>17330000</v>
      </c>
      <c r="F48" s="114">
        <v>236525008</v>
      </c>
      <c r="G48" s="114">
        <v>33828900</v>
      </c>
      <c r="H48" s="114">
        <v>28637700</v>
      </c>
      <c r="I48" s="114">
        <v>2497300</v>
      </c>
      <c r="J48" s="114">
        <v>479700</v>
      </c>
      <c r="K48" s="114">
        <v>36900</v>
      </c>
      <c r="L48" s="114">
        <v>655269880</v>
      </c>
      <c r="M48" s="114">
        <v>1061006290</v>
      </c>
      <c r="N48" s="114">
        <v>7348</v>
      </c>
      <c r="O48" s="114">
        <v>1051</v>
      </c>
      <c r="P48" s="114">
        <v>44865600</v>
      </c>
      <c r="Q48" s="114">
        <v>6246800</v>
      </c>
      <c r="R48" s="114">
        <v>57883400</v>
      </c>
      <c r="S48" s="114">
        <v>15843500</v>
      </c>
      <c r="T48" s="114">
        <v>3508100</v>
      </c>
      <c r="U48" s="114">
        <v>20357300</v>
      </c>
      <c r="V48" s="114">
        <v>44865600</v>
      </c>
      <c r="W48" s="114">
        <v>6246800</v>
      </c>
      <c r="X48" s="114">
        <v>57883400</v>
      </c>
      <c r="Y48" s="114">
        <v>15843500</v>
      </c>
      <c r="Z48" s="114">
        <v>3508100</v>
      </c>
      <c r="AA48" s="114">
        <v>20357300</v>
      </c>
      <c r="AB48" s="114">
        <v>-4390300</v>
      </c>
      <c r="AC48" s="114">
        <v>-1601295</v>
      </c>
      <c r="AD48" s="114">
        <v>89011</v>
      </c>
      <c r="AE48" s="114">
        <v>0</v>
      </c>
      <c r="AF48" s="114">
        <v>0</v>
      </c>
      <c r="AG48" s="114">
        <v>264289</v>
      </c>
      <c r="AH48" s="116">
        <v>0</v>
      </c>
      <c r="AI48" s="114">
        <v>1687950</v>
      </c>
      <c r="AJ48" s="120">
        <v>0</v>
      </c>
      <c r="AK48" s="82">
        <v>688942023</v>
      </c>
      <c r="AL48" s="83">
        <v>15156410</v>
      </c>
      <c r="AM48" s="114">
        <v>74500</v>
      </c>
      <c r="AN48" s="114">
        <v>186749523</v>
      </c>
      <c r="AO48" s="114">
        <v>33192074</v>
      </c>
      <c r="AP48" s="114">
        <v>649582807</v>
      </c>
      <c r="AQ48" s="114">
        <v>211254819</v>
      </c>
      <c r="AR48" s="114">
        <v>235027736</v>
      </c>
      <c r="AS48" s="114">
        <v>63211068</v>
      </c>
      <c r="AT48" s="114">
        <v>0</v>
      </c>
      <c r="AU48" s="114">
        <v>0</v>
      </c>
      <c r="AV48" s="114">
        <v>44789</v>
      </c>
      <c r="AW48" s="114">
        <v>3634753</v>
      </c>
      <c r="AX48" s="114">
        <v>1107403</v>
      </c>
      <c r="AY48" s="114">
        <v>1992825</v>
      </c>
      <c r="AZ48" s="114"/>
      <c r="BA48" s="114"/>
      <c r="BB48" s="114"/>
      <c r="BC48" s="114"/>
      <c r="BD48" s="82">
        <v>37070146.960000001</v>
      </c>
      <c r="BE48" s="82">
        <v>18905775</v>
      </c>
      <c r="BF48" s="117">
        <v>2916062</v>
      </c>
      <c r="BG48" s="118">
        <v>5540540</v>
      </c>
      <c r="BH48" s="118">
        <v>10863803</v>
      </c>
      <c r="BI48" s="117">
        <v>71245292</v>
      </c>
      <c r="BJ48" s="117">
        <v>62260875</v>
      </c>
      <c r="BK48" s="117">
        <v>232489321</v>
      </c>
      <c r="BL48" s="117">
        <v>222176524</v>
      </c>
      <c r="BM48" s="117">
        <v>96</v>
      </c>
      <c r="BN48" s="117">
        <v>0</v>
      </c>
      <c r="BO48" s="119"/>
      <c r="BP48" s="86">
        <v>7229289759</v>
      </c>
      <c r="BQ48" s="86">
        <v>6216307516</v>
      </c>
      <c r="BR48" s="87">
        <v>12150800</v>
      </c>
      <c r="BT48" s="114">
        <v>39408</v>
      </c>
      <c r="BU48" s="114">
        <v>4988</v>
      </c>
      <c r="BV48" s="114">
        <v>2905</v>
      </c>
      <c r="BW48" s="114">
        <f t="shared" si="6"/>
        <v>47301</v>
      </c>
      <c r="BX48" s="89">
        <v>5783423150</v>
      </c>
      <c r="BY48" s="90">
        <f t="shared" si="1"/>
        <v>688942023</v>
      </c>
      <c r="BZ48" s="90">
        <f t="shared" si="1"/>
        <v>15156410</v>
      </c>
      <c r="CA48" s="89">
        <f t="shared" si="2"/>
        <v>494407484</v>
      </c>
      <c r="CB48" s="89">
        <f t="shared" si="3"/>
        <v>6981929067</v>
      </c>
    </row>
    <row r="49" spans="1:80" x14ac:dyDescent="0.25">
      <c r="A49" s="91" t="s">
        <v>103</v>
      </c>
      <c r="B49" s="114">
        <v>396478028</v>
      </c>
      <c r="C49" s="114">
        <v>42317073</v>
      </c>
      <c r="D49" s="114">
        <v>143970475</v>
      </c>
      <c r="E49" s="114">
        <v>0</v>
      </c>
      <c r="F49" s="114">
        <v>60516069</v>
      </c>
      <c r="G49" s="114">
        <v>69928985</v>
      </c>
      <c r="H49" s="114">
        <v>2328855</v>
      </c>
      <c r="I49" s="114">
        <v>1361560</v>
      </c>
      <c r="J49" s="114">
        <v>228800</v>
      </c>
      <c r="K49" s="114">
        <v>130250</v>
      </c>
      <c r="L49" s="114">
        <v>97546010</v>
      </c>
      <c r="M49" s="114">
        <v>16984123</v>
      </c>
      <c r="N49" s="114">
        <v>1998</v>
      </c>
      <c r="O49" s="114">
        <v>2426</v>
      </c>
      <c r="P49" s="114">
        <v>3432075</v>
      </c>
      <c r="Q49" s="114">
        <v>212900</v>
      </c>
      <c r="R49" s="114">
        <v>1016025</v>
      </c>
      <c r="S49" s="114">
        <v>6253938</v>
      </c>
      <c r="T49" s="114">
        <v>90537</v>
      </c>
      <c r="U49" s="114">
        <v>2916756</v>
      </c>
      <c r="V49" s="114">
        <v>3432075</v>
      </c>
      <c r="W49" s="114">
        <v>228000</v>
      </c>
      <c r="X49" s="114">
        <v>1016025</v>
      </c>
      <c r="Y49" s="114">
        <v>6253938</v>
      </c>
      <c r="Z49" s="114">
        <v>17645</v>
      </c>
      <c r="AA49" s="114">
        <v>2916756</v>
      </c>
      <c r="AB49" s="114">
        <v>-4510087</v>
      </c>
      <c r="AC49" s="114">
        <v>0</v>
      </c>
      <c r="AD49" s="114">
        <v>237940</v>
      </c>
      <c r="AE49" s="114">
        <v>3192015</v>
      </c>
      <c r="AF49" s="114">
        <v>0</v>
      </c>
      <c r="AG49" s="114">
        <v>217599</v>
      </c>
      <c r="AH49" s="116">
        <v>16607836.065573772</v>
      </c>
      <c r="AI49" s="114">
        <v>27535663.114754103</v>
      </c>
      <c r="AJ49" s="120">
        <v>178119235</v>
      </c>
      <c r="AK49" s="82">
        <v>156755129</v>
      </c>
      <c r="AL49" s="83">
        <v>2039950</v>
      </c>
      <c r="AM49" s="114">
        <v>0</v>
      </c>
      <c r="AN49" s="114">
        <v>106991873</v>
      </c>
      <c r="AO49" s="114">
        <v>3166540</v>
      </c>
      <c r="AP49" s="114">
        <v>46992296</v>
      </c>
      <c r="AQ49" s="114">
        <v>24215008</v>
      </c>
      <c r="AR49" s="114">
        <v>12160360</v>
      </c>
      <c r="AS49" s="114">
        <v>550000</v>
      </c>
      <c r="AT49" s="114">
        <v>0</v>
      </c>
      <c r="AU49" s="114">
        <v>0</v>
      </c>
      <c r="AV49" s="114">
        <v>0</v>
      </c>
      <c r="AW49" s="114">
        <v>0</v>
      </c>
      <c r="AX49" s="114">
        <v>0</v>
      </c>
      <c r="AY49" s="114">
        <v>0</v>
      </c>
      <c r="AZ49" s="114"/>
      <c r="BA49" s="114"/>
      <c r="BB49" s="114"/>
      <c r="BC49" s="114"/>
      <c r="BD49" s="82">
        <v>8434578.6400000006</v>
      </c>
      <c r="BE49" s="82">
        <v>4301635</v>
      </c>
      <c r="BF49" s="117"/>
      <c r="BG49" s="118">
        <v>8529627</v>
      </c>
      <c r="BH49" s="118">
        <v>16724758</v>
      </c>
      <c r="BI49" s="117">
        <v>22485021</v>
      </c>
      <c r="BJ49" s="117">
        <v>22485021</v>
      </c>
      <c r="BK49" s="117">
        <v>77245945</v>
      </c>
      <c r="BL49" s="117">
        <v>68187925</v>
      </c>
      <c r="BM49" s="117">
        <v>0</v>
      </c>
      <c r="BN49" s="117">
        <v>0</v>
      </c>
      <c r="BO49" s="119"/>
      <c r="BP49" s="86">
        <v>1201701018.1803279</v>
      </c>
      <c r="BQ49" s="86">
        <v>939401731.18032789</v>
      </c>
      <c r="BR49" s="87">
        <v>752921</v>
      </c>
      <c r="BT49" s="114">
        <v>15772</v>
      </c>
      <c r="BU49" s="114">
        <v>1374</v>
      </c>
      <c r="BV49" s="114">
        <v>1126</v>
      </c>
      <c r="BW49" s="114">
        <f t="shared" si="6"/>
        <v>18272</v>
      </c>
      <c r="BX49" s="89">
        <v>582765576</v>
      </c>
      <c r="BY49" s="90">
        <f t="shared" si="1"/>
        <v>156755129</v>
      </c>
      <c r="BZ49" s="90">
        <f t="shared" si="1"/>
        <v>2039950</v>
      </c>
      <c r="CA49" s="89">
        <f t="shared" si="2"/>
        <v>134923421</v>
      </c>
      <c r="CB49" s="89">
        <f t="shared" si="3"/>
        <v>876484076</v>
      </c>
    </row>
    <row r="50" spans="1:80" x14ac:dyDescent="0.25">
      <c r="A50" s="91" t="s">
        <v>104</v>
      </c>
      <c r="B50" s="114">
        <v>459650336</v>
      </c>
      <c r="C50" s="114">
        <v>228979484</v>
      </c>
      <c r="D50" s="114">
        <v>111943221</v>
      </c>
      <c r="E50" s="114">
        <v>0</v>
      </c>
      <c r="F50" s="114">
        <v>40090283</v>
      </c>
      <c r="G50" s="114">
        <v>4817602</v>
      </c>
      <c r="H50" s="114">
        <v>15088427</v>
      </c>
      <c r="I50" s="114">
        <v>1684222</v>
      </c>
      <c r="J50" s="114">
        <v>36900</v>
      </c>
      <c r="K50" s="114">
        <v>18000</v>
      </c>
      <c r="L50" s="114">
        <v>307424362</v>
      </c>
      <c r="M50" s="114">
        <v>159969171</v>
      </c>
      <c r="N50" s="114">
        <v>1517</v>
      </c>
      <c r="O50" s="114">
        <v>181</v>
      </c>
      <c r="P50" s="114">
        <v>1662807</v>
      </c>
      <c r="Q50" s="114">
        <v>2257849</v>
      </c>
      <c r="R50" s="114">
        <v>1206750</v>
      </c>
      <c r="S50" s="114">
        <v>182130</v>
      </c>
      <c r="T50" s="114">
        <v>387710</v>
      </c>
      <c r="U50" s="114">
        <v>214048</v>
      </c>
      <c r="V50" s="114">
        <v>1662807</v>
      </c>
      <c r="W50" s="114">
        <v>2257849</v>
      </c>
      <c r="X50" s="114">
        <v>1206750</v>
      </c>
      <c r="Y50" s="114">
        <v>182130</v>
      </c>
      <c r="Z50" s="114">
        <v>387710</v>
      </c>
      <c r="AA50" s="114">
        <v>214048</v>
      </c>
      <c r="AB50" s="114">
        <v>-1929453</v>
      </c>
      <c r="AC50" s="114">
        <v>-39594</v>
      </c>
      <c r="AD50" s="114">
        <v>0</v>
      </c>
      <c r="AE50" s="114">
        <v>0</v>
      </c>
      <c r="AF50" s="114">
        <v>0</v>
      </c>
      <c r="AG50" s="114">
        <v>194961</v>
      </c>
      <c r="AH50" s="116">
        <v>0</v>
      </c>
      <c r="AI50" s="114">
        <v>0</v>
      </c>
      <c r="AJ50" s="120">
        <v>0</v>
      </c>
      <c r="AK50" s="82">
        <v>129661369</v>
      </c>
      <c r="AL50" s="83">
        <v>2506248</v>
      </c>
      <c r="AM50" s="114">
        <v>0</v>
      </c>
      <c r="AN50" s="114">
        <v>24130942</v>
      </c>
      <c r="AO50" s="114">
        <v>4114691</v>
      </c>
      <c r="AP50" s="114">
        <v>79069086</v>
      </c>
      <c r="AQ50" s="114">
        <v>16147691</v>
      </c>
      <c r="AR50" s="114">
        <v>23431043</v>
      </c>
      <c r="AS50" s="114">
        <v>674290</v>
      </c>
      <c r="AT50" s="114">
        <v>1230829</v>
      </c>
      <c r="AU50" s="114">
        <v>0</v>
      </c>
      <c r="AV50" s="114">
        <v>31646</v>
      </c>
      <c r="AW50" s="114">
        <v>11526745</v>
      </c>
      <c r="AX50" s="114">
        <v>0</v>
      </c>
      <c r="AY50" s="114">
        <v>555171</v>
      </c>
      <c r="AZ50" s="114"/>
      <c r="BA50" s="114"/>
      <c r="BB50" s="114"/>
      <c r="BC50" s="114"/>
      <c r="BD50" s="82">
        <v>6976735.1100000003</v>
      </c>
      <c r="BE50" s="82">
        <v>3558135</v>
      </c>
      <c r="BF50" s="117"/>
      <c r="BG50" s="118">
        <v>2213607</v>
      </c>
      <c r="BH50" s="118">
        <v>4340406</v>
      </c>
      <c r="BI50" s="117">
        <v>17462573</v>
      </c>
      <c r="BJ50" s="117">
        <v>17462573</v>
      </c>
      <c r="BK50" s="117">
        <v>48410990</v>
      </c>
      <c r="BL50" s="117">
        <v>44321126</v>
      </c>
      <c r="BM50" s="117">
        <v>0</v>
      </c>
      <c r="BN50" s="117">
        <v>0</v>
      </c>
      <c r="BO50" s="119"/>
      <c r="BP50" s="86">
        <v>1044689423</v>
      </c>
      <c r="BQ50" s="86">
        <v>844966365</v>
      </c>
      <c r="BR50" s="87">
        <v>1108961</v>
      </c>
      <c r="BT50" s="114">
        <v>5840</v>
      </c>
      <c r="BU50" s="114">
        <v>2690</v>
      </c>
      <c r="BV50" s="114">
        <v>466</v>
      </c>
      <c r="BW50" s="114">
        <f t="shared" si="6"/>
        <v>8996</v>
      </c>
      <c r="BX50" s="89">
        <v>800573041</v>
      </c>
      <c r="BY50" s="90">
        <f t="shared" si="1"/>
        <v>129661369</v>
      </c>
      <c r="BZ50" s="90">
        <f t="shared" si="1"/>
        <v>2506248</v>
      </c>
      <c r="CA50" s="89">
        <f t="shared" si="2"/>
        <v>45067614</v>
      </c>
      <c r="CB50" s="89">
        <f t="shared" si="3"/>
        <v>977808272</v>
      </c>
    </row>
    <row r="51" spans="1:80" x14ac:dyDescent="0.25">
      <c r="A51" s="91" t="s">
        <v>105</v>
      </c>
      <c r="B51" s="114">
        <v>292247384</v>
      </c>
      <c r="C51" s="114">
        <v>231839062</v>
      </c>
      <c r="D51" s="114">
        <v>158565261</v>
      </c>
      <c r="E51" s="114">
        <v>16193643</v>
      </c>
      <c r="F51" s="114">
        <v>41095800</v>
      </c>
      <c r="G51" s="114">
        <v>11071150</v>
      </c>
      <c r="H51" s="114">
        <v>19530900</v>
      </c>
      <c r="I51" s="114">
        <v>3356300</v>
      </c>
      <c r="J51" s="114">
        <v>143900</v>
      </c>
      <c r="K51" s="114">
        <v>36900</v>
      </c>
      <c r="L51" s="114">
        <v>324438457</v>
      </c>
      <c r="M51" s="114">
        <v>143905762</v>
      </c>
      <c r="N51" s="114">
        <v>1752</v>
      </c>
      <c r="O51" s="114">
        <v>472</v>
      </c>
      <c r="P51" s="114">
        <v>3242650</v>
      </c>
      <c r="Q51" s="114">
        <v>4913400</v>
      </c>
      <c r="R51" s="114">
        <v>14322920</v>
      </c>
      <c r="S51" s="114">
        <v>1047300</v>
      </c>
      <c r="T51" s="114">
        <v>1146600</v>
      </c>
      <c r="U51" s="114">
        <v>425350</v>
      </c>
      <c r="V51" s="114">
        <v>3242650</v>
      </c>
      <c r="W51" s="114">
        <v>5118300</v>
      </c>
      <c r="X51" s="114">
        <v>14322920</v>
      </c>
      <c r="Y51" s="114">
        <v>1047300</v>
      </c>
      <c r="Z51" s="114">
        <v>1556350</v>
      </c>
      <c r="AA51" s="114">
        <v>425350</v>
      </c>
      <c r="AB51" s="114">
        <v>-2517300</v>
      </c>
      <c r="AC51" s="114">
        <v>0</v>
      </c>
      <c r="AD51" s="114">
        <v>103450</v>
      </c>
      <c r="AE51" s="114">
        <v>0</v>
      </c>
      <c r="AF51" s="114">
        <v>0</v>
      </c>
      <c r="AG51" s="114">
        <v>233011</v>
      </c>
      <c r="AH51" s="116">
        <v>1807581.9672131147</v>
      </c>
      <c r="AI51" s="114">
        <v>212040.98360655739</v>
      </c>
      <c r="AJ51" s="120">
        <v>0</v>
      </c>
      <c r="AK51" s="82">
        <f>81004556+10847216</f>
        <v>91851772</v>
      </c>
      <c r="AL51" s="83">
        <f>3383692+113900</f>
        <v>3497592</v>
      </c>
      <c r="AM51" s="114">
        <v>0</v>
      </c>
      <c r="AN51" s="114">
        <v>18300531</v>
      </c>
      <c r="AO51" s="114">
        <v>2024274</v>
      </c>
      <c r="AP51" s="114">
        <v>173314937</v>
      </c>
      <c r="AQ51" s="114">
        <v>54384068</v>
      </c>
      <c r="AR51" s="114">
        <v>46207455</v>
      </c>
      <c r="AS51" s="114">
        <v>0</v>
      </c>
      <c r="AT51" s="114">
        <v>1363844</v>
      </c>
      <c r="AU51" s="114">
        <v>0</v>
      </c>
      <c r="AV51" s="114">
        <v>91461</v>
      </c>
      <c r="AW51" s="114">
        <v>4911069</v>
      </c>
      <c r="AX51" s="114">
        <v>62220</v>
      </c>
      <c r="AY51" s="114">
        <v>0</v>
      </c>
      <c r="AZ51" s="114"/>
      <c r="BA51" s="114"/>
      <c r="BB51" s="114"/>
      <c r="BC51" s="114"/>
      <c r="BD51" s="82">
        <v>4942300.76</v>
      </c>
      <c r="BE51" s="82">
        <v>2520573</v>
      </c>
      <c r="BF51" s="117"/>
      <c r="BG51" s="118">
        <v>1453780</v>
      </c>
      <c r="BH51" s="118">
        <v>2850549</v>
      </c>
      <c r="BI51" s="117">
        <v>15265871</v>
      </c>
      <c r="BJ51" s="117">
        <v>15265871</v>
      </c>
      <c r="BK51" s="117">
        <v>64758557</v>
      </c>
      <c r="BL51" s="117">
        <v>61766745</v>
      </c>
      <c r="BM51" s="117">
        <v>0</v>
      </c>
      <c r="BN51" s="117">
        <v>0</v>
      </c>
      <c r="BO51" s="119"/>
      <c r="BP51" s="86">
        <v>935736535.95081973</v>
      </c>
      <c r="BQ51" s="86">
        <v>759380202.95081973</v>
      </c>
      <c r="BR51" s="87">
        <v>1442497</v>
      </c>
      <c r="BT51" s="114">
        <v>7245</v>
      </c>
      <c r="BU51" s="114">
        <v>4137</v>
      </c>
      <c r="BV51" s="114">
        <v>664</v>
      </c>
      <c r="BW51" s="114">
        <f t="shared" si="6"/>
        <v>12046</v>
      </c>
      <c r="BX51" s="89">
        <v>682651707</v>
      </c>
      <c r="BY51" s="90">
        <f t="shared" si="1"/>
        <v>91851772</v>
      </c>
      <c r="BZ51" s="90">
        <f t="shared" si="1"/>
        <v>3497592</v>
      </c>
      <c r="CA51" s="89">
        <f t="shared" si="2"/>
        <v>74708873</v>
      </c>
      <c r="CB51" s="89">
        <f t="shared" si="3"/>
        <v>852709944</v>
      </c>
    </row>
    <row r="52" spans="1:80" x14ac:dyDescent="0.25">
      <c r="A52" s="91" t="s">
        <v>106</v>
      </c>
      <c r="B52" s="114">
        <v>1314653900</v>
      </c>
      <c r="C52" s="114">
        <v>269920604</v>
      </c>
      <c r="D52" s="114">
        <v>542584352</v>
      </c>
      <c r="E52" s="114">
        <v>156590370</v>
      </c>
      <c r="F52" s="114">
        <v>129359401</v>
      </c>
      <c r="G52" s="114">
        <v>15269064</v>
      </c>
      <c r="H52" s="114">
        <v>10313260</v>
      </c>
      <c r="I52" s="114">
        <v>590400</v>
      </c>
      <c r="J52" s="114">
        <v>221400</v>
      </c>
      <c r="K52" s="114">
        <v>0</v>
      </c>
      <c r="L52" s="114">
        <v>908131052</v>
      </c>
      <c r="M52" s="114">
        <v>97139550</v>
      </c>
      <c r="N52" s="114">
        <v>3935</v>
      </c>
      <c r="O52" s="114">
        <v>490</v>
      </c>
      <c r="P52" s="114">
        <v>10512700</v>
      </c>
      <c r="Q52" s="114">
        <v>3382500</v>
      </c>
      <c r="R52" s="114">
        <v>6333500</v>
      </c>
      <c r="S52" s="114">
        <v>6160318</v>
      </c>
      <c r="T52" s="114">
        <v>3375800</v>
      </c>
      <c r="U52" s="114">
        <v>4263560</v>
      </c>
      <c r="V52" s="114">
        <v>10512700</v>
      </c>
      <c r="W52" s="114">
        <v>10345010</v>
      </c>
      <c r="X52" s="114">
        <v>6333500</v>
      </c>
      <c r="Y52" s="114">
        <v>6160318</v>
      </c>
      <c r="Z52" s="114">
        <v>12083140</v>
      </c>
      <c r="AA52" s="114">
        <v>4263560</v>
      </c>
      <c r="AB52" s="114">
        <v>-4728174</v>
      </c>
      <c r="AC52" s="114">
        <v>985567</v>
      </c>
      <c r="AD52" s="114">
        <v>38467</v>
      </c>
      <c r="AE52" s="114">
        <v>5168</v>
      </c>
      <c r="AF52" s="114">
        <v>21262105</v>
      </c>
      <c r="AG52" s="114">
        <v>245490</v>
      </c>
      <c r="AH52" s="116">
        <v>38335836.065573774</v>
      </c>
      <c r="AI52" s="114">
        <v>0</v>
      </c>
      <c r="AJ52" s="120">
        <v>20154142</v>
      </c>
      <c r="AK52" s="82">
        <v>327208532</v>
      </c>
      <c r="AL52" s="83">
        <v>13962437</v>
      </c>
      <c r="AM52" s="114">
        <v>83497</v>
      </c>
      <c r="AN52" s="114">
        <v>110519020</v>
      </c>
      <c r="AO52" s="114">
        <v>19194524</v>
      </c>
      <c r="AP52" s="114">
        <v>319404304</v>
      </c>
      <c r="AQ52" s="114">
        <v>139399215</v>
      </c>
      <c r="AR52" s="114">
        <v>150823344</v>
      </c>
      <c r="AS52" s="114">
        <v>166529198</v>
      </c>
      <c r="AT52" s="114">
        <v>4945351</v>
      </c>
      <c r="AU52" s="114">
        <v>0</v>
      </c>
      <c r="AV52" s="114">
        <v>1026105</v>
      </c>
      <c r="AW52" s="114">
        <v>57311542</v>
      </c>
      <c r="AX52" s="114">
        <v>571809</v>
      </c>
      <c r="AY52" s="114">
        <v>1452690</v>
      </c>
      <c r="AZ52" s="114"/>
      <c r="BA52" s="114"/>
      <c r="BB52" s="114"/>
      <c r="BC52" s="114"/>
      <c r="BD52" s="82">
        <v>17606225.140000001</v>
      </c>
      <c r="BE52" s="82">
        <v>8979175</v>
      </c>
      <c r="BF52" s="117">
        <v>78421244</v>
      </c>
      <c r="BG52" s="118">
        <v>2806468</v>
      </c>
      <c r="BH52" s="118">
        <v>5502878</v>
      </c>
      <c r="BI52" s="117">
        <v>31672185</v>
      </c>
      <c r="BJ52" s="117">
        <v>31672185</v>
      </c>
      <c r="BK52" s="117">
        <v>120204681</v>
      </c>
      <c r="BL52" s="117">
        <v>116945418</v>
      </c>
      <c r="BM52" s="117">
        <v>0</v>
      </c>
      <c r="BN52" s="117">
        <v>0</v>
      </c>
      <c r="BO52" s="119"/>
      <c r="BP52" s="86">
        <v>2956335808.0655737</v>
      </c>
      <c r="BQ52" s="86">
        <v>2454761593.0655737</v>
      </c>
      <c r="BR52" s="87">
        <v>4022667</v>
      </c>
      <c r="BT52" s="114">
        <v>16744</v>
      </c>
      <c r="BU52" s="114">
        <v>2955</v>
      </c>
      <c r="BV52" s="114">
        <v>1476</v>
      </c>
      <c r="BW52" s="114">
        <f t="shared" si="6"/>
        <v>21175</v>
      </c>
      <c r="BX52" s="89">
        <v>2127158856</v>
      </c>
      <c r="BY52" s="90">
        <f t="shared" si="1"/>
        <v>327208532</v>
      </c>
      <c r="BZ52" s="90">
        <f t="shared" si="1"/>
        <v>13962437</v>
      </c>
      <c r="CA52" s="89">
        <f t="shared" si="2"/>
        <v>435641957</v>
      </c>
      <c r="CB52" s="89">
        <f t="shared" si="3"/>
        <v>2903971782</v>
      </c>
    </row>
    <row r="53" spans="1:80" x14ac:dyDescent="0.25">
      <c r="A53" s="91" t="s">
        <v>107</v>
      </c>
      <c r="B53" s="114">
        <v>414307950</v>
      </c>
      <c r="C53" s="114">
        <v>205471000</v>
      </c>
      <c r="D53" s="114">
        <v>72611185</v>
      </c>
      <c r="E53" s="114">
        <v>0</v>
      </c>
      <c r="F53" s="114">
        <v>40576900</v>
      </c>
      <c r="G53" s="114">
        <v>5767100</v>
      </c>
      <c r="H53" s="114">
        <v>13419500</v>
      </c>
      <c r="I53" s="114">
        <v>781600</v>
      </c>
      <c r="J53" s="114">
        <v>73800</v>
      </c>
      <c r="K53" s="114">
        <v>0</v>
      </c>
      <c r="L53" s="114">
        <v>303640407</v>
      </c>
      <c r="M53" s="114">
        <v>143595700</v>
      </c>
      <c r="N53" s="114">
        <v>1495</v>
      </c>
      <c r="O53" s="114">
        <v>185</v>
      </c>
      <c r="P53" s="114">
        <v>4328300</v>
      </c>
      <c r="Q53" s="114">
        <v>4520000</v>
      </c>
      <c r="R53" s="114">
        <v>706100</v>
      </c>
      <c r="S53" s="114">
        <v>4260200</v>
      </c>
      <c r="T53" s="114">
        <v>1627500</v>
      </c>
      <c r="U53" s="114">
        <v>2159700</v>
      </c>
      <c r="V53" s="114">
        <v>4328300</v>
      </c>
      <c r="W53" s="114">
        <v>5727900</v>
      </c>
      <c r="X53" s="114">
        <v>706100</v>
      </c>
      <c r="Y53" s="114">
        <v>4260200</v>
      </c>
      <c r="Z53" s="114">
        <v>2472900</v>
      </c>
      <c r="AA53" s="114">
        <v>2159700</v>
      </c>
      <c r="AB53" s="114">
        <v>-2877700</v>
      </c>
      <c r="AC53" s="114">
        <v>-1100815</v>
      </c>
      <c r="AD53" s="114">
        <v>32106</v>
      </c>
      <c r="AE53" s="114">
        <v>35322</v>
      </c>
      <c r="AF53" s="114">
        <v>161052800</v>
      </c>
      <c r="AG53" s="114">
        <v>168113</v>
      </c>
      <c r="AH53" s="116">
        <v>0</v>
      </c>
      <c r="AI53" s="114">
        <v>407278.68852459016</v>
      </c>
      <c r="AJ53" s="120">
        <v>0</v>
      </c>
      <c r="AK53" s="82">
        <v>106528205</v>
      </c>
      <c r="AL53" s="83">
        <v>2297313</v>
      </c>
      <c r="AM53" s="114">
        <v>30000</v>
      </c>
      <c r="AN53" s="114">
        <v>15503727</v>
      </c>
      <c r="AO53" s="114">
        <v>1667825</v>
      </c>
      <c r="AP53" s="114">
        <v>25905016</v>
      </c>
      <c r="AQ53" s="114">
        <v>19158229</v>
      </c>
      <c r="AR53" s="114">
        <v>39560940</v>
      </c>
      <c r="AS53" s="114">
        <v>7652517</v>
      </c>
      <c r="AT53" s="114">
        <v>2643770</v>
      </c>
      <c r="AU53" s="114">
        <v>0</v>
      </c>
      <c r="AV53" s="114">
        <v>0</v>
      </c>
      <c r="AW53" s="114">
        <v>138876</v>
      </c>
      <c r="AX53" s="114">
        <v>0</v>
      </c>
      <c r="AY53" s="114">
        <v>197000</v>
      </c>
      <c r="AZ53" s="114"/>
      <c r="BA53" s="114"/>
      <c r="BB53" s="114"/>
      <c r="BC53" s="114"/>
      <c r="BD53" s="82">
        <v>5732000.7800000003</v>
      </c>
      <c r="BE53" s="82">
        <v>2923320</v>
      </c>
      <c r="BF53" s="117">
        <v>5155181</v>
      </c>
      <c r="BG53" s="118">
        <v>978318</v>
      </c>
      <c r="BH53" s="118">
        <v>1918270</v>
      </c>
      <c r="BI53" s="117">
        <v>8568007</v>
      </c>
      <c r="BJ53" s="117">
        <v>8568007</v>
      </c>
      <c r="BK53" s="117">
        <v>41172851</v>
      </c>
      <c r="BL53" s="117">
        <v>39698197</v>
      </c>
      <c r="BM53" s="117">
        <v>0</v>
      </c>
      <c r="BN53" s="117">
        <v>0</v>
      </c>
      <c r="BO53" s="119"/>
      <c r="BP53" s="86">
        <v>890120554.6885246</v>
      </c>
      <c r="BQ53" s="86">
        <v>729127194.6885246</v>
      </c>
      <c r="BR53" s="87">
        <v>440200</v>
      </c>
      <c r="BT53" s="114">
        <v>5679</v>
      </c>
      <c r="BU53" s="114">
        <v>2739</v>
      </c>
      <c r="BV53" s="114">
        <v>359</v>
      </c>
      <c r="BW53" s="114">
        <f t="shared" si="6"/>
        <v>8777</v>
      </c>
      <c r="BX53" s="89">
        <v>692390135</v>
      </c>
      <c r="BY53" s="90">
        <f t="shared" si="1"/>
        <v>106528205</v>
      </c>
      <c r="BZ53" s="90">
        <f t="shared" si="1"/>
        <v>2297313</v>
      </c>
      <c r="CA53" s="89">
        <f t="shared" si="2"/>
        <v>43982298</v>
      </c>
      <c r="CB53" s="89">
        <f t="shared" si="3"/>
        <v>845197951</v>
      </c>
    </row>
    <row r="54" spans="1:80" x14ac:dyDescent="0.25">
      <c r="A54" s="91" t="s">
        <v>108</v>
      </c>
      <c r="B54" s="114">
        <v>67900830</v>
      </c>
      <c r="C54" s="114">
        <v>112948599</v>
      </c>
      <c r="D54" s="114">
        <v>18370045</v>
      </c>
      <c r="E54" s="114">
        <v>0</v>
      </c>
      <c r="F54" s="114">
        <v>14157600</v>
      </c>
      <c r="G54" s="114">
        <v>3137150</v>
      </c>
      <c r="H54" s="114">
        <v>5203872</v>
      </c>
      <c r="I54" s="114">
        <v>504805</v>
      </c>
      <c r="J54" s="114">
        <v>0</v>
      </c>
      <c r="K54" s="114">
        <v>0</v>
      </c>
      <c r="L54" s="114">
        <v>438798628</v>
      </c>
      <c r="M54" s="114">
        <v>30014023</v>
      </c>
      <c r="N54" s="114">
        <v>590</v>
      </c>
      <c r="O54" s="114">
        <v>126</v>
      </c>
      <c r="P54" s="114">
        <v>578900</v>
      </c>
      <c r="Q54" s="114">
        <v>1424885</v>
      </c>
      <c r="R54" s="114">
        <v>3070300</v>
      </c>
      <c r="S54" s="114">
        <v>541492</v>
      </c>
      <c r="T54" s="114">
        <v>417717</v>
      </c>
      <c r="U54" s="114">
        <v>393500</v>
      </c>
      <c r="V54" s="114">
        <v>578900</v>
      </c>
      <c r="W54" s="114">
        <v>2584000</v>
      </c>
      <c r="X54" s="114">
        <v>3070300</v>
      </c>
      <c r="Y54" s="114">
        <v>541492</v>
      </c>
      <c r="Z54" s="114">
        <v>444225</v>
      </c>
      <c r="AA54" s="114">
        <v>393500</v>
      </c>
      <c r="AB54" s="114">
        <v>-1176138</v>
      </c>
      <c r="AC54" s="114">
        <v>0</v>
      </c>
      <c r="AD54" s="114">
        <v>27106</v>
      </c>
      <c r="AE54" s="114">
        <v>136</v>
      </c>
      <c r="AF54" s="114">
        <v>110387279</v>
      </c>
      <c r="AG54" s="114">
        <v>144000</v>
      </c>
      <c r="AH54" s="116">
        <v>0</v>
      </c>
      <c r="AI54" s="114">
        <v>7188.5245901639346</v>
      </c>
      <c r="AJ54" s="120">
        <v>0</v>
      </c>
      <c r="AK54" s="82">
        <v>38492961</v>
      </c>
      <c r="AL54" s="83">
        <v>769577</v>
      </c>
      <c r="AM54" s="114">
        <v>0</v>
      </c>
      <c r="AN54" s="114">
        <v>10147477</v>
      </c>
      <c r="AO54" s="114">
        <v>56850</v>
      </c>
      <c r="AP54" s="114">
        <v>561517</v>
      </c>
      <c r="AQ54" s="114">
        <v>15338396</v>
      </c>
      <c r="AR54" s="114">
        <v>5125135</v>
      </c>
      <c r="AS54" s="114">
        <v>1003652</v>
      </c>
      <c r="AT54" s="114">
        <v>6472867</v>
      </c>
      <c r="AU54" s="114">
        <v>0</v>
      </c>
      <c r="AV54" s="114">
        <v>0</v>
      </c>
      <c r="AW54" s="114">
        <v>3726385</v>
      </c>
      <c r="AX54" s="114">
        <v>0</v>
      </c>
      <c r="AY54" s="114">
        <v>0</v>
      </c>
      <c r="AZ54" s="114"/>
      <c r="BA54" s="114"/>
      <c r="BB54" s="114"/>
      <c r="BC54" s="114"/>
      <c r="BD54" s="82">
        <v>2071204.36</v>
      </c>
      <c r="BE54" s="82">
        <v>1056314</v>
      </c>
      <c r="BF54" s="117">
        <v>10102073</v>
      </c>
      <c r="BG54" s="118">
        <v>1558786</v>
      </c>
      <c r="BH54" s="118">
        <v>3056444</v>
      </c>
      <c r="BI54" s="117">
        <v>31930207</v>
      </c>
      <c r="BJ54" s="117">
        <v>31930207</v>
      </c>
      <c r="BK54" s="117">
        <v>43069907</v>
      </c>
      <c r="BL54" s="117">
        <v>28120808</v>
      </c>
      <c r="BM54" s="117">
        <v>0</v>
      </c>
      <c r="BN54" s="117">
        <v>0</v>
      </c>
      <c r="BO54" s="119"/>
      <c r="BP54" s="86">
        <v>326698038.52459013</v>
      </c>
      <c r="BQ54" s="86">
        <v>224769385.52459016</v>
      </c>
      <c r="BR54" s="87">
        <v>479700</v>
      </c>
      <c r="BT54" s="114">
        <v>2291</v>
      </c>
      <c r="BU54" s="114">
        <v>1886</v>
      </c>
      <c r="BV54" s="114">
        <v>195</v>
      </c>
      <c r="BW54" s="114">
        <f t="shared" si="6"/>
        <v>4372</v>
      </c>
      <c r="BX54" s="89">
        <v>199219474</v>
      </c>
      <c r="BY54" s="90">
        <f t="shared" si="1"/>
        <v>38492961</v>
      </c>
      <c r="BZ54" s="90">
        <f t="shared" si="1"/>
        <v>769577</v>
      </c>
      <c r="CA54" s="89">
        <f t="shared" si="2"/>
        <v>26546375</v>
      </c>
      <c r="CB54" s="89">
        <f t="shared" si="3"/>
        <v>265028387</v>
      </c>
    </row>
    <row r="55" spans="1:80" x14ac:dyDescent="0.25">
      <c r="A55" s="91" t="s">
        <v>109</v>
      </c>
      <c r="B55" s="114">
        <v>1160527339</v>
      </c>
      <c r="C55" s="114">
        <v>260488112</v>
      </c>
      <c r="D55" s="114">
        <v>427226552</v>
      </c>
      <c r="E55" s="114">
        <v>0</v>
      </c>
      <c r="F55" s="114">
        <v>115214900</v>
      </c>
      <c r="G55" s="114">
        <v>36364998</v>
      </c>
      <c r="H55" s="114">
        <v>15459900</v>
      </c>
      <c r="I55" s="114">
        <v>3385940</v>
      </c>
      <c r="J55" s="114">
        <v>183600</v>
      </c>
      <c r="K55" s="114">
        <v>72400</v>
      </c>
      <c r="L55" s="114">
        <v>295797203</v>
      </c>
      <c r="M55" s="114">
        <v>155192934</v>
      </c>
      <c r="N55" s="114">
        <v>3772</v>
      </c>
      <c r="O55" s="114">
        <v>1254</v>
      </c>
      <c r="P55" s="114">
        <v>20205004</v>
      </c>
      <c r="Q55" s="114">
        <v>7479105</v>
      </c>
      <c r="R55" s="114">
        <v>16808655</v>
      </c>
      <c r="S55" s="114">
        <v>13362480</v>
      </c>
      <c r="T55" s="114">
        <v>2740950</v>
      </c>
      <c r="U55" s="114">
        <v>7468114</v>
      </c>
      <c r="V55" s="114">
        <v>20205004</v>
      </c>
      <c r="W55" s="114">
        <v>8866230</v>
      </c>
      <c r="X55" s="114">
        <v>16808655</v>
      </c>
      <c r="Y55" s="114">
        <v>13362480</v>
      </c>
      <c r="Z55" s="114">
        <v>5550100</v>
      </c>
      <c r="AA55" s="114">
        <v>7468114</v>
      </c>
      <c r="AB55" s="114">
        <v>-8915630</v>
      </c>
      <c r="AC55" s="114">
        <v>-11601</v>
      </c>
      <c r="AD55" s="114">
        <v>88480</v>
      </c>
      <c r="AE55" s="114">
        <v>7236797</v>
      </c>
      <c r="AF55" s="114">
        <v>16697556</v>
      </c>
      <c r="AG55" s="114">
        <v>326861867</v>
      </c>
      <c r="AH55" s="116">
        <v>13297270.491803279</v>
      </c>
      <c r="AI55" s="114">
        <v>708108.19672131154</v>
      </c>
      <c r="AJ55" s="120">
        <v>37080725</v>
      </c>
      <c r="AK55" s="82">
        <v>329567503</v>
      </c>
      <c r="AL55" s="83">
        <v>9613634</v>
      </c>
      <c r="AM55" s="114">
        <v>0</v>
      </c>
      <c r="AN55" s="114">
        <v>217543292</v>
      </c>
      <c r="AO55" s="114">
        <v>9964410</v>
      </c>
      <c r="AP55" s="114">
        <v>191130612</v>
      </c>
      <c r="AQ55" s="114">
        <v>125999366</v>
      </c>
      <c r="AR55" s="114">
        <v>82737384</v>
      </c>
      <c r="AS55" s="114">
        <v>185953634</v>
      </c>
      <c r="AT55" s="114">
        <v>5943003</v>
      </c>
      <c r="AU55" s="114">
        <v>0</v>
      </c>
      <c r="AV55" s="114">
        <v>2335415</v>
      </c>
      <c r="AW55" s="114">
        <v>4469445</v>
      </c>
      <c r="AX55" s="114">
        <v>3113291</v>
      </c>
      <c r="AY55" s="114">
        <v>3878744</v>
      </c>
      <c r="AZ55" s="114"/>
      <c r="BA55" s="114"/>
      <c r="BB55" s="114"/>
      <c r="BC55" s="114"/>
      <c r="BD55" s="82">
        <v>17733155.129999999</v>
      </c>
      <c r="BE55" s="82">
        <v>9043909</v>
      </c>
      <c r="BF55" s="117">
        <v>1145598</v>
      </c>
      <c r="BG55" s="118">
        <v>10019931</v>
      </c>
      <c r="BH55" s="118">
        <v>19646923</v>
      </c>
      <c r="BI55" s="117">
        <v>67678652</v>
      </c>
      <c r="BJ55" s="117">
        <v>63980760</v>
      </c>
      <c r="BK55" s="117">
        <v>152656523</v>
      </c>
      <c r="BL55" s="117">
        <v>142076445</v>
      </c>
      <c r="BM55" s="117">
        <v>0</v>
      </c>
      <c r="BN55" s="117">
        <v>0</v>
      </c>
      <c r="BO55" s="119"/>
      <c r="BP55" s="86">
        <v>2817137356.6885242</v>
      </c>
      <c r="BQ55" s="86">
        <v>2252835174.6885242</v>
      </c>
      <c r="BR55" s="87">
        <v>5349816</v>
      </c>
      <c r="BT55" s="114">
        <v>22465</v>
      </c>
      <c r="BU55" s="114">
        <v>4707</v>
      </c>
      <c r="BV55" s="114">
        <v>2216</v>
      </c>
      <c r="BW55" s="114">
        <f t="shared" si="6"/>
        <v>29388</v>
      </c>
      <c r="BX55" s="89">
        <v>1848242003</v>
      </c>
      <c r="BY55" s="90">
        <f t="shared" si="1"/>
        <v>329567503</v>
      </c>
      <c r="BZ55" s="90">
        <f t="shared" si="1"/>
        <v>9613634</v>
      </c>
      <c r="CA55" s="89">
        <f t="shared" si="2"/>
        <v>539460702</v>
      </c>
      <c r="CB55" s="89">
        <f t="shared" si="3"/>
        <v>2726883842</v>
      </c>
    </row>
    <row r="56" spans="1:80" x14ac:dyDescent="0.25">
      <c r="A56" s="91" t="s">
        <v>110</v>
      </c>
      <c r="B56" s="122">
        <v>137208031</v>
      </c>
      <c r="C56" s="122">
        <v>72035415</v>
      </c>
      <c r="D56" s="122">
        <v>39463100</v>
      </c>
      <c r="E56" s="122">
        <v>0</v>
      </c>
      <c r="F56" s="122">
        <v>23812200</v>
      </c>
      <c r="G56" s="122">
        <v>19545325</v>
      </c>
      <c r="H56" s="122">
        <v>13826800</v>
      </c>
      <c r="I56" s="122">
        <v>4734550</v>
      </c>
      <c r="J56" s="122">
        <v>66900</v>
      </c>
      <c r="K56" s="122">
        <v>36900</v>
      </c>
      <c r="L56" s="122">
        <v>113122245</v>
      </c>
      <c r="M56" s="122">
        <v>63791540</v>
      </c>
      <c r="N56" s="114">
        <v>1200</v>
      </c>
      <c r="O56" s="114">
        <v>829</v>
      </c>
      <c r="P56" s="122">
        <v>1112500</v>
      </c>
      <c r="Q56" s="122">
        <v>423500</v>
      </c>
      <c r="R56" s="122">
        <v>0</v>
      </c>
      <c r="S56" s="122">
        <v>1139000</v>
      </c>
      <c r="T56" s="122">
        <v>88850</v>
      </c>
      <c r="U56" s="122">
        <v>431250</v>
      </c>
      <c r="V56" s="122">
        <v>1112500</v>
      </c>
      <c r="W56" s="122">
        <v>597500</v>
      </c>
      <c r="X56" s="122">
        <v>0</v>
      </c>
      <c r="Y56" s="122">
        <v>1139000</v>
      </c>
      <c r="Z56" s="122">
        <v>76000</v>
      </c>
      <c r="AA56" s="122">
        <v>431250</v>
      </c>
      <c r="AB56" s="122">
        <v>-2403150</v>
      </c>
      <c r="AC56" s="122">
        <v>-98008</v>
      </c>
      <c r="AD56" s="122">
        <v>75861</v>
      </c>
      <c r="AE56" s="122">
        <v>3118</v>
      </c>
      <c r="AF56" s="122">
        <v>3352251</v>
      </c>
      <c r="AG56" s="122">
        <v>142993</v>
      </c>
      <c r="AH56" s="116">
        <v>0</v>
      </c>
      <c r="AI56" s="122">
        <v>282319.67213114758</v>
      </c>
      <c r="AJ56" s="120">
        <v>0</v>
      </c>
      <c r="AK56" s="82">
        <v>68832966</v>
      </c>
      <c r="AL56" s="83">
        <v>1010913</v>
      </c>
      <c r="AM56" s="122">
        <v>0</v>
      </c>
      <c r="AN56" s="122">
        <v>5548859</v>
      </c>
      <c r="AO56" s="122">
        <v>81776</v>
      </c>
      <c r="AP56" s="122">
        <v>5124944</v>
      </c>
      <c r="AQ56" s="122">
        <v>7425703</v>
      </c>
      <c r="AR56" s="122">
        <v>354972</v>
      </c>
      <c r="AS56" s="122">
        <v>6013</v>
      </c>
      <c r="AT56" s="122">
        <f>616314+879</f>
        <v>617193</v>
      </c>
      <c r="AU56" s="122">
        <v>0</v>
      </c>
      <c r="AV56" s="122">
        <v>0</v>
      </c>
      <c r="AW56" s="122">
        <v>0</v>
      </c>
      <c r="AX56" s="122">
        <v>0</v>
      </c>
      <c r="AY56" s="122">
        <v>10000</v>
      </c>
      <c r="BD56" s="82">
        <v>3703719.73</v>
      </c>
      <c r="BE56" s="82">
        <v>1888897</v>
      </c>
      <c r="BF56" s="117"/>
      <c r="BG56" s="118">
        <v>0</v>
      </c>
      <c r="BH56" s="118">
        <v>0</v>
      </c>
      <c r="BI56" s="117">
        <v>6348935</v>
      </c>
      <c r="BJ56" s="117">
        <v>6348935</v>
      </c>
      <c r="BK56" s="117">
        <v>59357116</v>
      </c>
      <c r="BL56" s="117">
        <v>59272102</v>
      </c>
      <c r="BM56" s="117">
        <v>0</v>
      </c>
      <c r="BN56" s="117">
        <v>0</v>
      </c>
      <c r="BO56" s="123"/>
      <c r="BP56" s="86">
        <v>399399016.67213118</v>
      </c>
      <c r="BQ56" s="86">
        <v>262045203.67213115</v>
      </c>
      <c r="BR56" s="87">
        <v>3908000</v>
      </c>
      <c r="BT56" s="114">
        <v>5331</v>
      </c>
      <c r="BU56" s="114">
        <v>2779</v>
      </c>
      <c r="BV56" s="114">
        <v>323</v>
      </c>
      <c r="BW56" s="114">
        <f t="shared" si="6"/>
        <v>8433</v>
      </c>
      <c r="BX56" s="89">
        <v>248706546</v>
      </c>
      <c r="BY56" s="90">
        <f t="shared" si="1"/>
        <v>68832966</v>
      </c>
      <c r="BZ56" s="90">
        <f t="shared" si="1"/>
        <v>1010913</v>
      </c>
      <c r="CA56" s="89">
        <f t="shared" si="2"/>
        <v>13062351</v>
      </c>
      <c r="CB56" s="89">
        <f t="shared" si="3"/>
        <v>331612776</v>
      </c>
    </row>
    <row r="57" spans="1:80" x14ac:dyDescent="0.25">
      <c r="A57" s="91" t="s">
        <v>111</v>
      </c>
      <c r="B57" s="114">
        <v>39926048134</v>
      </c>
      <c r="C57" s="114">
        <v>140773070</v>
      </c>
      <c r="D57" s="114">
        <v>18247023455</v>
      </c>
      <c r="E57" s="114">
        <v>240522870</v>
      </c>
      <c r="F57" s="114">
        <v>2081045100</v>
      </c>
      <c r="G57" s="114">
        <v>161375620</v>
      </c>
      <c r="H57" s="114">
        <v>6642000</v>
      </c>
      <c r="I57" s="114">
        <v>369000</v>
      </c>
      <c r="J57" s="114">
        <v>4943830</v>
      </c>
      <c r="K57" s="114">
        <v>264180</v>
      </c>
      <c r="L57" s="114">
        <v>532100190</v>
      </c>
      <c r="M57" s="114">
        <v>679884260</v>
      </c>
      <c r="N57" s="114">
        <v>57429</v>
      </c>
      <c r="O57" s="114">
        <v>4602</v>
      </c>
      <c r="P57" s="114">
        <v>338412430</v>
      </c>
      <c r="Q57" s="114">
        <v>3534580</v>
      </c>
      <c r="R57" s="114">
        <v>717316210</v>
      </c>
      <c r="S57" s="114">
        <v>419661819</v>
      </c>
      <c r="T57" s="114">
        <v>26821250</v>
      </c>
      <c r="U57" s="114">
        <v>228581370</v>
      </c>
      <c r="V57" s="114">
        <v>338412430</v>
      </c>
      <c r="W57" s="114">
        <v>13681870</v>
      </c>
      <c r="X57" s="114">
        <v>717316210</v>
      </c>
      <c r="Y57" s="114">
        <v>419661819</v>
      </c>
      <c r="Z57" s="114">
        <v>43622260</v>
      </c>
      <c r="AA57" s="114">
        <v>228581370</v>
      </c>
      <c r="AB57" s="114">
        <v>-167467006</v>
      </c>
      <c r="AC57" s="114">
        <v>27860485</v>
      </c>
      <c r="AD57" s="114">
        <v>0</v>
      </c>
      <c r="AE57" s="114">
        <v>0</v>
      </c>
      <c r="AF57" s="114">
        <v>0</v>
      </c>
      <c r="AG57" s="114">
        <v>0</v>
      </c>
      <c r="AH57" s="116">
        <v>0</v>
      </c>
      <c r="AI57" s="114">
        <v>249163.93442622953</v>
      </c>
      <c r="AJ57" s="120">
        <v>0</v>
      </c>
      <c r="AK57" s="82">
        <f>5039142551+22696975</f>
        <v>5061839526</v>
      </c>
      <c r="AL57" s="83">
        <f>70558823+351924</f>
        <v>70910747</v>
      </c>
      <c r="AM57" s="114">
        <v>4794644</v>
      </c>
      <c r="AN57" s="114">
        <v>2561133598</v>
      </c>
      <c r="AO57" s="114">
        <v>132364453</v>
      </c>
      <c r="AP57" s="114">
        <v>3328277240</v>
      </c>
      <c r="AQ57" s="114">
        <v>2164434751</v>
      </c>
      <c r="AR57" s="114">
        <v>1408348765</v>
      </c>
      <c r="AS57" s="114">
        <v>1831793899</v>
      </c>
      <c r="AT57" s="114">
        <f>5408750+2583190705</f>
        <v>2588599455</v>
      </c>
      <c r="AU57" s="114">
        <v>4377523</v>
      </c>
      <c r="AV57" s="114">
        <v>0</v>
      </c>
      <c r="AW57" s="114">
        <v>60828445</v>
      </c>
      <c r="AX57" s="114">
        <v>23855550</v>
      </c>
      <c r="AY57" s="114">
        <v>119542920</v>
      </c>
      <c r="AZ57" s="114"/>
      <c r="BA57" s="114"/>
      <c r="BB57" s="114"/>
      <c r="BC57" s="114"/>
      <c r="BD57" s="82">
        <v>272364188.62</v>
      </c>
      <c r="BE57" s="82">
        <v>138905736</v>
      </c>
      <c r="BF57" s="117">
        <v>38950259</v>
      </c>
      <c r="BG57" s="118">
        <v>20444233</v>
      </c>
      <c r="BH57" s="118">
        <v>40086731</v>
      </c>
      <c r="BI57" s="117">
        <v>720095551</v>
      </c>
      <c r="BJ57" s="117">
        <v>716465700</v>
      </c>
      <c r="BK57" s="117">
        <v>1518181071</v>
      </c>
      <c r="BL57" s="117">
        <v>1386744100</v>
      </c>
      <c r="BM57" s="117">
        <v>291093494</v>
      </c>
      <c r="BN57" s="117">
        <v>0</v>
      </c>
      <c r="BO57" s="119"/>
      <c r="BP57" s="86">
        <v>70858430160.934418</v>
      </c>
      <c r="BQ57" s="86">
        <v>63172026624.934425</v>
      </c>
      <c r="BR57" s="87">
        <v>142431480</v>
      </c>
      <c r="BT57" s="114">
        <v>269164</v>
      </c>
      <c r="BU57" s="114">
        <v>1269</v>
      </c>
      <c r="BV57" s="114">
        <v>23373</v>
      </c>
      <c r="BW57" s="114">
        <f t="shared" si="6"/>
        <v>293806</v>
      </c>
      <c r="BX57" s="89">
        <v>58313844659</v>
      </c>
      <c r="BY57" s="90">
        <f t="shared" si="1"/>
        <v>5061839526</v>
      </c>
      <c r="BZ57" s="90">
        <f t="shared" si="1"/>
        <v>70910747</v>
      </c>
      <c r="CA57" s="89">
        <f t="shared" si="2"/>
        <v>6689726701</v>
      </c>
      <c r="CB57" s="89">
        <f t="shared" si="3"/>
        <v>70136321633</v>
      </c>
    </row>
    <row r="58" spans="1:80" x14ac:dyDescent="0.25">
      <c r="A58" s="91" t="s">
        <v>112</v>
      </c>
      <c r="B58" s="114">
        <v>2601319081</v>
      </c>
      <c r="C58" s="114">
        <v>248690684</v>
      </c>
      <c r="D58" s="114">
        <v>670716605</v>
      </c>
      <c r="E58" s="114">
        <v>0</v>
      </c>
      <c r="F58" s="114">
        <v>107895269</v>
      </c>
      <c r="G58" s="114">
        <v>16071280</v>
      </c>
      <c r="H58" s="114">
        <v>10761846</v>
      </c>
      <c r="I58" s="114">
        <v>1070089</v>
      </c>
      <c r="J58" s="114">
        <v>73800</v>
      </c>
      <c r="K58" s="114">
        <v>0</v>
      </c>
      <c r="L58" s="114">
        <v>554898428</v>
      </c>
      <c r="M58" s="114">
        <v>187373520</v>
      </c>
      <c r="N58" s="114">
        <v>3256</v>
      </c>
      <c r="O58" s="114">
        <v>485</v>
      </c>
      <c r="P58" s="114">
        <v>63448464</v>
      </c>
      <c r="Q58" s="114">
        <v>6159728</v>
      </c>
      <c r="R58" s="114">
        <v>18529800</v>
      </c>
      <c r="S58" s="114">
        <v>16352259</v>
      </c>
      <c r="T58" s="114">
        <v>1848602</v>
      </c>
      <c r="U58" s="114">
        <v>9997478</v>
      </c>
      <c r="V58" s="114">
        <v>63448464</v>
      </c>
      <c r="W58" s="114">
        <v>7565478</v>
      </c>
      <c r="X58" s="114">
        <v>18529800</v>
      </c>
      <c r="Y58" s="114">
        <v>16352259</v>
      </c>
      <c r="Z58" s="114">
        <v>6819297</v>
      </c>
      <c r="AA58" s="114">
        <v>9997478</v>
      </c>
      <c r="AB58" s="114">
        <v>-4546078</v>
      </c>
      <c r="AC58" s="114">
        <v>86192</v>
      </c>
      <c r="AD58" s="114">
        <v>0</v>
      </c>
      <c r="AE58" s="114">
        <v>0</v>
      </c>
      <c r="AF58" s="114">
        <v>0</v>
      </c>
      <c r="AG58" s="114">
        <v>84207</v>
      </c>
      <c r="AH58" s="116">
        <v>0</v>
      </c>
      <c r="AI58" s="114">
        <v>242704.91803278693</v>
      </c>
      <c r="AJ58" s="120">
        <v>0</v>
      </c>
      <c r="AK58" s="82">
        <v>361562945</v>
      </c>
      <c r="AL58" s="83">
        <v>8945043</v>
      </c>
      <c r="AM58" s="114">
        <v>54200</v>
      </c>
      <c r="AN58" s="114">
        <v>104011228</v>
      </c>
      <c r="AO58" s="114">
        <v>2526429</v>
      </c>
      <c r="AP58" s="114">
        <v>107582402</v>
      </c>
      <c r="AQ58" s="114">
        <v>106734093</v>
      </c>
      <c r="AR58" s="114">
        <v>103559760</v>
      </c>
      <c r="AS58" s="114">
        <v>49148003</v>
      </c>
      <c r="AT58" s="114">
        <f>3110577+428</f>
        <v>3111005</v>
      </c>
      <c r="AU58" s="114">
        <v>0</v>
      </c>
      <c r="AV58" s="114">
        <v>0</v>
      </c>
      <c r="AW58" s="114">
        <v>86357</v>
      </c>
      <c r="AX58" s="114">
        <v>11024</v>
      </c>
      <c r="AY58" s="114">
        <v>18103300</v>
      </c>
      <c r="AZ58" s="114"/>
      <c r="BA58" s="114"/>
      <c r="BB58" s="114"/>
      <c r="BC58" s="114"/>
      <c r="BD58" s="82">
        <v>19454745.190000001</v>
      </c>
      <c r="BE58" s="82">
        <v>9921920</v>
      </c>
      <c r="BF58" s="117"/>
      <c r="BG58" s="118">
        <v>1569222</v>
      </c>
      <c r="BH58" s="118">
        <v>3076905</v>
      </c>
      <c r="BI58" s="117">
        <v>42038341</v>
      </c>
      <c r="BJ58" s="117">
        <v>42038341</v>
      </c>
      <c r="BK58" s="117">
        <v>67155899</v>
      </c>
      <c r="BL58" s="117">
        <v>63277364</v>
      </c>
      <c r="BM58" s="117">
        <v>35803831</v>
      </c>
      <c r="BN58" s="117">
        <v>0</v>
      </c>
      <c r="BO58" s="119"/>
      <c r="BP58" s="86">
        <v>4257359490.9180326</v>
      </c>
      <c r="BQ58" s="86">
        <v>3734240824.9180326</v>
      </c>
      <c r="BR58" s="87">
        <v>2005350</v>
      </c>
      <c r="BT58" s="114">
        <v>17083</v>
      </c>
      <c r="BU58" s="114">
        <v>1907</v>
      </c>
      <c r="BV58" s="114">
        <v>1087</v>
      </c>
      <c r="BW58" s="114">
        <f t="shared" si="6"/>
        <v>20077</v>
      </c>
      <c r="BX58" s="89">
        <v>3520726370</v>
      </c>
      <c r="BY58" s="90">
        <f t="shared" si="1"/>
        <v>361562945</v>
      </c>
      <c r="BZ58" s="90">
        <f t="shared" si="1"/>
        <v>8945043</v>
      </c>
      <c r="CA58" s="89">
        <f t="shared" si="2"/>
        <v>262419753</v>
      </c>
      <c r="CB58" s="89">
        <f t="shared" si="3"/>
        <v>4153654111</v>
      </c>
    </row>
    <row r="59" spans="1:80" x14ac:dyDescent="0.25">
      <c r="A59" s="91" t="s">
        <v>113</v>
      </c>
      <c r="B59" s="122">
        <v>434833542</v>
      </c>
      <c r="C59" s="122">
        <v>98258899</v>
      </c>
      <c r="D59" s="122">
        <v>185853861</v>
      </c>
      <c r="E59" s="122">
        <v>0</v>
      </c>
      <c r="F59" s="122">
        <v>48866700</v>
      </c>
      <c r="G59" s="122">
        <v>36147950</v>
      </c>
      <c r="H59" s="122">
        <v>17250362</v>
      </c>
      <c r="I59" s="122">
        <v>7558331</v>
      </c>
      <c r="J59" s="122">
        <v>73800</v>
      </c>
      <c r="K59" s="122">
        <v>36900</v>
      </c>
      <c r="L59" s="122">
        <v>105858834</v>
      </c>
      <c r="M59" s="122">
        <v>94924625</v>
      </c>
      <c r="N59" s="122">
        <v>1998</v>
      </c>
      <c r="O59" s="122">
        <v>1447</v>
      </c>
      <c r="P59" s="122">
        <v>31600</v>
      </c>
      <c r="Q59" s="122">
        <v>0</v>
      </c>
      <c r="R59" s="122">
        <v>0</v>
      </c>
      <c r="S59" s="122">
        <v>4385675</v>
      </c>
      <c r="T59" s="122">
        <v>940313</v>
      </c>
      <c r="U59" s="122">
        <v>646870</v>
      </c>
      <c r="V59" s="122">
        <v>31600</v>
      </c>
      <c r="W59" s="122">
        <v>0</v>
      </c>
      <c r="X59" s="122">
        <v>0</v>
      </c>
      <c r="Y59" s="122">
        <v>4385675</v>
      </c>
      <c r="Z59" s="122">
        <v>1061600</v>
      </c>
      <c r="AA59" s="122">
        <v>646870</v>
      </c>
      <c r="AB59" s="114">
        <v>-3927175</v>
      </c>
      <c r="AC59" s="114">
        <v>-100000</v>
      </c>
      <c r="AD59" s="122">
        <v>127080</v>
      </c>
      <c r="AE59" s="122">
        <v>2</v>
      </c>
      <c r="AF59" s="122">
        <v>0</v>
      </c>
      <c r="AG59" s="122">
        <v>134029</v>
      </c>
      <c r="AH59" s="116">
        <v>1818696.7213114754</v>
      </c>
      <c r="AI59" s="122">
        <v>5065229.5081967209</v>
      </c>
      <c r="AJ59" s="120">
        <v>18538959.016393442</v>
      </c>
      <c r="AK59" s="82">
        <v>159046615</v>
      </c>
      <c r="AL59" s="83">
        <v>4902037</v>
      </c>
      <c r="AM59" s="122">
        <v>1784627</v>
      </c>
      <c r="AN59" s="122">
        <v>57932273</v>
      </c>
      <c r="AO59" s="122">
        <v>1346135</v>
      </c>
      <c r="AP59" s="122">
        <v>2692201</v>
      </c>
      <c r="AQ59" s="122">
        <v>26969422</v>
      </c>
      <c r="AR59" s="122">
        <v>9993968</v>
      </c>
      <c r="AS59" s="122">
        <v>563437</v>
      </c>
      <c r="AT59" s="122">
        <v>0</v>
      </c>
      <c r="AU59" s="122">
        <v>0</v>
      </c>
      <c r="AV59" s="122">
        <v>0</v>
      </c>
      <c r="AW59" s="122">
        <v>0</v>
      </c>
      <c r="AX59" s="122">
        <v>15320</v>
      </c>
      <c r="AY59" s="122">
        <v>75661</v>
      </c>
      <c r="BD59" s="82">
        <v>8557877.4299999997</v>
      </c>
      <c r="BE59" s="82">
        <v>4364517</v>
      </c>
      <c r="BF59" s="117"/>
      <c r="BG59" s="118">
        <v>2650589</v>
      </c>
      <c r="BH59" s="118">
        <v>5197233</v>
      </c>
      <c r="BI59" s="117">
        <v>69829405</v>
      </c>
      <c r="BJ59" s="117">
        <v>69829405</v>
      </c>
      <c r="BK59" s="117">
        <v>118377087</v>
      </c>
      <c r="BL59" s="117">
        <v>116560168</v>
      </c>
      <c r="BM59" s="117">
        <v>0</v>
      </c>
      <c r="BN59" s="117">
        <v>0</v>
      </c>
      <c r="BO59" s="123"/>
      <c r="BP59" s="86">
        <v>1187970348.2459016</v>
      </c>
      <c r="BQ59" s="86">
        <v>830617017.24590158</v>
      </c>
      <c r="BR59" s="87">
        <v>9373195</v>
      </c>
      <c r="BT59" s="122">
        <v>9883</v>
      </c>
      <c r="BU59" s="122">
        <v>3154</v>
      </c>
      <c r="BV59" s="122">
        <v>714</v>
      </c>
      <c r="BW59" s="114">
        <f t="shared" si="6"/>
        <v>13751</v>
      </c>
      <c r="BX59" s="89">
        <v>718946302</v>
      </c>
      <c r="BY59" s="90">
        <f t="shared" si="1"/>
        <v>159046615</v>
      </c>
      <c r="BZ59" s="90">
        <f t="shared" si="1"/>
        <v>4902037</v>
      </c>
      <c r="CA59" s="89">
        <f t="shared" si="2"/>
        <v>86811267</v>
      </c>
      <c r="CB59" s="89">
        <f t="shared" si="3"/>
        <v>969706221</v>
      </c>
    </row>
    <row r="60" spans="1:80" x14ac:dyDescent="0.25">
      <c r="A60" s="91" t="s">
        <v>114</v>
      </c>
      <c r="B60" s="114">
        <v>7576391483</v>
      </c>
      <c r="C60" s="114">
        <v>117735430</v>
      </c>
      <c r="D60" s="114">
        <v>2510817937</v>
      </c>
      <c r="E60" s="114">
        <v>1290000</v>
      </c>
      <c r="F60" s="114">
        <v>398629500</v>
      </c>
      <c r="G60" s="114">
        <v>32090250</v>
      </c>
      <c r="H60" s="114">
        <v>7424500</v>
      </c>
      <c r="I60" s="114">
        <v>479700</v>
      </c>
      <c r="J60" s="114">
        <v>1070100</v>
      </c>
      <c r="K60" s="114">
        <v>110700</v>
      </c>
      <c r="L60" s="114">
        <v>221893170</v>
      </c>
      <c r="M60" s="114">
        <v>339628600</v>
      </c>
      <c r="N60" s="114">
        <v>11129</v>
      </c>
      <c r="O60" s="114">
        <v>913</v>
      </c>
      <c r="P60" s="114">
        <v>88796300</v>
      </c>
      <c r="Q60" s="114">
        <v>3100900</v>
      </c>
      <c r="R60" s="114">
        <v>41811300</v>
      </c>
      <c r="S60" s="114">
        <v>45314700</v>
      </c>
      <c r="T60" s="114">
        <v>2018700</v>
      </c>
      <c r="U60" s="114">
        <v>35581627</v>
      </c>
      <c r="V60" s="114">
        <v>88796300</v>
      </c>
      <c r="W60" s="114">
        <v>3100900</v>
      </c>
      <c r="X60" s="114">
        <v>41811300</v>
      </c>
      <c r="Y60" s="114">
        <v>45314700</v>
      </c>
      <c r="Z60" s="114">
        <v>3018700</v>
      </c>
      <c r="AA60" s="114">
        <v>35581627</v>
      </c>
      <c r="AB60" s="114">
        <v>-11781000</v>
      </c>
      <c r="AC60" s="114">
        <v>-21994905</v>
      </c>
      <c r="AD60" s="114">
        <v>69075</v>
      </c>
      <c r="AE60" s="114">
        <v>0</v>
      </c>
      <c r="AF60" s="114">
        <v>0</v>
      </c>
      <c r="AG60" s="114">
        <v>41850</v>
      </c>
      <c r="AH60" s="116">
        <v>0</v>
      </c>
      <c r="AI60" s="114">
        <v>0</v>
      </c>
      <c r="AJ60" s="120">
        <v>0</v>
      </c>
      <c r="AK60" s="82">
        <f>764447017+109049+21532189+88753192+108926443+51366340</f>
        <v>1035134230</v>
      </c>
      <c r="AL60" s="83">
        <f>13895982+5100+438227+1537690+1566508+824179</f>
        <v>18267686</v>
      </c>
      <c r="AM60" s="114">
        <v>0</v>
      </c>
      <c r="AN60" s="114">
        <v>277140510</v>
      </c>
      <c r="AO60" s="114">
        <v>8330675</v>
      </c>
      <c r="AP60" s="114">
        <v>351134585</v>
      </c>
      <c r="AQ60" s="114">
        <v>246838134</v>
      </c>
      <c r="AR60" s="114">
        <v>259313749</v>
      </c>
      <c r="AS60" s="114">
        <v>206343306</v>
      </c>
      <c r="AT60" s="114">
        <f>239784+2444</f>
        <v>242228</v>
      </c>
      <c r="AU60" s="114">
        <v>0</v>
      </c>
      <c r="AV60" s="114">
        <v>0</v>
      </c>
      <c r="AW60" s="114">
        <v>19642</v>
      </c>
      <c r="AX60" s="114">
        <v>307814</v>
      </c>
      <c r="AY60" s="114">
        <v>0</v>
      </c>
      <c r="AZ60" s="114"/>
      <c r="BA60" s="114"/>
      <c r="BB60" s="114"/>
      <c r="BC60" s="114"/>
      <c r="BD60" s="82">
        <v>55697833.409999996</v>
      </c>
      <c r="BE60" s="82">
        <v>28405895</v>
      </c>
      <c r="BF60" s="117">
        <v>11143523</v>
      </c>
      <c r="BG60" s="118">
        <v>13319470</v>
      </c>
      <c r="BH60" s="118">
        <v>26116609</v>
      </c>
      <c r="BI60" s="117">
        <v>170195265</v>
      </c>
      <c r="BJ60" s="117">
        <v>170195265</v>
      </c>
      <c r="BK60" s="117">
        <v>252951654</v>
      </c>
      <c r="BL60" s="117">
        <v>242539334</v>
      </c>
      <c r="BM60" s="117">
        <v>0</v>
      </c>
      <c r="BN60" s="117">
        <v>0</v>
      </c>
      <c r="BO60" s="119"/>
      <c r="BP60" s="86">
        <v>12245116049</v>
      </c>
      <c r="BQ60" s="86">
        <v>10737254169</v>
      </c>
      <c r="BR60" s="87">
        <v>9526600</v>
      </c>
      <c r="BT60" s="114">
        <v>58568</v>
      </c>
      <c r="BU60" s="114">
        <v>1024</v>
      </c>
      <c r="BV60" s="114">
        <v>4483</v>
      </c>
      <c r="BW60" s="114">
        <f t="shared" si="6"/>
        <v>64075</v>
      </c>
      <c r="BX60" s="89">
        <v>10204944850</v>
      </c>
      <c r="BY60" s="90">
        <f t="shared" si="1"/>
        <v>1035134230</v>
      </c>
      <c r="BZ60" s="90">
        <f t="shared" si="1"/>
        <v>18267686</v>
      </c>
      <c r="CA60" s="89">
        <f t="shared" si="2"/>
        <v>738652625</v>
      </c>
      <c r="CB60" s="89">
        <f t="shared" si="3"/>
        <v>11996999391</v>
      </c>
    </row>
    <row r="61" spans="1:80" x14ac:dyDescent="0.25">
      <c r="A61" s="91" t="s">
        <v>115</v>
      </c>
      <c r="B61" s="114">
        <v>163592209</v>
      </c>
      <c r="C61" s="114">
        <v>51841911</v>
      </c>
      <c r="D61" s="114">
        <v>78366313</v>
      </c>
      <c r="E61" s="114">
        <v>0</v>
      </c>
      <c r="F61" s="114">
        <v>40502241</v>
      </c>
      <c r="G61" s="114">
        <v>32281050</v>
      </c>
      <c r="H61" s="114">
        <v>16153104</v>
      </c>
      <c r="I61" s="114">
        <v>6710300</v>
      </c>
      <c r="J61" s="114">
        <v>147600</v>
      </c>
      <c r="K61" s="114">
        <v>36900</v>
      </c>
      <c r="L61" s="114">
        <v>66735713</v>
      </c>
      <c r="M61" s="114">
        <v>61409275</v>
      </c>
      <c r="N61" s="114">
        <v>1563</v>
      </c>
      <c r="O61" s="114">
        <v>1083</v>
      </c>
      <c r="P61" s="114">
        <v>17514300</v>
      </c>
      <c r="Q61" s="114">
        <v>3657583</v>
      </c>
      <c r="R61" s="114">
        <v>11609808</v>
      </c>
      <c r="S61" s="114">
        <v>16573800</v>
      </c>
      <c r="T61" s="114">
        <v>2201733</v>
      </c>
      <c r="U61" s="114">
        <v>13117893</v>
      </c>
      <c r="V61" s="114">
        <v>17514300</v>
      </c>
      <c r="W61" s="114">
        <v>5786048</v>
      </c>
      <c r="X61" s="114">
        <v>11609808</v>
      </c>
      <c r="Y61" s="114">
        <v>16573800</v>
      </c>
      <c r="Z61" s="114">
        <v>1978400</v>
      </c>
      <c r="AA61" s="114">
        <v>13117893</v>
      </c>
      <c r="AB61" s="114">
        <v>-11014678</v>
      </c>
      <c r="AC61" s="114">
        <v>0</v>
      </c>
      <c r="AD61" s="114">
        <v>186283</v>
      </c>
      <c r="AE61" s="114">
        <v>0</v>
      </c>
      <c r="AF61" s="114">
        <v>0</v>
      </c>
      <c r="AG61" s="114">
        <v>120366</v>
      </c>
      <c r="AH61" s="116">
        <v>8852450.8196721319</v>
      </c>
      <c r="AI61" s="114">
        <v>151929339.3442623</v>
      </c>
      <c r="AJ61" s="120">
        <v>275942072</v>
      </c>
      <c r="AK61" s="82">
        <v>97982962</v>
      </c>
      <c r="AL61" s="83">
        <v>1746506</v>
      </c>
      <c r="AM61" s="114">
        <v>90000</v>
      </c>
      <c r="AN61" s="114">
        <v>39273610</v>
      </c>
      <c r="AO61" s="114">
        <v>143521</v>
      </c>
      <c r="AP61" s="114">
        <v>8825502</v>
      </c>
      <c r="AQ61" s="114">
        <v>3453048</v>
      </c>
      <c r="AR61" s="114">
        <v>463403</v>
      </c>
      <c r="AS61" s="114">
        <v>0</v>
      </c>
      <c r="AT61" s="114">
        <v>0</v>
      </c>
      <c r="AU61" s="114">
        <v>0</v>
      </c>
      <c r="AV61" s="114">
        <v>0</v>
      </c>
      <c r="AW61" s="114">
        <v>0</v>
      </c>
      <c r="AX61" s="114">
        <v>0</v>
      </c>
      <c r="AY61" s="114">
        <v>0</v>
      </c>
      <c r="AZ61" s="114"/>
      <c r="BA61" s="114"/>
      <c r="BB61" s="114"/>
      <c r="BC61" s="114"/>
      <c r="BD61" s="82">
        <v>5272203.87</v>
      </c>
      <c r="BE61" s="82">
        <v>2688824</v>
      </c>
      <c r="BF61" s="117"/>
      <c r="BG61" s="118">
        <v>1187026</v>
      </c>
      <c r="BH61" s="118">
        <v>2327501</v>
      </c>
      <c r="BI61" s="117">
        <v>25870229</v>
      </c>
      <c r="BJ61" s="117">
        <v>25870229</v>
      </c>
      <c r="BK61" s="117">
        <v>138846019</v>
      </c>
      <c r="BL61" s="117">
        <v>138132223</v>
      </c>
      <c r="BM61" s="117">
        <v>0</v>
      </c>
      <c r="BN61" s="117">
        <v>0</v>
      </c>
      <c r="BO61" s="119"/>
      <c r="BP61" s="86">
        <v>1041002244.1639345</v>
      </c>
      <c r="BQ61" s="86">
        <v>773394474.16393447</v>
      </c>
      <c r="BR61" s="87">
        <v>2290650</v>
      </c>
      <c r="BT61" s="114">
        <v>7316</v>
      </c>
      <c r="BU61" s="114">
        <v>3148</v>
      </c>
      <c r="BV61" s="114">
        <v>945</v>
      </c>
      <c r="BW61" s="114">
        <f t="shared" si="6"/>
        <v>11409</v>
      </c>
      <c r="BX61" s="89">
        <v>293800433</v>
      </c>
      <c r="BY61" s="90">
        <f t="shared" si="1"/>
        <v>97982962</v>
      </c>
      <c r="BZ61" s="90">
        <f t="shared" si="1"/>
        <v>1746506</v>
      </c>
      <c r="CA61" s="89">
        <f t="shared" si="2"/>
        <v>42870179</v>
      </c>
      <c r="CB61" s="89">
        <f t="shared" si="3"/>
        <v>436400080</v>
      </c>
    </row>
    <row r="62" spans="1:80" x14ac:dyDescent="0.25">
      <c r="A62" s="91" t="s">
        <v>116</v>
      </c>
      <c r="B62" s="114">
        <v>510191932</v>
      </c>
      <c r="C62" s="114">
        <v>91610062</v>
      </c>
      <c r="D62" s="114">
        <v>229263385</v>
      </c>
      <c r="E62" s="114">
        <v>0</v>
      </c>
      <c r="F62" s="114">
        <v>77519229</v>
      </c>
      <c r="G62" s="114">
        <v>29591037</v>
      </c>
      <c r="H62" s="114">
        <v>17126808</v>
      </c>
      <c r="I62" s="114">
        <v>4080769</v>
      </c>
      <c r="J62" s="114">
        <v>295200</v>
      </c>
      <c r="K62" s="114">
        <v>147600</v>
      </c>
      <c r="L62" s="114">
        <v>156975442</v>
      </c>
      <c r="M62" s="114">
        <v>79953250</v>
      </c>
      <c r="N62" s="114">
        <v>3044</v>
      </c>
      <c r="O62" s="114">
        <v>1269</v>
      </c>
      <c r="P62" s="114">
        <v>11589443</v>
      </c>
      <c r="Q62" s="114">
        <v>1044459</v>
      </c>
      <c r="R62" s="114">
        <v>5424900</v>
      </c>
      <c r="S62" s="114">
        <v>5231631</v>
      </c>
      <c r="T62" s="114">
        <v>670675</v>
      </c>
      <c r="U62" s="114">
        <v>1058691</v>
      </c>
      <c r="V62" s="114">
        <v>11589443</v>
      </c>
      <c r="W62" s="114">
        <v>1469200</v>
      </c>
      <c r="X62" s="114">
        <v>5424900</v>
      </c>
      <c r="Y62" s="114">
        <v>5231631</v>
      </c>
      <c r="Z62" s="114">
        <v>693750</v>
      </c>
      <c r="AA62" s="114">
        <v>1058691</v>
      </c>
      <c r="AB62" s="114">
        <v>-3881101</v>
      </c>
      <c r="AC62" s="114">
        <v>386770</v>
      </c>
      <c r="AD62" s="114">
        <v>0</v>
      </c>
      <c r="AE62" s="114">
        <v>0</v>
      </c>
      <c r="AF62" s="114">
        <v>0</v>
      </c>
      <c r="AG62" s="114">
        <v>0</v>
      </c>
      <c r="AH62" s="116">
        <v>11710213.114754098</v>
      </c>
      <c r="AI62" s="114">
        <v>18358214.754098363</v>
      </c>
      <c r="AJ62" s="120">
        <v>4188040.9836065574</v>
      </c>
      <c r="AK62" s="82">
        <f>151805988+2394429+9681950</f>
        <v>163882367</v>
      </c>
      <c r="AL62" s="83">
        <f>3520858+33005+46679</f>
        <v>3600542</v>
      </c>
      <c r="AM62" s="114">
        <v>0</v>
      </c>
      <c r="AN62" s="114">
        <v>40614364</v>
      </c>
      <c r="AO62" s="114">
        <v>1026463</v>
      </c>
      <c r="AP62" s="114">
        <v>32207947</v>
      </c>
      <c r="AQ62" s="114">
        <v>30501043</v>
      </c>
      <c r="AR62" s="114">
        <v>43517838</v>
      </c>
      <c r="AS62" s="114">
        <v>7879498</v>
      </c>
      <c r="AT62" s="114">
        <v>407461</v>
      </c>
      <c r="AU62" s="114">
        <v>0</v>
      </c>
      <c r="AV62" s="114">
        <v>0</v>
      </c>
      <c r="AW62" s="114">
        <v>0</v>
      </c>
      <c r="AX62" s="114">
        <v>241900</v>
      </c>
      <c r="AY62" s="114">
        <v>4500</v>
      </c>
      <c r="AZ62" s="114"/>
      <c r="BA62" s="114"/>
      <c r="BB62" s="114"/>
      <c r="BC62" s="114"/>
      <c r="BD62" s="82">
        <v>8818076.4499999993</v>
      </c>
      <c r="BE62" s="82">
        <v>4497219</v>
      </c>
      <c r="BF62" s="117"/>
      <c r="BG62" s="118">
        <v>2947345</v>
      </c>
      <c r="BH62" s="118">
        <v>5779109</v>
      </c>
      <c r="BI62" s="117">
        <v>24948209</v>
      </c>
      <c r="BJ62" s="117">
        <v>24948209</v>
      </c>
      <c r="BK62" s="117">
        <v>62277588</v>
      </c>
      <c r="BL62" s="117">
        <v>58878833</v>
      </c>
      <c r="BM62" s="117">
        <v>0</v>
      </c>
      <c r="BN62" s="117">
        <v>0</v>
      </c>
      <c r="BO62" s="119"/>
      <c r="BP62" s="86">
        <v>1196218232.852459</v>
      </c>
      <c r="BQ62" s="86">
        <v>937463717.85245907</v>
      </c>
      <c r="BR62" s="87">
        <v>505090</v>
      </c>
      <c r="BT62" s="114">
        <v>14094</v>
      </c>
      <c r="BU62" s="114">
        <v>3603</v>
      </c>
      <c r="BV62" s="114">
        <v>748</v>
      </c>
      <c r="BW62" s="114">
        <f t="shared" si="6"/>
        <v>18445</v>
      </c>
      <c r="BX62" s="89">
        <v>831065379</v>
      </c>
      <c r="BY62" s="90">
        <f t="shared" si="1"/>
        <v>163882367</v>
      </c>
      <c r="BZ62" s="90">
        <f t="shared" si="1"/>
        <v>3600542</v>
      </c>
      <c r="CA62" s="89">
        <f t="shared" si="2"/>
        <v>80021368</v>
      </c>
      <c r="CB62" s="89">
        <f t="shared" si="3"/>
        <v>1078569656</v>
      </c>
    </row>
    <row r="63" spans="1:80" x14ac:dyDescent="0.25">
      <c r="A63" s="91" t="s">
        <v>117</v>
      </c>
      <c r="B63" s="114">
        <v>334666356</v>
      </c>
      <c r="C63" s="114">
        <v>150947192</v>
      </c>
      <c r="D63" s="114">
        <v>75676602</v>
      </c>
      <c r="E63" s="114">
        <v>0</v>
      </c>
      <c r="F63" s="114">
        <v>37792000</v>
      </c>
      <c r="G63" s="114">
        <v>8775500</v>
      </c>
      <c r="H63" s="114">
        <v>14565540</v>
      </c>
      <c r="I63" s="114">
        <v>1451650</v>
      </c>
      <c r="J63" s="114">
        <v>214500</v>
      </c>
      <c r="K63" s="114">
        <v>36900</v>
      </c>
      <c r="L63" s="114">
        <v>271558731</v>
      </c>
      <c r="M63" s="114">
        <v>112059412</v>
      </c>
      <c r="N63" s="114">
        <v>1463</v>
      </c>
      <c r="O63" s="114">
        <v>303</v>
      </c>
      <c r="P63" s="114">
        <v>5554832</v>
      </c>
      <c r="Q63" s="114">
        <v>4407853</v>
      </c>
      <c r="R63" s="114">
        <v>1498138</v>
      </c>
      <c r="S63" s="114">
        <v>2702873</v>
      </c>
      <c r="T63" s="114">
        <v>1654029</v>
      </c>
      <c r="U63" s="114">
        <v>9832814</v>
      </c>
      <c r="V63" s="114">
        <v>5554832</v>
      </c>
      <c r="W63" s="114">
        <v>6251377</v>
      </c>
      <c r="X63" s="114">
        <v>1498138</v>
      </c>
      <c r="Y63" s="114">
        <v>2702873</v>
      </c>
      <c r="Z63" s="114">
        <v>2758392</v>
      </c>
      <c r="AA63" s="114">
        <v>9832814</v>
      </c>
      <c r="AB63" s="114">
        <v>-903162</v>
      </c>
      <c r="AC63" s="114">
        <v>0</v>
      </c>
      <c r="AD63" s="114">
        <v>53135</v>
      </c>
      <c r="AE63" s="114">
        <v>0</v>
      </c>
      <c r="AF63" s="114">
        <v>0</v>
      </c>
      <c r="AG63" s="114">
        <v>152465</v>
      </c>
      <c r="AH63" s="116">
        <v>0</v>
      </c>
      <c r="AI63" s="114">
        <v>0</v>
      </c>
      <c r="AJ63" s="120">
        <v>0</v>
      </c>
      <c r="AK63" s="82">
        <v>90149622</v>
      </c>
      <c r="AL63" s="83">
        <v>2315514</v>
      </c>
      <c r="AM63" s="114">
        <v>0</v>
      </c>
      <c r="AN63" s="114">
        <v>10265296</v>
      </c>
      <c r="AO63" s="114">
        <v>254024</v>
      </c>
      <c r="AP63" s="114">
        <v>15175916</v>
      </c>
      <c r="AQ63" s="114">
        <v>13796001</v>
      </c>
      <c r="AR63" s="114">
        <v>13468846</v>
      </c>
      <c r="AS63" s="114">
        <v>2090517</v>
      </c>
      <c r="AT63" s="114">
        <v>4488275</v>
      </c>
      <c r="AU63" s="114">
        <v>0</v>
      </c>
      <c r="AV63" s="114">
        <v>206991</v>
      </c>
      <c r="AW63" s="114">
        <v>0</v>
      </c>
      <c r="AX63" s="114">
        <v>2272</v>
      </c>
      <c r="AY63" s="114">
        <v>31900</v>
      </c>
      <c r="AZ63" s="114"/>
      <c r="BA63" s="114"/>
      <c r="BB63" s="114"/>
      <c r="BC63" s="114"/>
      <c r="BD63" s="82">
        <v>4850712.58</v>
      </c>
      <c r="BE63" s="82">
        <v>2473863</v>
      </c>
      <c r="BF63" s="117"/>
      <c r="BG63" s="118">
        <v>79570</v>
      </c>
      <c r="BH63" s="118">
        <v>156019</v>
      </c>
      <c r="BI63" s="117">
        <v>11983103</v>
      </c>
      <c r="BJ63" s="117">
        <v>11983103</v>
      </c>
      <c r="BK63" s="117">
        <v>52829310</v>
      </c>
      <c r="BL63" s="117">
        <v>52802648</v>
      </c>
      <c r="BM63" s="117">
        <v>0</v>
      </c>
      <c r="BN63" s="117">
        <v>0</v>
      </c>
      <c r="BO63" s="119"/>
      <c r="BP63" s="86">
        <v>745409791</v>
      </c>
      <c r="BQ63" s="86">
        <v>585605471</v>
      </c>
      <c r="BR63" s="87">
        <v>2182371</v>
      </c>
      <c r="BT63" s="114">
        <v>5374</v>
      </c>
      <c r="BU63" s="114">
        <v>2454</v>
      </c>
      <c r="BV63" s="114">
        <v>350</v>
      </c>
      <c r="BW63" s="114">
        <f t="shared" si="6"/>
        <v>8178</v>
      </c>
      <c r="BX63" s="89">
        <v>561290150</v>
      </c>
      <c r="BY63" s="90">
        <f t="shared" si="1"/>
        <v>90149622</v>
      </c>
      <c r="BZ63" s="90">
        <f t="shared" si="1"/>
        <v>2315514</v>
      </c>
      <c r="CA63" s="89">
        <f t="shared" si="2"/>
        <v>26405838</v>
      </c>
      <c r="CB63" s="89">
        <f t="shared" si="3"/>
        <v>680161124</v>
      </c>
    </row>
    <row r="64" spans="1:80" x14ac:dyDescent="0.25">
      <c r="A64" s="91" t="s">
        <v>118</v>
      </c>
      <c r="B64" s="114">
        <v>1429759922</v>
      </c>
      <c r="C64" s="114">
        <v>194764938</v>
      </c>
      <c r="D64" s="114">
        <v>716177838</v>
      </c>
      <c r="E64" s="114">
        <v>41011705</v>
      </c>
      <c r="F64" s="114">
        <v>147990103</v>
      </c>
      <c r="G64" s="114">
        <v>49826615</v>
      </c>
      <c r="H64" s="114">
        <v>29034141</v>
      </c>
      <c r="I64" s="114">
        <v>5626341</v>
      </c>
      <c r="J64" s="114">
        <v>295200</v>
      </c>
      <c r="K64" s="114">
        <v>73400</v>
      </c>
      <c r="L64" s="114">
        <v>416010489</v>
      </c>
      <c r="M64" s="114">
        <v>178023000</v>
      </c>
      <c r="N64" s="114">
        <v>5173</v>
      </c>
      <c r="O64" s="114">
        <v>1783</v>
      </c>
      <c r="P64" s="114">
        <v>8335600</v>
      </c>
      <c r="Q64" s="114">
        <v>3807600</v>
      </c>
      <c r="R64" s="114">
        <v>2248600</v>
      </c>
      <c r="S64" s="114">
        <v>8149000</v>
      </c>
      <c r="T64" s="114">
        <v>960900</v>
      </c>
      <c r="U64" s="114">
        <v>3776500</v>
      </c>
      <c r="V64" s="114">
        <v>8335600</v>
      </c>
      <c r="W64" s="114">
        <v>4515500</v>
      </c>
      <c r="X64" s="114">
        <v>2248600</v>
      </c>
      <c r="Y64" s="114">
        <v>8149000</v>
      </c>
      <c r="Z64" s="114">
        <v>1249200</v>
      </c>
      <c r="AA64" s="114">
        <v>3776500</v>
      </c>
      <c r="AB64" s="114">
        <v>-11733950</v>
      </c>
      <c r="AC64" s="114">
        <v>276400</v>
      </c>
      <c r="AD64" s="114">
        <v>85017</v>
      </c>
      <c r="AE64" s="114">
        <v>0</v>
      </c>
      <c r="AF64" s="114">
        <v>0</v>
      </c>
      <c r="AG64" s="114">
        <v>161135</v>
      </c>
      <c r="AH64" s="116">
        <v>174286.88524590165</v>
      </c>
      <c r="AI64" s="114">
        <v>38050.819672131147</v>
      </c>
      <c r="AJ64" s="120">
        <v>2565.5737704918033</v>
      </c>
      <c r="AK64" s="82">
        <v>389911299</v>
      </c>
      <c r="AL64" s="83">
        <f>16241656+30266</f>
        <v>16271922</v>
      </c>
      <c r="AM64" s="114">
        <v>1663445</v>
      </c>
      <c r="AN64" s="114">
        <v>137374697</v>
      </c>
      <c r="AO64" s="114">
        <v>30984118</v>
      </c>
      <c r="AP64" s="114">
        <v>193661971</v>
      </c>
      <c r="AQ64" s="114">
        <v>133375361</v>
      </c>
      <c r="AR64" s="114">
        <v>91324001</v>
      </c>
      <c r="AS64" s="114">
        <v>32795215</v>
      </c>
      <c r="AT64" s="114">
        <v>3056869</v>
      </c>
      <c r="AU64" s="114">
        <v>0</v>
      </c>
      <c r="AV64" s="114">
        <v>33544</v>
      </c>
      <c r="AW64" s="114">
        <v>13521625</v>
      </c>
      <c r="AX64" s="114">
        <v>1187130</v>
      </c>
      <c r="AY64" s="114">
        <v>6209910</v>
      </c>
      <c r="AZ64" s="114"/>
      <c r="BA64" s="114"/>
      <c r="BB64" s="114"/>
      <c r="BC64" s="114"/>
      <c r="BD64" s="82">
        <v>20980095.09</v>
      </c>
      <c r="BE64" s="82">
        <v>10699848</v>
      </c>
      <c r="BF64" s="117"/>
      <c r="BG64" s="118">
        <v>2456230</v>
      </c>
      <c r="BH64" s="118">
        <v>4816137</v>
      </c>
      <c r="BI64" s="117">
        <v>27897228</v>
      </c>
      <c r="BJ64" s="117">
        <v>27897228</v>
      </c>
      <c r="BK64" s="117">
        <v>122695838</v>
      </c>
      <c r="BL64" s="117">
        <v>116027113</v>
      </c>
      <c r="BM64" s="117">
        <v>0</v>
      </c>
      <c r="BN64" s="117">
        <v>0</v>
      </c>
      <c r="BO64" s="119"/>
      <c r="BP64" s="86">
        <v>3205915417.2786884</v>
      </c>
      <c r="BQ64" s="86">
        <v>2642651777.2786884</v>
      </c>
      <c r="BR64" s="87">
        <v>2837532</v>
      </c>
      <c r="BT64" s="114">
        <v>25653</v>
      </c>
      <c r="BU64" s="114">
        <v>4095</v>
      </c>
      <c r="BV64" s="114">
        <v>1933</v>
      </c>
      <c r="BW64" s="114">
        <f t="shared" si="6"/>
        <v>31681</v>
      </c>
      <c r="BX64" s="89">
        <v>2340702698</v>
      </c>
      <c r="BY64" s="90">
        <f t="shared" si="1"/>
        <v>389911299</v>
      </c>
      <c r="BZ64" s="90">
        <f t="shared" si="1"/>
        <v>16271922</v>
      </c>
      <c r="CA64" s="89">
        <f t="shared" si="2"/>
        <v>334529391</v>
      </c>
      <c r="CB64" s="89">
        <f t="shared" si="3"/>
        <v>3081415310</v>
      </c>
    </row>
    <row r="65" spans="1:80" ht="12" customHeight="1" x14ac:dyDescent="0.25">
      <c r="A65" s="91" t="s">
        <v>119</v>
      </c>
      <c r="B65" s="114">
        <v>247313047</v>
      </c>
      <c r="C65" s="114">
        <v>102477079</v>
      </c>
      <c r="D65" s="114">
        <v>97860204</v>
      </c>
      <c r="E65" s="114">
        <v>0</v>
      </c>
      <c r="F65" s="114">
        <v>29702515</v>
      </c>
      <c r="G65" s="114">
        <v>17872950</v>
      </c>
      <c r="H65" s="114">
        <v>16190705</v>
      </c>
      <c r="I65" s="114">
        <v>6265800</v>
      </c>
      <c r="J65" s="114">
        <v>295200</v>
      </c>
      <c r="K65" s="114">
        <v>0</v>
      </c>
      <c r="L65" s="114">
        <v>115612061</v>
      </c>
      <c r="M65" s="114">
        <v>79846350</v>
      </c>
      <c r="N65" s="114">
        <v>1439</v>
      </c>
      <c r="O65" s="114">
        <v>809</v>
      </c>
      <c r="P65" s="114">
        <v>11163050</v>
      </c>
      <c r="Q65" s="114">
        <v>7390750</v>
      </c>
      <c r="R65" s="114">
        <v>1052000</v>
      </c>
      <c r="S65" s="114">
        <v>8137750</v>
      </c>
      <c r="T65" s="114">
        <v>6457825</v>
      </c>
      <c r="U65" s="114">
        <v>510000</v>
      </c>
      <c r="V65" s="114">
        <v>11163050</v>
      </c>
      <c r="W65" s="114">
        <v>13221500</v>
      </c>
      <c r="X65" s="114">
        <v>1052000</v>
      </c>
      <c r="Y65" s="114">
        <v>8137750</v>
      </c>
      <c r="Z65" s="114">
        <v>12241600</v>
      </c>
      <c r="AA65" s="114">
        <v>510000</v>
      </c>
      <c r="AB65" s="114">
        <v>-4309734</v>
      </c>
      <c r="AC65" s="114">
        <v>4813</v>
      </c>
      <c r="AD65" s="114">
        <v>191174</v>
      </c>
      <c r="AE65" s="114">
        <v>0</v>
      </c>
      <c r="AF65" s="114">
        <v>0</v>
      </c>
      <c r="AG65" s="114">
        <v>222625</v>
      </c>
      <c r="AH65" s="116">
        <v>91080295.08196722</v>
      </c>
      <c r="AI65" s="114">
        <v>13244968.032786887</v>
      </c>
      <c r="AJ65" s="120">
        <v>10571580</v>
      </c>
      <c r="AK65" s="82">
        <v>98031578</v>
      </c>
      <c r="AL65" s="83">
        <v>3417181</v>
      </c>
      <c r="AM65" s="114">
        <v>133923</v>
      </c>
      <c r="AN65" s="114">
        <v>36211007</v>
      </c>
      <c r="AO65" s="114">
        <v>482385</v>
      </c>
      <c r="AP65" s="114">
        <v>7299413</v>
      </c>
      <c r="AQ65" s="114">
        <v>16884167</v>
      </c>
      <c r="AR65" s="114">
        <v>3533903</v>
      </c>
      <c r="AS65" s="114">
        <v>13</v>
      </c>
      <c r="AT65" s="114">
        <v>310042</v>
      </c>
      <c r="AU65" s="114">
        <v>0</v>
      </c>
      <c r="AV65" s="114">
        <v>0</v>
      </c>
      <c r="AW65" s="114">
        <v>0</v>
      </c>
      <c r="AX65" s="114">
        <v>0</v>
      </c>
      <c r="AY65" s="114">
        <v>3000</v>
      </c>
      <c r="AZ65" s="114"/>
      <c r="BA65" s="114"/>
      <c r="BB65" s="114"/>
      <c r="BC65" s="114"/>
      <c r="BD65" s="82">
        <v>5274819.7699999996</v>
      </c>
      <c r="BE65" s="82">
        <v>2690158</v>
      </c>
      <c r="BF65" s="117"/>
      <c r="BG65" s="118">
        <v>3036698</v>
      </c>
      <c r="BH65" s="118">
        <v>5954311</v>
      </c>
      <c r="BI65" s="117">
        <v>82749095</v>
      </c>
      <c r="BJ65" s="117">
        <v>82749095</v>
      </c>
      <c r="BK65" s="117">
        <v>137859713</v>
      </c>
      <c r="BL65" s="117">
        <v>134615063</v>
      </c>
      <c r="BM65" s="117">
        <v>0</v>
      </c>
      <c r="BN65" s="117">
        <v>0</v>
      </c>
      <c r="BO65" s="119"/>
      <c r="BP65" s="86">
        <v>940664505.11475408</v>
      </c>
      <c r="BQ65" s="86">
        <v>616124732.11475408</v>
      </c>
      <c r="BR65" s="87">
        <v>541500</v>
      </c>
      <c r="BT65" s="114">
        <v>6729</v>
      </c>
      <c r="BU65" s="114">
        <v>3356</v>
      </c>
      <c r="BV65" s="114">
        <v>502</v>
      </c>
      <c r="BW65" s="114">
        <f t="shared" si="6"/>
        <v>10587</v>
      </c>
      <c r="BX65" s="89">
        <v>447650330</v>
      </c>
      <c r="BY65" s="90">
        <f t="shared" si="1"/>
        <v>98031578</v>
      </c>
      <c r="BZ65" s="90">
        <f t="shared" si="1"/>
        <v>3417181</v>
      </c>
      <c r="CA65" s="89">
        <f t="shared" si="2"/>
        <v>53577572</v>
      </c>
      <c r="CB65" s="89">
        <f t="shared" si="3"/>
        <v>602676661</v>
      </c>
    </row>
    <row r="66" spans="1:80" x14ac:dyDescent="0.25">
      <c r="A66" s="91" t="s">
        <v>120</v>
      </c>
      <c r="B66" s="114">
        <v>89644697</v>
      </c>
      <c r="C66" s="114">
        <v>41744845</v>
      </c>
      <c r="D66" s="114">
        <v>54135346</v>
      </c>
      <c r="E66" s="114">
        <v>0</v>
      </c>
      <c r="F66" s="114">
        <v>14538350</v>
      </c>
      <c r="G66" s="114">
        <v>9208203</v>
      </c>
      <c r="H66" s="114">
        <v>6675724</v>
      </c>
      <c r="I66" s="114">
        <v>2391224</v>
      </c>
      <c r="J66" s="114">
        <v>0</v>
      </c>
      <c r="K66" s="114">
        <v>25002</v>
      </c>
      <c r="L66" s="114">
        <v>60690550</v>
      </c>
      <c r="M66" s="114">
        <v>29146756</v>
      </c>
      <c r="N66" s="114">
        <v>671</v>
      </c>
      <c r="O66" s="114">
        <v>465</v>
      </c>
      <c r="P66" s="114">
        <v>986000</v>
      </c>
      <c r="Q66" s="114">
        <v>182200</v>
      </c>
      <c r="R66" s="114">
        <v>446000</v>
      </c>
      <c r="S66" s="114">
        <v>774840</v>
      </c>
      <c r="T66" s="114">
        <v>74800</v>
      </c>
      <c r="U66" s="114">
        <v>137200</v>
      </c>
      <c r="V66" s="114">
        <v>986000</v>
      </c>
      <c r="W66" s="114">
        <v>25000</v>
      </c>
      <c r="X66" s="114">
        <v>446000</v>
      </c>
      <c r="Y66" s="114">
        <v>774840</v>
      </c>
      <c r="Z66" s="114">
        <v>25000</v>
      </c>
      <c r="AA66" s="114">
        <v>137200</v>
      </c>
      <c r="AB66" s="114">
        <v>-1241874</v>
      </c>
      <c r="AC66" s="114">
        <v>0</v>
      </c>
      <c r="AD66" s="114">
        <v>94121</v>
      </c>
      <c r="AE66" s="114">
        <v>0</v>
      </c>
      <c r="AF66" s="114">
        <v>0</v>
      </c>
      <c r="AG66" s="114">
        <v>107709</v>
      </c>
      <c r="AH66" s="116">
        <v>48633737.704918034</v>
      </c>
      <c r="AI66" s="114">
        <v>0</v>
      </c>
      <c r="AJ66" s="120">
        <v>0</v>
      </c>
      <c r="AK66" s="82">
        <v>35137610</v>
      </c>
      <c r="AL66" s="83">
        <v>660383</v>
      </c>
      <c r="AM66" s="114">
        <v>0</v>
      </c>
      <c r="AN66" s="114">
        <v>9061363</v>
      </c>
      <c r="AO66" s="114">
        <v>222133</v>
      </c>
      <c r="AP66" s="114">
        <v>1846977</v>
      </c>
      <c r="AQ66" s="114">
        <v>4971726</v>
      </c>
      <c r="AR66" s="114">
        <v>683920</v>
      </c>
      <c r="AS66" s="114">
        <v>0</v>
      </c>
      <c r="AT66" s="114">
        <v>59399</v>
      </c>
      <c r="AU66" s="114">
        <v>0</v>
      </c>
      <c r="AV66" s="114">
        <v>0</v>
      </c>
      <c r="AW66" s="114">
        <v>0</v>
      </c>
      <c r="AX66" s="114">
        <v>0</v>
      </c>
      <c r="AY66" s="114">
        <v>95000</v>
      </c>
      <c r="AZ66" s="114"/>
      <c r="BA66" s="114"/>
      <c r="BB66" s="114"/>
      <c r="BC66" s="114"/>
      <c r="BD66" s="82">
        <v>1890661.8</v>
      </c>
      <c r="BE66" s="82">
        <v>964238</v>
      </c>
      <c r="BF66" s="117"/>
      <c r="BG66" s="118">
        <v>2180344</v>
      </c>
      <c r="BH66" s="118">
        <v>4275185</v>
      </c>
      <c r="BI66" s="117">
        <v>14793796</v>
      </c>
      <c r="BJ66" s="117">
        <v>14793796</v>
      </c>
      <c r="BK66" s="117">
        <v>28561507</v>
      </c>
      <c r="BL66" s="117">
        <v>23434594</v>
      </c>
      <c r="BM66" s="117">
        <v>0</v>
      </c>
      <c r="BN66" s="117">
        <v>0</v>
      </c>
      <c r="BO66" s="119"/>
      <c r="BP66" s="86">
        <v>325584812.70491803</v>
      </c>
      <c r="BQ66" s="86">
        <v>248413847.70491803</v>
      </c>
      <c r="BR66" s="87">
        <v>160000</v>
      </c>
      <c r="BT66" s="114">
        <v>4130</v>
      </c>
      <c r="BU66" s="114">
        <v>1977</v>
      </c>
      <c r="BV66" s="114">
        <v>303</v>
      </c>
      <c r="BW66" s="114">
        <f t="shared" si="6"/>
        <v>6410</v>
      </c>
      <c r="BX66" s="89">
        <v>185524888</v>
      </c>
      <c r="BY66" s="90">
        <f t="shared" si="1"/>
        <v>35137610</v>
      </c>
      <c r="BZ66" s="90">
        <f t="shared" si="1"/>
        <v>660383</v>
      </c>
      <c r="CA66" s="89">
        <f t="shared" si="2"/>
        <v>14255222</v>
      </c>
      <c r="CB66" s="89">
        <f t="shared" si="3"/>
        <v>235578103</v>
      </c>
    </row>
    <row r="67" spans="1:80" x14ac:dyDescent="0.25">
      <c r="A67" s="91" t="s">
        <v>121</v>
      </c>
      <c r="B67" s="122">
        <v>114472766</v>
      </c>
      <c r="C67" s="122">
        <v>55993814</v>
      </c>
      <c r="D67" s="122">
        <v>31403105</v>
      </c>
      <c r="E67" s="122">
        <v>0</v>
      </c>
      <c r="F67" s="122">
        <v>23667010</v>
      </c>
      <c r="G67" s="122">
        <v>24767812</v>
      </c>
      <c r="H67" s="122">
        <v>6873000</v>
      </c>
      <c r="I67" s="122">
        <v>3480089</v>
      </c>
      <c r="J67" s="122">
        <v>142200</v>
      </c>
      <c r="K67" s="122">
        <v>0</v>
      </c>
      <c r="L67" s="122">
        <v>42897595</v>
      </c>
      <c r="M67" s="122">
        <v>0</v>
      </c>
      <c r="N67" s="122">
        <v>1039</v>
      </c>
      <c r="O67" s="122">
        <v>1035</v>
      </c>
      <c r="P67" s="122">
        <v>1138750</v>
      </c>
      <c r="Q67" s="122">
        <v>240100</v>
      </c>
      <c r="R67" s="122">
        <v>149000</v>
      </c>
      <c r="S67" s="122">
        <v>1729415</v>
      </c>
      <c r="T67" s="122">
        <v>475545</v>
      </c>
      <c r="U67" s="122">
        <v>49160</v>
      </c>
      <c r="V67" s="122">
        <v>1138750</v>
      </c>
      <c r="W67" s="122">
        <v>388600</v>
      </c>
      <c r="X67" s="122">
        <v>149000</v>
      </c>
      <c r="Y67" s="122">
        <v>1729415</v>
      </c>
      <c r="Z67" s="122">
        <v>516545</v>
      </c>
      <c r="AA67" s="122">
        <v>49160</v>
      </c>
      <c r="AB67" s="122">
        <v>-2077838</v>
      </c>
      <c r="AC67" s="122">
        <v>0</v>
      </c>
      <c r="AD67" s="122">
        <v>178330</v>
      </c>
      <c r="AE67" s="122">
        <v>0</v>
      </c>
      <c r="AF67" s="122">
        <v>0</v>
      </c>
      <c r="AG67" s="122">
        <v>189052</v>
      </c>
      <c r="AH67" s="116">
        <v>44815262.295081973</v>
      </c>
      <c r="AI67" s="122">
        <v>19954320.491803277</v>
      </c>
      <c r="AJ67" s="120">
        <v>122890803</v>
      </c>
      <c r="AK67" s="82">
        <v>68207231</v>
      </c>
      <c r="AL67" s="83">
        <v>2619656</v>
      </c>
      <c r="AM67" s="122">
        <v>0</v>
      </c>
      <c r="AN67" s="122">
        <v>32528974</v>
      </c>
      <c r="AO67" s="122">
        <v>331155</v>
      </c>
      <c r="AP67" s="122">
        <v>210840</v>
      </c>
      <c r="AQ67" s="122">
        <v>3140345</v>
      </c>
      <c r="AR67" s="122">
        <v>860663</v>
      </c>
      <c r="AS67" s="122">
        <v>0</v>
      </c>
      <c r="AT67" s="122">
        <v>11204</v>
      </c>
      <c r="AU67" s="122">
        <v>0</v>
      </c>
      <c r="AV67" s="122">
        <v>0</v>
      </c>
      <c r="AW67" s="122">
        <v>0</v>
      </c>
      <c r="AX67" s="122">
        <v>0</v>
      </c>
      <c r="AY67" s="122">
        <v>0</v>
      </c>
      <c r="BD67" s="82">
        <v>3670050.59</v>
      </c>
      <c r="BE67" s="82">
        <v>1871726</v>
      </c>
      <c r="BF67" s="117"/>
      <c r="BG67" s="118">
        <v>0</v>
      </c>
      <c r="BH67" s="118">
        <v>0</v>
      </c>
      <c r="BI67" s="117">
        <v>5657594</v>
      </c>
      <c r="BJ67" s="117">
        <v>5657594</v>
      </c>
      <c r="BK67" s="117">
        <v>52344889</v>
      </c>
      <c r="BL67" s="117">
        <v>51982799</v>
      </c>
      <c r="BM67" s="117">
        <v>0</v>
      </c>
      <c r="BN67" s="117">
        <v>0</v>
      </c>
      <c r="BO67" s="123"/>
      <c r="BP67" s="86">
        <v>555869550.78688526</v>
      </c>
      <c r="BQ67" s="86">
        <v>425530544.78688526</v>
      </c>
      <c r="BR67" s="87">
        <v>542535</v>
      </c>
      <c r="BT67" s="122">
        <v>6900</v>
      </c>
      <c r="BU67" s="122">
        <v>2806</v>
      </c>
      <c r="BV67" s="122">
        <v>232</v>
      </c>
      <c r="BW67" s="114">
        <f t="shared" si="6"/>
        <v>9938</v>
      </c>
      <c r="BX67" s="89">
        <v>201869685</v>
      </c>
      <c r="BY67" s="90">
        <f t="shared" ref="BY67:BZ121" si="7">AK67</f>
        <v>68207231</v>
      </c>
      <c r="BZ67" s="90">
        <f t="shared" si="7"/>
        <v>2619656</v>
      </c>
      <c r="CA67" s="89">
        <f t="shared" ref="CA67:CA121" si="8">AN67+AO67+AQ67+AS67</f>
        <v>36000474</v>
      </c>
      <c r="CB67" s="89">
        <f t="shared" ref="CB67:CB121" si="9">SUM(BX67:CA67)</f>
        <v>308697046</v>
      </c>
    </row>
    <row r="68" spans="1:80" x14ac:dyDescent="0.25">
      <c r="A68" s="91" t="s">
        <v>122</v>
      </c>
      <c r="B68" s="114">
        <v>216814133</v>
      </c>
      <c r="C68" s="114">
        <v>45719486</v>
      </c>
      <c r="D68" s="114">
        <v>115498675</v>
      </c>
      <c r="E68" s="114">
        <v>0</v>
      </c>
      <c r="F68" s="114">
        <v>55405000</v>
      </c>
      <c r="G68" s="114">
        <v>28269085</v>
      </c>
      <c r="H68" s="114">
        <v>14873400</v>
      </c>
      <c r="I68" s="114">
        <v>4692950</v>
      </c>
      <c r="J68" s="114">
        <v>0</v>
      </c>
      <c r="K68" s="114">
        <v>0</v>
      </c>
      <c r="L68" s="114">
        <v>73588764</v>
      </c>
      <c r="M68" s="114">
        <v>56916</v>
      </c>
      <c r="N68" s="114">
        <v>2610</v>
      </c>
      <c r="O68" s="114">
        <v>1282</v>
      </c>
      <c r="P68" s="114">
        <v>5227450</v>
      </c>
      <c r="Q68" s="114">
        <v>372000</v>
      </c>
      <c r="R68" s="114">
        <v>2120000</v>
      </c>
      <c r="S68" s="114">
        <v>3080184</v>
      </c>
      <c r="T68" s="114">
        <v>490800</v>
      </c>
      <c r="U68" s="114">
        <v>824500</v>
      </c>
      <c r="V68" s="114">
        <v>5227450</v>
      </c>
      <c r="W68" s="114">
        <v>539000</v>
      </c>
      <c r="X68" s="114">
        <v>2120000</v>
      </c>
      <c r="Y68" s="114">
        <v>3080184</v>
      </c>
      <c r="Z68" s="114">
        <v>470200</v>
      </c>
      <c r="AA68" s="114">
        <v>824500</v>
      </c>
      <c r="AB68" s="114">
        <v>-4567896</v>
      </c>
      <c r="AC68" s="114">
        <v>-257513</v>
      </c>
      <c r="AD68" s="114">
        <v>0</v>
      </c>
      <c r="AE68" s="114">
        <v>0</v>
      </c>
      <c r="AF68" s="114">
        <v>0</v>
      </c>
      <c r="AG68" s="114">
        <v>0</v>
      </c>
      <c r="AH68" s="116">
        <v>30512983.606557377</v>
      </c>
      <c r="AI68" s="114">
        <v>135056824.59016395</v>
      </c>
      <c r="AJ68" s="120">
        <v>149015847</v>
      </c>
      <c r="AK68" s="82">
        <v>126682242</v>
      </c>
      <c r="AL68" s="83">
        <v>3265726</v>
      </c>
      <c r="AM68" s="114">
        <v>0</v>
      </c>
      <c r="AN68" s="114">
        <v>44416986</v>
      </c>
      <c r="AO68" s="114">
        <v>413290</v>
      </c>
      <c r="AP68" s="114">
        <v>25541788</v>
      </c>
      <c r="AQ68" s="114">
        <v>20193666</v>
      </c>
      <c r="AR68" s="114">
        <v>6847009</v>
      </c>
      <c r="AS68" s="114">
        <v>17215</v>
      </c>
      <c r="AT68" s="114">
        <v>80480</v>
      </c>
      <c r="AU68" s="114">
        <v>0</v>
      </c>
      <c r="AV68" s="114">
        <v>0</v>
      </c>
      <c r="AW68" s="114">
        <v>0</v>
      </c>
      <c r="AX68" s="114">
        <v>0</v>
      </c>
      <c r="AY68" s="114">
        <v>2279000</v>
      </c>
      <c r="AZ68" s="114"/>
      <c r="BA68" s="114"/>
      <c r="BB68" s="114"/>
      <c r="BC68" s="114"/>
      <c r="BD68" s="82">
        <v>6816436.1699999999</v>
      </c>
      <c r="BE68" s="82">
        <v>3476382</v>
      </c>
      <c r="BF68" s="117"/>
      <c r="BG68" s="118">
        <v>2667546</v>
      </c>
      <c r="BH68" s="118">
        <v>5230483</v>
      </c>
      <c r="BI68" s="117">
        <v>37539755</v>
      </c>
      <c r="BJ68" s="117">
        <v>37539755</v>
      </c>
      <c r="BK68" s="117">
        <v>146352535</v>
      </c>
      <c r="BL68" s="117">
        <v>143458582</v>
      </c>
      <c r="BM68" s="117">
        <v>0</v>
      </c>
      <c r="BN68" s="117">
        <v>0</v>
      </c>
      <c r="BO68" s="119"/>
      <c r="BP68" s="86">
        <v>1074732124.1967213</v>
      </c>
      <c r="BQ68" s="86">
        <v>757641891.19672132</v>
      </c>
      <c r="BR68" s="87">
        <v>144750</v>
      </c>
      <c r="BT68" s="114">
        <v>10477</v>
      </c>
      <c r="BU68" s="114">
        <v>2369</v>
      </c>
      <c r="BV68" s="114">
        <v>590</v>
      </c>
      <c r="BW68" s="114">
        <f t="shared" si="6"/>
        <v>13436</v>
      </c>
      <c r="BX68" s="89">
        <v>378032294</v>
      </c>
      <c r="BY68" s="90">
        <f t="shared" si="7"/>
        <v>126682242</v>
      </c>
      <c r="BZ68" s="90">
        <f t="shared" si="7"/>
        <v>3265726</v>
      </c>
      <c r="CA68" s="89">
        <f t="shared" si="8"/>
        <v>65041157</v>
      </c>
      <c r="CB68" s="89">
        <f t="shared" si="9"/>
        <v>573021419</v>
      </c>
    </row>
    <row r="69" spans="1:80" x14ac:dyDescent="0.25">
      <c r="A69" s="91" t="s">
        <v>123</v>
      </c>
      <c r="B69" s="114">
        <v>181040475</v>
      </c>
      <c r="C69" s="114">
        <v>111847415</v>
      </c>
      <c r="D69" s="114">
        <v>35328950</v>
      </c>
      <c r="E69" s="114">
        <v>0</v>
      </c>
      <c r="F69" s="114">
        <v>28994800</v>
      </c>
      <c r="G69" s="114">
        <v>11946800</v>
      </c>
      <c r="H69" s="114">
        <v>11191350</v>
      </c>
      <c r="I69" s="114">
        <v>1945000</v>
      </c>
      <c r="J69" s="114">
        <v>35000</v>
      </c>
      <c r="K69" s="114">
        <v>0</v>
      </c>
      <c r="L69" s="114">
        <v>162675950</v>
      </c>
      <c r="M69" s="114">
        <v>51396220</v>
      </c>
      <c r="N69" s="114">
        <v>1273</v>
      </c>
      <c r="O69" s="114">
        <v>482</v>
      </c>
      <c r="P69" s="114">
        <v>3049100</v>
      </c>
      <c r="Q69" s="114">
        <v>1527250</v>
      </c>
      <c r="R69" s="114">
        <v>212300</v>
      </c>
      <c r="S69" s="114">
        <v>3598000</v>
      </c>
      <c r="T69" s="114">
        <v>1195100</v>
      </c>
      <c r="U69" s="114">
        <v>790500</v>
      </c>
      <c r="V69" s="114">
        <v>3049100</v>
      </c>
      <c r="W69" s="114">
        <v>1860700</v>
      </c>
      <c r="X69" s="114">
        <v>212300</v>
      </c>
      <c r="Y69" s="114">
        <v>3598000</v>
      </c>
      <c r="Z69" s="114">
        <v>1633985</v>
      </c>
      <c r="AA69" s="114">
        <v>790500</v>
      </c>
      <c r="AB69" s="114">
        <v>-1809740</v>
      </c>
      <c r="AC69" s="114">
        <v>0</v>
      </c>
      <c r="AD69" s="114">
        <v>201904</v>
      </c>
      <c r="AE69" s="114">
        <v>0</v>
      </c>
      <c r="AF69" s="114">
        <v>0</v>
      </c>
      <c r="AG69" s="114">
        <v>288817</v>
      </c>
      <c r="AH69" s="116">
        <v>0</v>
      </c>
      <c r="AI69" s="114">
        <v>66524.590163934423</v>
      </c>
      <c r="AJ69" s="120">
        <v>0</v>
      </c>
      <c r="AK69" s="82">
        <v>74602783</v>
      </c>
      <c r="AL69" s="83">
        <v>1103965</v>
      </c>
      <c r="AM69" s="114">
        <v>0</v>
      </c>
      <c r="AN69" s="114">
        <v>9038474</v>
      </c>
      <c r="AO69" s="114">
        <v>3518437</v>
      </c>
      <c r="AP69" s="114">
        <v>17478815</v>
      </c>
      <c r="AQ69" s="114">
        <v>9037457</v>
      </c>
      <c r="AR69" s="114">
        <v>3009311</v>
      </c>
      <c r="AS69" s="114">
        <v>1098904</v>
      </c>
      <c r="AT69" s="114">
        <v>63954</v>
      </c>
      <c r="AU69" s="114">
        <v>0</v>
      </c>
      <c r="AV69" s="114">
        <v>0</v>
      </c>
      <c r="AW69" s="114">
        <v>0</v>
      </c>
      <c r="AX69" s="114">
        <v>0</v>
      </c>
      <c r="AY69" s="114">
        <v>72175</v>
      </c>
      <c r="AZ69" s="114"/>
      <c r="BA69" s="114"/>
      <c r="BB69" s="114"/>
      <c r="BC69" s="114"/>
      <c r="BD69" s="82">
        <v>4014178.32</v>
      </c>
      <c r="BE69" s="82">
        <v>2047231</v>
      </c>
      <c r="BF69" s="117">
        <v>45823834</v>
      </c>
      <c r="BG69" s="118">
        <v>2711245</v>
      </c>
      <c r="BH69" s="118">
        <v>5316166</v>
      </c>
      <c r="BI69" s="117">
        <v>58700897</v>
      </c>
      <c r="BJ69" s="117">
        <v>58700897</v>
      </c>
      <c r="BK69" s="117">
        <v>61324174</v>
      </c>
      <c r="BL69" s="117">
        <v>52230179</v>
      </c>
      <c r="BM69" s="117">
        <v>0</v>
      </c>
      <c r="BN69" s="117">
        <v>0</v>
      </c>
      <c r="BO69" s="119"/>
      <c r="BP69" s="86">
        <v>541274032.59016395</v>
      </c>
      <c r="BQ69" s="86">
        <v>349877732.59016395</v>
      </c>
      <c r="BR69" s="87">
        <v>1853000</v>
      </c>
      <c r="BT69" s="114">
        <v>6153</v>
      </c>
      <c r="BU69" s="114">
        <v>2928</v>
      </c>
      <c r="BV69" s="114">
        <v>262</v>
      </c>
      <c r="BW69" s="114">
        <f t="shared" si="6"/>
        <v>9343</v>
      </c>
      <c r="BX69" s="89">
        <v>328216840</v>
      </c>
      <c r="BY69" s="90">
        <f t="shared" si="7"/>
        <v>74602783</v>
      </c>
      <c r="BZ69" s="90">
        <f t="shared" si="7"/>
        <v>1103965</v>
      </c>
      <c r="CA69" s="89">
        <f t="shared" si="8"/>
        <v>22693272</v>
      </c>
      <c r="CB69" s="89">
        <f t="shared" si="9"/>
        <v>426616860</v>
      </c>
    </row>
    <row r="70" spans="1:80" x14ac:dyDescent="0.25">
      <c r="A70" s="91" t="s">
        <v>124</v>
      </c>
      <c r="B70" s="114">
        <v>470444202</v>
      </c>
      <c r="C70" s="114">
        <v>170856320</v>
      </c>
      <c r="D70" s="114">
        <v>122938395</v>
      </c>
      <c r="E70" s="114">
        <v>0</v>
      </c>
      <c r="F70" s="114">
        <v>69981855</v>
      </c>
      <c r="G70" s="114">
        <v>18014820</v>
      </c>
      <c r="H70" s="114">
        <v>21382780</v>
      </c>
      <c r="I70" s="114">
        <v>1948790</v>
      </c>
      <c r="J70" s="114">
        <v>332100</v>
      </c>
      <c r="K70" s="114">
        <v>107800</v>
      </c>
      <c r="L70" s="114">
        <v>299993039</v>
      </c>
      <c r="M70" s="114">
        <v>112584428</v>
      </c>
      <c r="N70" s="114">
        <v>2759</v>
      </c>
      <c r="O70" s="114">
        <v>590</v>
      </c>
      <c r="P70" s="114">
        <v>6604451</v>
      </c>
      <c r="Q70" s="114">
        <v>3841160</v>
      </c>
      <c r="R70" s="114">
        <v>3562800</v>
      </c>
      <c r="S70" s="114">
        <v>6797352</v>
      </c>
      <c r="T70" s="114">
        <v>1585910</v>
      </c>
      <c r="U70" s="114">
        <v>1378170</v>
      </c>
      <c r="V70" s="114">
        <v>6604451</v>
      </c>
      <c r="W70" s="114">
        <v>3571900</v>
      </c>
      <c r="X70" s="114">
        <v>3562800</v>
      </c>
      <c r="Y70" s="114">
        <v>6797352</v>
      </c>
      <c r="Z70" s="114">
        <v>2203860</v>
      </c>
      <c r="AA70" s="114">
        <v>1378170</v>
      </c>
      <c r="AB70" s="114">
        <v>-2608217</v>
      </c>
      <c r="AC70" s="114">
        <v>-154773</v>
      </c>
      <c r="AD70" s="114">
        <v>57226</v>
      </c>
      <c r="AE70" s="114">
        <v>0</v>
      </c>
      <c r="AF70" s="114">
        <v>0</v>
      </c>
      <c r="AG70" s="114">
        <v>169627</v>
      </c>
      <c r="AH70" s="116">
        <v>95926.229508196731</v>
      </c>
      <c r="AI70" s="114">
        <v>0</v>
      </c>
      <c r="AJ70" s="120">
        <v>0</v>
      </c>
      <c r="AK70" s="82">
        <v>138595654</v>
      </c>
      <c r="AL70" s="83">
        <v>3707658</v>
      </c>
      <c r="AM70" s="114">
        <v>0</v>
      </c>
      <c r="AN70" s="114">
        <v>12403262</v>
      </c>
      <c r="AO70" s="114">
        <v>3250800</v>
      </c>
      <c r="AP70" s="114">
        <v>11910329</v>
      </c>
      <c r="AQ70" s="114">
        <v>15855103</v>
      </c>
      <c r="AR70" s="114">
        <v>17030109</v>
      </c>
      <c r="AS70" s="114">
        <v>0</v>
      </c>
      <c r="AT70" s="114">
        <f>11091642+100</f>
        <v>11091742</v>
      </c>
      <c r="AU70" s="114">
        <v>0</v>
      </c>
      <c r="AV70" s="114">
        <v>0</v>
      </c>
      <c r="AW70" s="114">
        <v>25479</v>
      </c>
      <c r="AX70" s="114">
        <v>643550</v>
      </c>
      <c r="AY70" s="114">
        <v>0</v>
      </c>
      <c r="AZ70" s="114"/>
      <c r="BA70" s="114"/>
      <c r="BB70" s="114"/>
      <c r="BC70" s="114"/>
      <c r="BD70" s="82">
        <v>7457465.3499999996</v>
      </c>
      <c r="BE70" s="82">
        <v>3803307</v>
      </c>
      <c r="BF70" s="117"/>
      <c r="BG70" s="118">
        <v>2340136</v>
      </c>
      <c r="BH70" s="118">
        <v>4588502</v>
      </c>
      <c r="BI70" s="117">
        <v>49565410</v>
      </c>
      <c r="BJ70" s="117">
        <v>49565410</v>
      </c>
      <c r="BK70" s="117">
        <v>78444639</v>
      </c>
      <c r="BL70" s="117">
        <v>71979694</v>
      </c>
      <c r="BM70" s="117">
        <v>0</v>
      </c>
      <c r="BN70" s="117">
        <v>0</v>
      </c>
      <c r="BO70" s="119"/>
      <c r="BP70" s="86">
        <v>1065835867.2295082</v>
      </c>
      <c r="BQ70" s="86">
        <v>795844008.22950816</v>
      </c>
      <c r="BR70" s="87">
        <v>507600</v>
      </c>
      <c r="BT70" s="114">
        <v>10709</v>
      </c>
      <c r="BU70" s="114">
        <v>4081</v>
      </c>
      <c r="BV70" s="114">
        <v>774</v>
      </c>
      <c r="BW70" s="114">
        <f t="shared" si="6"/>
        <v>15564</v>
      </c>
      <c r="BX70" s="89">
        <v>764238917</v>
      </c>
      <c r="BY70" s="90">
        <f t="shared" si="7"/>
        <v>138595654</v>
      </c>
      <c r="BZ70" s="90">
        <f t="shared" si="7"/>
        <v>3707658</v>
      </c>
      <c r="CA70" s="89">
        <f t="shared" si="8"/>
        <v>31509165</v>
      </c>
      <c r="CB70" s="89">
        <f t="shared" si="9"/>
        <v>938051394</v>
      </c>
    </row>
    <row r="71" spans="1:80" x14ac:dyDescent="0.25">
      <c r="A71" s="91" t="s">
        <v>125</v>
      </c>
      <c r="B71" s="114">
        <v>244671134</v>
      </c>
      <c r="C71" s="114">
        <v>112750921</v>
      </c>
      <c r="D71" s="114">
        <v>87898610</v>
      </c>
      <c r="E71" s="114">
        <v>0</v>
      </c>
      <c r="F71" s="114">
        <v>31639500</v>
      </c>
      <c r="G71" s="114">
        <v>6485075</v>
      </c>
      <c r="H71" s="114">
        <v>9121600</v>
      </c>
      <c r="I71" s="114">
        <v>1216800</v>
      </c>
      <c r="J71" s="114">
        <v>73800</v>
      </c>
      <c r="K71" s="114">
        <v>0</v>
      </c>
      <c r="L71" s="114">
        <v>217883574</v>
      </c>
      <c r="M71" s="114">
        <v>64267400</v>
      </c>
      <c r="N71" s="114">
        <v>1189</v>
      </c>
      <c r="O71" s="114">
        <v>241</v>
      </c>
      <c r="P71" s="114">
        <v>5168600</v>
      </c>
      <c r="Q71" s="114">
        <v>1095000</v>
      </c>
      <c r="R71" s="114">
        <v>27644</v>
      </c>
      <c r="S71" s="114">
        <v>2733540</v>
      </c>
      <c r="T71" s="114">
        <v>2778962</v>
      </c>
      <c r="U71" s="114">
        <v>2105850</v>
      </c>
      <c r="V71" s="114">
        <v>5168600</v>
      </c>
      <c r="W71" s="114">
        <v>1135800</v>
      </c>
      <c r="X71" s="114">
        <v>27644</v>
      </c>
      <c r="Y71" s="114">
        <v>2733540</v>
      </c>
      <c r="Z71" s="114">
        <v>2985900</v>
      </c>
      <c r="AA71" s="114">
        <v>2105850</v>
      </c>
      <c r="AB71" s="114">
        <v>-3140047</v>
      </c>
      <c r="AC71" s="114">
        <v>0</v>
      </c>
      <c r="AD71" s="114">
        <v>88868</v>
      </c>
      <c r="AE71" s="114">
        <v>0</v>
      </c>
      <c r="AF71" s="114">
        <v>0</v>
      </c>
      <c r="AG71" s="114">
        <v>176910</v>
      </c>
      <c r="AH71" s="116">
        <v>0</v>
      </c>
      <c r="AI71" s="114">
        <v>19718147.540983606</v>
      </c>
      <c r="AJ71" s="120">
        <v>0</v>
      </c>
      <c r="AK71" s="82">
        <v>74140886</v>
      </c>
      <c r="AL71" s="83">
        <v>4967503</v>
      </c>
      <c r="AM71" s="114">
        <v>11121175</v>
      </c>
      <c r="AN71" s="114">
        <v>56269903</v>
      </c>
      <c r="AO71" s="114">
        <v>1216014</v>
      </c>
      <c r="AP71" s="114">
        <v>77505215</v>
      </c>
      <c r="AQ71" s="114">
        <v>31950825</v>
      </c>
      <c r="AR71" s="114">
        <v>2184776</v>
      </c>
      <c r="AS71" s="114">
        <v>14681293</v>
      </c>
      <c r="AT71" s="114">
        <v>2271350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AZ71" s="114"/>
      <c r="BA71" s="114"/>
      <c r="BB71" s="114"/>
      <c r="BC71" s="114"/>
      <c r="BD71" s="82">
        <v>3989324.86</v>
      </c>
      <c r="BE71" s="82">
        <v>2034556</v>
      </c>
      <c r="BF71" s="117">
        <v>82222539</v>
      </c>
      <c r="BG71" s="118">
        <v>372413</v>
      </c>
      <c r="BH71" s="118">
        <v>730222</v>
      </c>
      <c r="BI71" s="117">
        <v>62447683</v>
      </c>
      <c r="BJ71" s="117">
        <v>62151989</v>
      </c>
      <c r="BK71" s="117">
        <v>41602197</v>
      </c>
      <c r="BL71" s="117">
        <v>40761233</v>
      </c>
      <c r="BM71" s="117">
        <v>0</v>
      </c>
      <c r="BN71" s="117">
        <v>0</v>
      </c>
      <c r="BO71" s="119"/>
      <c r="BP71" s="86">
        <v>738904134.54098368</v>
      </c>
      <c r="BQ71" s="86">
        <v>554475554.54098368</v>
      </c>
      <c r="BR71" s="87">
        <v>476501</v>
      </c>
      <c r="BT71" s="114">
        <v>4883</v>
      </c>
      <c r="BU71" s="114">
        <v>1812</v>
      </c>
      <c r="BV71" s="114">
        <v>383</v>
      </c>
      <c r="BW71" s="114">
        <f t="shared" si="6"/>
        <v>7078</v>
      </c>
      <c r="BX71" s="89">
        <v>445320665</v>
      </c>
      <c r="BY71" s="90">
        <f t="shared" si="7"/>
        <v>74140886</v>
      </c>
      <c r="BZ71" s="90">
        <f t="shared" si="7"/>
        <v>4967503</v>
      </c>
      <c r="CA71" s="89">
        <f t="shared" si="8"/>
        <v>104118035</v>
      </c>
      <c r="CB71" s="89">
        <f t="shared" si="9"/>
        <v>628547089</v>
      </c>
    </row>
    <row r="72" spans="1:80" x14ac:dyDescent="0.25">
      <c r="A72" s="91" t="s">
        <v>126</v>
      </c>
      <c r="B72" s="114">
        <v>591536926</v>
      </c>
      <c r="C72" s="114">
        <v>326225061</v>
      </c>
      <c r="D72" s="114">
        <v>225063408</v>
      </c>
      <c r="E72" s="114">
        <v>0</v>
      </c>
      <c r="F72" s="114">
        <v>71004775</v>
      </c>
      <c r="G72" s="114">
        <v>12152180</v>
      </c>
      <c r="H72" s="114">
        <v>16460465</v>
      </c>
      <c r="I72" s="114">
        <v>1435535</v>
      </c>
      <c r="J72" s="114">
        <v>102800</v>
      </c>
      <c r="K72" s="114">
        <v>0</v>
      </c>
      <c r="L72" s="114">
        <v>1050410076</v>
      </c>
      <c r="M72" s="114">
        <v>130978480</v>
      </c>
      <c r="N72" s="114">
        <v>2519</v>
      </c>
      <c r="O72" s="114">
        <v>412</v>
      </c>
      <c r="P72" s="114">
        <v>10428977</v>
      </c>
      <c r="Q72" s="114">
        <v>7879275</v>
      </c>
      <c r="R72" s="114">
        <v>21033750</v>
      </c>
      <c r="S72" s="114">
        <v>6832302</v>
      </c>
      <c r="T72" s="114">
        <v>2076038</v>
      </c>
      <c r="U72" s="114">
        <v>1236340</v>
      </c>
      <c r="V72" s="114">
        <v>10428977</v>
      </c>
      <c r="W72" s="114">
        <v>11690480</v>
      </c>
      <c r="X72" s="114">
        <v>21033750</v>
      </c>
      <c r="Y72" s="114">
        <v>6832302</v>
      </c>
      <c r="Z72" s="114">
        <v>4040900</v>
      </c>
      <c r="AA72" s="114">
        <v>1236340</v>
      </c>
      <c r="AB72" s="114">
        <v>-3589285</v>
      </c>
      <c r="AC72" s="114">
        <v>-633418</v>
      </c>
      <c r="AD72" s="114">
        <v>106450</v>
      </c>
      <c r="AE72" s="114">
        <v>0</v>
      </c>
      <c r="AF72" s="114">
        <v>640876143</v>
      </c>
      <c r="AG72" s="114">
        <v>322878</v>
      </c>
      <c r="AH72" s="116">
        <v>125500.00000000001</v>
      </c>
      <c r="AI72" s="114">
        <v>193803.27868852459</v>
      </c>
      <c r="AJ72" s="120">
        <v>0</v>
      </c>
      <c r="AK72" s="82">
        <v>176349692</v>
      </c>
      <c r="AL72" s="83">
        <f>4686331+493012</f>
        <v>5179343</v>
      </c>
      <c r="AM72" s="114">
        <v>0</v>
      </c>
      <c r="AN72" s="114">
        <v>45351033</v>
      </c>
      <c r="AO72" s="114">
        <v>15913706</v>
      </c>
      <c r="AP72" s="114">
        <v>459711513</v>
      </c>
      <c r="AQ72" s="114">
        <v>118691994</v>
      </c>
      <c r="AR72" s="114">
        <v>219821109</v>
      </c>
      <c r="AS72" s="114">
        <v>30761536</v>
      </c>
      <c r="AT72" s="114">
        <v>7522992</v>
      </c>
      <c r="AU72" s="114">
        <v>0</v>
      </c>
      <c r="AV72" s="114">
        <v>70252</v>
      </c>
      <c r="AW72" s="114">
        <v>11465795</v>
      </c>
      <c r="AX72" s="114">
        <v>5718380</v>
      </c>
      <c r="AY72" s="114">
        <v>454215</v>
      </c>
      <c r="AZ72" s="114"/>
      <c r="BA72" s="114"/>
      <c r="BB72" s="114"/>
      <c r="BC72" s="114"/>
      <c r="BD72" s="82">
        <v>9488910.2100000009</v>
      </c>
      <c r="BE72" s="82">
        <v>4839344</v>
      </c>
      <c r="BF72" s="117"/>
      <c r="BG72" s="118">
        <v>2396879</v>
      </c>
      <c r="BH72" s="118">
        <v>4699762</v>
      </c>
      <c r="BI72" s="117">
        <v>14787638</v>
      </c>
      <c r="BJ72" s="117">
        <v>14787638</v>
      </c>
      <c r="BK72" s="117">
        <v>65593504</v>
      </c>
      <c r="BL72" s="117">
        <v>63104185</v>
      </c>
      <c r="BM72" s="117">
        <v>0</v>
      </c>
      <c r="BN72" s="117">
        <v>7988060</v>
      </c>
      <c r="BO72" s="119"/>
      <c r="BP72" s="86">
        <v>1597746572.2786884</v>
      </c>
      <c r="BQ72" s="86">
        <v>1323101431.2786884</v>
      </c>
      <c r="BR72" s="87">
        <v>3723392</v>
      </c>
      <c r="BT72" s="114">
        <v>11954</v>
      </c>
      <c r="BU72" s="114">
        <v>4911</v>
      </c>
      <c r="BV72" s="114">
        <v>940</v>
      </c>
      <c r="BW72" s="114">
        <f t="shared" si="6"/>
        <v>17805</v>
      </c>
      <c r="BX72" s="89">
        <v>1142825395</v>
      </c>
      <c r="BY72" s="90">
        <f t="shared" si="7"/>
        <v>176349692</v>
      </c>
      <c r="BZ72" s="90">
        <f t="shared" si="7"/>
        <v>5179343</v>
      </c>
      <c r="CA72" s="89">
        <f t="shared" si="8"/>
        <v>210718269</v>
      </c>
      <c r="CB72" s="89">
        <f t="shared" si="9"/>
        <v>1535072699</v>
      </c>
    </row>
    <row r="73" spans="1:80" ht="12" customHeight="1" x14ac:dyDescent="0.25">
      <c r="A73" s="91" t="s">
        <v>127</v>
      </c>
      <c r="B73" s="114">
        <v>464956763</v>
      </c>
      <c r="C73" s="114">
        <v>60902995</v>
      </c>
      <c r="D73" s="114">
        <v>84442524</v>
      </c>
      <c r="E73" s="114">
        <v>0</v>
      </c>
      <c r="F73" s="114">
        <v>29897310</v>
      </c>
      <c r="G73" s="114">
        <v>5457825</v>
      </c>
      <c r="H73" s="114">
        <v>6016052</v>
      </c>
      <c r="I73" s="114">
        <v>715900</v>
      </c>
      <c r="J73" s="114">
        <v>36900</v>
      </c>
      <c r="K73" s="114">
        <v>0</v>
      </c>
      <c r="L73" s="114">
        <v>150938856</v>
      </c>
      <c r="M73" s="114">
        <v>42015360</v>
      </c>
      <c r="N73" s="114">
        <v>1020</v>
      </c>
      <c r="O73" s="114">
        <v>189</v>
      </c>
      <c r="P73" s="114">
        <v>3960000</v>
      </c>
      <c r="Q73" s="114">
        <v>611700</v>
      </c>
      <c r="R73" s="114">
        <v>150000</v>
      </c>
      <c r="S73" s="114">
        <v>3176866</v>
      </c>
      <c r="T73" s="114">
        <v>291701</v>
      </c>
      <c r="U73" s="114">
        <v>1610844</v>
      </c>
      <c r="V73" s="114">
        <v>3960000</v>
      </c>
      <c r="W73" s="114">
        <v>979525</v>
      </c>
      <c r="X73" s="114">
        <v>150000</v>
      </c>
      <c r="Y73" s="114">
        <v>3176866</v>
      </c>
      <c r="Z73" s="114">
        <v>686858</v>
      </c>
      <c r="AA73" s="114">
        <v>1610844</v>
      </c>
      <c r="AB73" s="114">
        <v>-1532045</v>
      </c>
      <c r="AC73" s="114">
        <v>-165000</v>
      </c>
      <c r="AD73" s="114">
        <v>29076</v>
      </c>
      <c r="AE73" s="114">
        <v>0</v>
      </c>
      <c r="AF73" s="114">
        <v>0</v>
      </c>
      <c r="AG73" s="114">
        <v>78981</v>
      </c>
      <c r="AH73" s="116">
        <v>0</v>
      </c>
      <c r="AI73" s="114">
        <v>0</v>
      </c>
      <c r="AJ73" s="120">
        <v>0</v>
      </c>
      <c r="AK73" s="82">
        <v>62481486</v>
      </c>
      <c r="AL73" s="83">
        <v>12883997</v>
      </c>
      <c r="AM73" s="114">
        <v>3352499</v>
      </c>
      <c r="AN73" s="114">
        <v>11850498</v>
      </c>
      <c r="AO73" s="114">
        <v>450502</v>
      </c>
      <c r="AP73" s="114">
        <v>4831983</v>
      </c>
      <c r="AQ73" s="114">
        <v>8195842</v>
      </c>
      <c r="AR73" s="114">
        <v>6424496</v>
      </c>
      <c r="AS73" s="114">
        <v>21511255</v>
      </c>
      <c r="AT73" s="114">
        <v>2018755</v>
      </c>
      <c r="AU73" s="114">
        <v>0</v>
      </c>
      <c r="AV73" s="114">
        <v>0</v>
      </c>
      <c r="AW73" s="114">
        <v>0</v>
      </c>
      <c r="AX73" s="114">
        <v>5709</v>
      </c>
      <c r="AY73" s="114">
        <v>0</v>
      </c>
      <c r="AZ73" s="114"/>
      <c r="BA73" s="114"/>
      <c r="BB73" s="114"/>
      <c r="BC73" s="114"/>
      <c r="BD73" s="82">
        <v>3361963.4</v>
      </c>
      <c r="BE73" s="82">
        <v>1714601</v>
      </c>
      <c r="BF73" s="117">
        <v>34628238</v>
      </c>
      <c r="BG73" s="118">
        <v>975709</v>
      </c>
      <c r="BH73" s="118">
        <v>1913155</v>
      </c>
      <c r="BI73" s="117">
        <v>9443898</v>
      </c>
      <c r="BJ73" s="117">
        <v>7914159</v>
      </c>
      <c r="BK73" s="117">
        <v>20553678</v>
      </c>
      <c r="BL73" s="117">
        <v>19055568</v>
      </c>
      <c r="BM73" s="117">
        <v>0</v>
      </c>
      <c r="BN73" s="117">
        <v>0</v>
      </c>
      <c r="BO73" s="119"/>
      <c r="BP73" s="86">
        <v>735824644</v>
      </c>
      <c r="BQ73" s="86">
        <v>630799124</v>
      </c>
      <c r="BR73" s="87">
        <v>681625</v>
      </c>
      <c r="BT73" s="114">
        <v>6769</v>
      </c>
      <c r="BU73" s="114">
        <v>1058</v>
      </c>
      <c r="BV73" s="114">
        <v>292</v>
      </c>
      <c r="BW73" s="114">
        <f t="shared" si="6"/>
        <v>8119</v>
      </c>
      <c r="BX73" s="89">
        <v>610302282</v>
      </c>
      <c r="BY73" s="90">
        <f t="shared" si="7"/>
        <v>62481486</v>
      </c>
      <c r="BZ73" s="90">
        <f t="shared" si="7"/>
        <v>12883997</v>
      </c>
      <c r="CA73" s="89">
        <f t="shared" si="8"/>
        <v>42008097</v>
      </c>
      <c r="CB73" s="89">
        <f t="shared" si="9"/>
        <v>727675862</v>
      </c>
    </row>
    <row r="74" spans="1:80" x14ac:dyDescent="0.25">
      <c r="A74" s="91" t="s">
        <v>128</v>
      </c>
      <c r="B74" s="114">
        <v>2437812108</v>
      </c>
      <c r="C74" s="114">
        <v>136415659</v>
      </c>
      <c r="D74" s="114">
        <v>1148678922</v>
      </c>
      <c r="E74" s="114">
        <v>0</v>
      </c>
      <c r="F74" s="114">
        <v>197228944</v>
      </c>
      <c r="G74" s="114">
        <v>27423432</v>
      </c>
      <c r="H74" s="114">
        <v>10239860</v>
      </c>
      <c r="I74" s="114">
        <v>870238</v>
      </c>
      <c r="J74" s="114">
        <v>473500</v>
      </c>
      <c r="K74" s="114">
        <v>36900</v>
      </c>
      <c r="L74" s="114">
        <v>201330210</v>
      </c>
      <c r="M74" s="114">
        <v>0</v>
      </c>
      <c r="N74" s="114">
        <v>5898</v>
      </c>
      <c r="O74" s="114">
        <v>893</v>
      </c>
      <c r="P74" s="114">
        <v>7706785</v>
      </c>
      <c r="Q74" s="114">
        <v>169942</v>
      </c>
      <c r="R74" s="114">
        <v>11154300</v>
      </c>
      <c r="S74" s="114">
        <v>6241240</v>
      </c>
      <c r="T74" s="114">
        <v>14850</v>
      </c>
      <c r="U74" s="114">
        <v>0</v>
      </c>
      <c r="V74" s="114">
        <v>7706785</v>
      </c>
      <c r="W74" s="114">
        <v>236800</v>
      </c>
      <c r="X74" s="114">
        <v>11154300</v>
      </c>
      <c r="Y74" s="114">
        <v>6241240</v>
      </c>
      <c r="Z74" s="114">
        <v>87000</v>
      </c>
      <c r="AA74" s="114">
        <v>0</v>
      </c>
      <c r="AB74" s="114">
        <v>-37459692</v>
      </c>
      <c r="AC74" s="114">
        <v>9234115</v>
      </c>
      <c r="AD74" s="114">
        <v>0</v>
      </c>
      <c r="AE74" s="114">
        <v>0</v>
      </c>
      <c r="AF74" s="114">
        <v>0</v>
      </c>
      <c r="AG74" s="114">
        <v>0</v>
      </c>
      <c r="AH74" s="116">
        <v>0</v>
      </c>
      <c r="AI74" s="114">
        <v>368508.19672131148</v>
      </c>
      <c r="AJ74" s="120">
        <v>0</v>
      </c>
      <c r="AK74" s="82">
        <v>493609740</v>
      </c>
      <c r="AL74" s="83">
        <f>11941801+2324534</f>
        <v>14266335</v>
      </c>
      <c r="AM74" s="114">
        <v>66460</v>
      </c>
      <c r="AN74" s="114">
        <v>225949962</v>
      </c>
      <c r="AO74" s="114">
        <v>10321153</v>
      </c>
      <c r="AP74" s="114">
        <v>73144624</v>
      </c>
      <c r="AQ74" s="114">
        <v>311947873</v>
      </c>
      <c r="AR74" s="114">
        <v>98710828</v>
      </c>
      <c r="AS74" s="114">
        <v>332585707</v>
      </c>
      <c r="AT74" s="114">
        <v>4410214</v>
      </c>
      <c r="AU74" s="114">
        <v>0</v>
      </c>
      <c r="AV74" s="114">
        <v>0</v>
      </c>
      <c r="AW74" s="114">
        <v>408094</v>
      </c>
      <c r="AX74" s="114">
        <v>846178</v>
      </c>
      <c r="AY74" s="114">
        <v>25876033</v>
      </c>
      <c r="AZ74" s="114"/>
      <c r="BA74" s="114"/>
      <c r="BB74" s="114"/>
      <c r="BC74" s="114"/>
      <c r="BD74" s="82">
        <v>26559833.760000002</v>
      </c>
      <c r="BE74" s="82">
        <v>13545515</v>
      </c>
      <c r="BF74" s="117">
        <v>33430570</v>
      </c>
      <c r="BG74" s="118">
        <v>4802888</v>
      </c>
      <c r="BH74" s="118">
        <v>9417428</v>
      </c>
      <c r="BI74" s="117">
        <v>75056576</v>
      </c>
      <c r="BJ74" s="117">
        <v>66572488</v>
      </c>
      <c r="BK74" s="117">
        <v>138764818</v>
      </c>
      <c r="BL74" s="117">
        <v>118458097</v>
      </c>
      <c r="BM74" s="117">
        <v>0</v>
      </c>
      <c r="BN74" s="117">
        <v>67087150</v>
      </c>
      <c r="BO74" s="119"/>
      <c r="BP74" s="86">
        <v>5049836398.1967211</v>
      </c>
      <c r="BQ74" s="86">
        <v>4271494185.1967211</v>
      </c>
      <c r="BR74" s="87">
        <v>3070098</v>
      </c>
      <c r="BT74" s="114">
        <v>28981</v>
      </c>
      <c r="BU74" s="114">
        <v>1925</v>
      </c>
      <c r="BV74" s="114">
        <v>2377</v>
      </c>
      <c r="BW74" s="114">
        <f t="shared" si="6"/>
        <v>33283</v>
      </c>
      <c r="BX74" s="89">
        <v>3722906689</v>
      </c>
      <c r="BY74" s="90">
        <f t="shared" si="7"/>
        <v>493609740</v>
      </c>
      <c r="BZ74" s="90">
        <f t="shared" si="7"/>
        <v>14266335</v>
      </c>
      <c r="CA74" s="89">
        <f t="shared" si="8"/>
        <v>880804695</v>
      </c>
      <c r="CB74" s="89">
        <f t="shared" si="9"/>
        <v>5111587459</v>
      </c>
    </row>
    <row r="75" spans="1:80" x14ac:dyDescent="0.25">
      <c r="A75" s="91" t="s">
        <v>129</v>
      </c>
      <c r="B75" s="114">
        <v>219217612</v>
      </c>
      <c r="C75" s="114">
        <v>48129313</v>
      </c>
      <c r="D75" s="114">
        <v>81598235</v>
      </c>
      <c r="E75" s="114">
        <v>0</v>
      </c>
      <c r="F75" s="114">
        <v>43836300</v>
      </c>
      <c r="G75" s="114">
        <v>21017564</v>
      </c>
      <c r="H75" s="114">
        <v>6704900</v>
      </c>
      <c r="I75" s="114">
        <v>1563550</v>
      </c>
      <c r="J75" s="114">
        <v>93800</v>
      </c>
      <c r="K75" s="114">
        <v>0</v>
      </c>
      <c r="L75" s="114">
        <v>28881947</v>
      </c>
      <c r="M75" s="114">
        <v>0</v>
      </c>
      <c r="N75" s="114">
        <v>1552</v>
      </c>
      <c r="O75" s="114">
        <v>747</v>
      </c>
      <c r="P75" s="114">
        <v>5428700</v>
      </c>
      <c r="Q75" s="114">
        <v>212000</v>
      </c>
      <c r="R75" s="114">
        <v>567000</v>
      </c>
      <c r="S75" s="114">
        <v>3689850</v>
      </c>
      <c r="T75" s="114">
        <v>4879700</v>
      </c>
      <c r="U75" s="114">
        <v>1251500</v>
      </c>
      <c r="V75" s="114">
        <v>5428700</v>
      </c>
      <c r="W75" s="114">
        <v>307000</v>
      </c>
      <c r="X75" s="114">
        <v>567000</v>
      </c>
      <c r="Y75" s="114">
        <v>3689850</v>
      </c>
      <c r="Z75" s="114">
        <v>7284000</v>
      </c>
      <c r="AA75" s="114">
        <v>1251500</v>
      </c>
      <c r="AB75" s="114">
        <v>-1470538</v>
      </c>
      <c r="AC75" s="114">
        <v>-72687</v>
      </c>
      <c r="AD75" s="114">
        <v>33685</v>
      </c>
      <c r="AE75" s="114">
        <v>0</v>
      </c>
      <c r="AF75" s="114">
        <v>0</v>
      </c>
      <c r="AG75" s="114">
        <v>37000</v>
      </c>
      <c r="AH75" s="116">
        <v>496057.37704918039</v>
      </c>
      <c r="AI75" s="114">
        <v>18575.409836065573</v>
      </c>
      <c r="AJ75" s="120">
        <v>240967.21311475412</v>
      </c>
      <c r="AK75" s="82">
        <v>63603247</v>
      </c>
      <c r="AL75" s="83">
        <v>2070531</v>
      </c>
      <c r="AM75" s="114">
        <v>0</v>
      </c>
      <c r="AN75" s="114">
        <v>7447281</v>
      </c>
      <c r="AO75" s="114">
        <v>99566</v>
      </c>
      <c r="AP75" s="114">
        <v>5719708</v>
      </c>
      <c r="AQ75" s="114">
        <v>8242177</v>
      </c>
      <c r="AR75" s="114">
        <v>8587305</v>
      </c>
      <c r="AS75" s="114">
        <v>0</v>
      </c>
      <c r="AT75" s="114">
        <v>2044213</v>
      </c>
      <c r="AU75" s="114">
        <v>0</v>
      </c>
      <c r="AV75" s="114">
        <v>0</v>
      </c>
      <c r="AW75" s="114">
        <v>0</v>
      </c>
      <c r="AX75" s="114">
        <v>9094</v>
      </c>
      <c r="AY75" s="114">
        <v>14000</v>
      </c>
      <c r="AZ75" s="114"/>
      <c r="BA75" s="114"/>
      <c r="BB75" s="114"/>
      <c r="BC75" s="114"/>
      <c r="BD75" s="82">
        <v>3422322.39</v>
      </c>
      <c r="BE75" s="82">
        <v>1745384</v>
      </c>
      <c r="BF75" s="117"/>
      <c r="BG75" s="118">
        <v>3510204</v>
      </c>
      <c r="BH75" s="118">
        <v>6882753</v>
      </c>
      <c r="BI75" s="117">
        <v>35258264</v>
      </c>
      <c r="BJ75" s="117">
        <v>35258264</v>
      </c>
      <c r="BK75" s="117">
        <v>47845237</v>
      </c>
      <c r="BL75" s="117">
        <v>40493732</v>
      </c>
      <c r="BM75" s="117">
        <v>0</v>
      </c>
      <c r="BN75" s="117">
        <v>0</v>
      </c>
      <c r="BO75" s="119"/>
      <c r="BP75" s="86">
        <v>512171146</v>
      </c>
      <c r="BQ75" s="86">
        <v>365489784</v>
      </c>
      <c r="BR75" s="87">
        <v>642100</v>
      </c>
      <c r="BT75" s="114">
        <v>7720</v>
      </c>
      <c r="BU75" s="114">
        <v>1162</v>
      </c>
      <c r="BV75" s="114">
        <v>514</v>
      </c>
      <c r="BW75" s="114">
        <f t="shared" si="6"/>
        <v>9396</v>
      </c>
      <c r="BX75" s="89">
        <v>348945160</v>
      </c>
      <c r="BY75" s="90">
        <f t="shared" si="7"/>
        <v>63603247</v>
      </c>
      <c r="BZ75" s="90">
        <f t="shared" si="7"/>
        <v>2070531</v>
      </c>
      <c r="CA75" s="89">
        <f t="shared" si="8"/>
        <v>15789024</v>
      </c>
      <c r="CB75" s="89">
        <f t="shared" si="9"/>
        <v>430407962</v>
      </c>
    </row>
    <row r="76" spans="1:80" x14ac:dyDescent="0.25">
      <c r="A76" s="91" t="s">
        <v>130</v>
      </c>
      <c r="B76" s="122">
        <v>178233640</v>
      </c>
      <c r="C76" s="122">
        <v>145905631</v>
      </c>
      <c r="D76" s="122">
        <v>54772013</v>
      </c>
      <c r="E76" s="122">
        <v>0</v>
      </c>
      <c r="F76" s="122">
        <v>27533466</v>
      </c>
      <c r="G76" s="122">
        <v>7741100</v>
      </c>
      <c r="H76" s="122">
        <v>6172075</v>
      </c>
      <c r="I76" s="122">
        <v>574700</v>
      </c>
      <c r="J76" s="122">
        <v>18100</v>
      </c>
      <c r="K76" s="122">
        <v>0</v>
      </c>
      <c r="L76" s="122">
        <v>310720295</v>
      </c>
      <c r="M76" s="122">
        <v>16850292</v>
      </c>
      <c r="N76" s="122">
        <v>1012</v>
      </c>
      <c r="O76" s="122">
        <v>267</v>
      </c>
      <c r="P76" s="122">
        <v>2207959</v>
      </c>
      <c r="Q76" s="122">
        <v>1347575</v>
      </c>
      <c r="R76" s="122">
        <v>292500</v>
      </c>
      <c r="S76" s="122">
        <v>1654300</v>
      </c>
      <c r="T76" s="122">
        <v>1965262</v>
      </c>
      <c r="U76" s="122">
        <v>280949</v>
      </c>
      <c r="V76" s="122">
        <v>2207959</v>
      </c>
      <c r="W76" s="122">
        <v>1400520</v>
      </c>
      <c r="X76" s="122">
        <v>292500</v>
      </c>
      <c r="Y76" s="122">
        <v>1654300</v>
      </c>
      <c r="Z76" s="122">
        <v>1154970</v>
      </c>
      <c r="AA76" s="122">
        <v>280949</v>
      </c>
      <c r="AB76" s="122">
        <v>-2927584</v>
      </c>
      <c r="AC76" s="122">
        <v>0</v>
      </c>
      <c r="AD76" s="122">
        <v>15902</v>
      </c>
      <c r="AE76" s="122">
        <v>2973</v>
      </c>
      <c r="AF76" s="122">
        <v>6247514</v>
      </c>
      <c r="AG76" s="122">
        <v>155371</v>
      </c>
      <c r="AH76" s="116">
        <v>7776106.5573770497</v>
      </c>
      <c r="AI76" s="122">
        <v>21725.409836065573</v>
      </c>
      <c r="AJ76" s="120">
        <v>7762983.6065573776</v>
      </c>
      <c r="AK76" s="82">
        <v>74134930</v>
      </c>
      <c r="AL76" s="83">
        <v>2517471</v>
      </c>
      <c r="AM76" s="122">
        <v>0</v>
      </c>
      <c r="AN76" s="122">
        <v>30378672</v>
      </c>
      <c r="AO76" s="122">
        <v>1181845</v>
      </c>
      <c r="AP76" s="122">
        <v>18632729</v>
      </c>
      <c r="AQ76" s="122">
        <v>14098380</v>
      </c>
      <c r="AR76" s="122">
        <v>8351031</v>
      </c>
      <c r="AS76" s="122">
        <v>0</v>
      </c>
      <c r="AT76" s="122">
        <v>26935192</v>
      </c>
      <c r="AU76" s="122">
        <v>0</v>
      </c>
      <c r="AV76" s="122">
        <v>11451429</v>
      </c>
      <c r="AW76" s="122">
        <v>2870349</v>
      </c>
      <c r="AX76" s="122">
        <v>0</v>
      </c>
      <c r="AY76" s="122">
        <v>157392</v>
      </c>
      <c r="BD76" s="82">
        <v>3989004.38</v>
      </c>
      <c r="BE76" s="82">
        <v>2034392</v>
      </c>
      <c r="BF76" s="117">
        <v>14892746</v>
      </c>
      <c r="BG76" s="118">
        <v>0</v>
      </c>
      <c r="BH76" s="118">
        <v>0</v>
      </c>
      <c r="BI76" s="117">
        <v>5928562</v>
      </c>
      <c r="BJ76" s="117">
        <v>5928562</v>
      </c>
      <c r="BK76" s="117">
        <v>22465030</v>
      </c>
      <c r="BL76" s="117">
        <v>22465030</v>
      </c>
      <c r="BM76" s="117">
        <v>0</v>
      </c>
      <c r="BN76" s="117">
        <v>0</v>
      </c>
      <c r="BO76" s="123"/>
      <c r="BP76" s="86">
        <v>547211381.57377052</v>
      </c>
      <c r="BQ76" s="86">
        <v>440130996.57377046</v>
      </c>
      <c r="BR76" s="87">
        <v>574619</v>
      </c>
      <c r="BT76" s="122">
        <v>4205</v>
      </c>
      <c r="BU76" s="122">
        <v>2076</v>
      </c>
      <c r="BV76" s="122">
        <v>295</v>
      </c>
      <c r="BW76" s="114">
        <f t="shared" si="6"/>
        <v>6576</v>
      </c>
      <c r="BX76" s="89">
        <v>378911284</v>
      </c>
      <c r="BY76" s="90">
        <f t="shared" si="7"/>
        <v>74134930</v>
      </c>
      <c r="BZ76" s="90">
        <f t="shared" si="7"/>
        <v>2517471</v>
      </c>
      <c r="CA76" s="89">
        <f t="shared" si="8"/>
        <v>45658897</v>
      </c>
      <c r="CB76" s="89">
        <f t="shared" si="9"/>
        <v>501222582</v>
      </c>
    </row>
    <row r="77" spans="1:80" x14ac:dyDescent="0.25">
      <c r="A77" s="91" t="s">
        <v>131</v>
      </c>
      <c r="B77" s="114">
        <v>3033852959</v>
      </c>
      <c r="C77" s="114">
        <v>274711578</v>
      </c>
      <c r="D77" s="114">
        <v>1059309324</v>
      </c>
      <c r="E77" s="114">
        <v>0</v>
      </c>
      <c r="F77" s="114">
        <v>209621871</v>
      </c>
      <c r="G77" s="114">
        <v>25655679</v>
      </c>
      <c r="H77" s="114">
        <v>20712439</v>
      </c>
      <c r="I77" s="114">
        <v>1464020</v>
      </c>
      <c r="J77" s="114">
        <v>442800</v>
      </c>
      <c r="K77" s="114">
        <v>36900</v>
      </c>
      <c r="L77" s="114">
        <v>444574701</v>
      </c>
      <c r="M77" s="114">
        <v>199342760</v>
      </c>
      <c r="N77" s="114">
        <v>6455</v>
      </c>
      <c r="O77" s="114">
        <v>797</v>
      </c>
      <c r="P77" s="114">
        <v>41723374</v>
      </c>
      <c r="Q77" s="114">
        <v>10247833</v>
      </c>
      <c r="R77" s="114">
        <v>19541495</v>
      </c>
      <c r="S77" s="114">
        <v>25175789</v>
      </c>
      <c r="T77" s="114">
        <v>4531285</v>
      </c>
      <c r="U77" s="114">
        <v>10014203</v>
      </c>
      <c r="V77" s="114">
        <v>41723374</v>
      </c>
      <c r="W77" s="114">
        <v>11513033</v>
      </c>
      <c r="X77" s="114">
        <v>19541495</v>
      </c>
      <c r="Y77" s="114">
        <v>25175789</v>
      </c>
      <c r="Z77" s="114">
        <v>10065713</v>
      </c>
      <c r="AA77" s="114">
        <v>10014203</v>
      </c>
      <c r="AB77" s="114">
        <v>-4807518</v>
      </c>
      <c r="AC77" s="114">
        <v>-487163</v>
      </c>
      <c r="AD77" s="114">
        <v>2217</v>
      </c>
      <c r="AE77" s="114">
        <v>11294</v>
      </c>
      <c r="AF77" s="114">
        <v>88721157</v>
      </c>
      <c r="AG77" s="114">
        <v>245032</v>
      </c>
      <c r="AH77" s="116">
        <v>0</v>
      </c>
      <c r="AI77" s="114">
        <v>902491.80327868857</v>
      </c>
      <c r="AJ77" s="120">
        <v>0</v>
      </c>
      <c r="AK77" s="82">
        <v>540344130</v>
      </c>
      <c r="AL77" s="83">
        <f>10727104+253347</f>
        <v>10980451</v>
      </c>
      <c r="AM77" s="114">
        <v>81920</v>
      </c>
      <c r="AN77" s="114">
        <v>143160502</v>
      </c>
      <c r="AO77" s="114">
        <v>22486211</v>
      </c>
      <c r="AP77" s="114">
        <v>491049541</v>
      </c>
      <c r="AQ77" s="114">
        <v>149103593</v>
      </c>
      <c r="AR77" s="114">
        <v>157457452</v>
      </c>
      <c r="AS77" s="114">
        <v>53887994</v>
      </c>
      <c r="AT77" s="114">
        <f>4629853+86518805</f>
        <v>91148658</v>
      </c>
      <c r="AU77" s="114">
        <v>0</v>
      </c>
      <c r="AV77" s="114">
        <v>0</v>
      </c>
      <c r="AW77" s="114">
        <v>2130016</v>
      </c>
      <c r="AX77" s="114">
        <v>189570</v>
      </c>
      <c r="AY77" s="114">
        <v>1209912</v>
      </c>
      <c r="AZ77" s="114"/>
      <c r="BA77" s="114"/>
      <c r="BB77" s="114"/>
      <c r="BC77" s="114"/>
      <c r="BD77" s="82">
        <v>29074487.600000001</v>
      </c>
      <c r="BE77" s="82">
        <v>14827989</v>
      </c>
      <c r="BF77" s="117"/>
      <c r="BG77" s="118">
        <v>1919459</v>
      </c>
      <c r="BH77" s="118">
        <v>3763646</v>
      </c>
      <c r="BI77" s="117">
        <v>56632591</v>
      </c>
      <c r="BJ77" s="117">
        <v>56632591</v>
      </c>
      <c r="BK77" s="117">
        <v>121163469</v>
      </c>
      <c r="BL77" s="117">
        <v>117172092</v>
      </c>
      <c r="BM77" s="117">
        <v>0</v>
      </c>
      <c r="BN77" s="117">
        <v>0</v>
      </c>
      <c r="BO77" s="119"/>
      <c r="BP77" s="86">
        <v>5425403370.8032789</v>
      </c>
      <c r="BQ77" s="86">
        <v>4683526658.8032789</v>
      </c>
      <c r="BR77" s="87">
        <v>3067810</v>
      </c>
      <c r="BT77" s="114">
        <v>28829</v>
      </c>
      <c r="BU77" s="114">
        <v>3531</v>
      </c>
      <c r="BV77" s="114">
        <v>2351</v>
      </c>
      <c r="BW77" s="114">
        <f t="shared" si="6"/>
        <v>34711</v>
      </c>
      <c r="BX77" s="89">
        <v>4367873861</v>
      </c>
      <c r="BY77" s="90">
        <f t="shared" si="7"/>
        <v>540344130</v>
      </c>
      <c r="BZ77" s="90">
        <f t="shared" si="7"/>
        <v>10980451</v>
      </c>
      <c r="CA77" s="89">
        <f t="shared" si="8"/>
        <v>368638300</v>
      </c>
      <c r="CB77" s="89">
        <f t="shared" si="9"/>
        <v>5287836742</v>
      </c>
    </row>
    <row r="78" spans="1:80" x14ac:dyDescent="0.25">
      <c r="A78" s="91" t="s">
        <v>132</v>
      </c>
      <c r="B78" s="114">
        <v>109216170</v>
      </c>
      <c r="C78" s="114">
        <v>47763918</v>
      </c>
      <c r="D78" s="114">
        <v>39439511</v>
      </c>
      <c r="E78" s="114">
        <v>0</v>
      </c>
      <c r="F78" s="114">
        <v>20519500</v>
      </c>
      <c r="G78" s="114">
        <v>24345410</v>
      </c>
      <c r="H78" s="114">
        <v>9427971</v>
      </c>
      <c r="I78" s="114">
        <v>7226040</v>
      </c>
      <c r="J78" s="114">
        <v>15000</v>
      </c>
      <c r="K78" s="114">
        <v>0</v>
      </c>
      <c r="L78" s="114">
        <v>78378930</v>
      </c>
      <c r="M78" s="114">
        <v>37508550</v>
      </c>
      <c r="N78" s="114">
        <v>1004</v>
      </c>
      <c r="O78" s="114">
        <v>1185</v>
      </c>
      <c r="P78" s="114">
        <v>1703900</v>
      </c>
      <c r="Q78" s="114">
        <v>449500</v>
      </c>
      <c r="R78" s="114">
        <v>293000</v>
      </c>
      <c r="S78" s="114">
        <v>1616225</v>
      </c>
      <c r="T78" s="114">
        <v>137600</v>
      </c>
      <c r="U78" s="114">
        <v>6872745</v>
      </c>
      <c r="V78" s="114">
        <v>1703900</v>
      </c>
      <c r="W78" s="114">
        <v>530000</v>
      </c>
      <c r="X78" s="114">
        <v>293000</v>
      </c>
      <c r="Y78" s="114">
        <v>1616225</v>
      </c>
      <c r="Z78" s="114">
        <v>160300</v>
      </c>
      <c r="AA78" s="114">
        <v>6872745</v>
      </c>
      <c r="AB78" s="114">
        <v>-7706145</v>
      </c>
      <c r="AC78" s="114">
        <v>-40481</v>
      </c>
      <c r="AD78" s="114">
        <v>147980</v>
      </c>
      <c r="AE78" s="114">
        <v>0</v>
      </c>
      <c r="AF78" s="114">
        <v>0</v>
      </c>
      <c r="AG78" s="114">
        <v>190626</v>
      </c>
      <c r="AH78" s="116">
        <v>10010073.770491805</v>
      </c>
      <c r="AI78" s="114">
        <v>6179577.0491803288</v>
      </c>
      <c r="AJ78" s="120">
        <v>11162500</v>
      </c>
      <c r="AK78" s="82">
        <v>75783448</v>
      </c>
      <c r="AL78" s="83">
        <v>1631932</v>
      </c>
      <c r="AM78" s="114">
        <v>0</v>
      </c>
      <c r="AN78" s="114">
        <v>21811421</v>
      </c>
      <c r="AO78" s="114">
        <v>126469</v>
      </c>
      <c r="AP78" s="114">
        <v>2474620</v>
      </c>
      <c r="AQ78" s="114">
        <v>7185588</v>
      </c>
      <c r="AR78" s="114">
        <v>1448005</v>
      </c>
      <c r="AS78" s="114">
        <v>0</v>
      </c>
      <c r="AT78" s="114">
        <v>311432</v>
      </c>
      <c r="AU78" s="114">
        <v>0</v>
      </c>
      <c r="AV78" s="114">
        <v>0</v>
      </c>
      <c r="AW78" s="114">
        <v>0</v>
      </c>
      <c r="AX78" s="114">
        <v>0</v>
      </c>
      <c r="AY78" s="114">
        <v>0</v>
      </c>
      <c r="AZ78" s="114"/>
      <c r="BA78" s="114"/>
      <c r="BB78" s="114"/>
      <c r="BC78" s="114"/>
      <c r="BD78" s="82">
        <v>4077706.77</v>
      </c>
      <c r="BE78" s="82">
        <v>2079630</v>
      </c>
      <c r="BF78" s="117"/>
      <c r="BG78" s="118">
        <v>0</v>
      </c>
      <c r="BH78" s="118">
        <v>0</v>
      </c>
      <c r="BI78" s="117">
        <v>1175491</v>
      </c>
      <c r="BJ78" s="117">
        <v>1175491</v>
      </c>
      <c r="BK78" s="117">
        <v>44504340</v>
      </c>
      <c r="BL78" s="117">
        <v>44463857</v>
      </c>
      <c r="BM78" s="117">
        <v>0</v>
      </c>
      <c r="BN78" s="117">
        <v>0</v>
      </c>
      <c r="BO78" s="119"/>
      <c r="BP78" s="86">
        <v>378029585.81967211</v>
      </c>
      <c r="BQ78" s="86">
        <v>252895227.81967214</v>
      </c>
      <c r="BR78" s="87">
        <v>345914</v>
      </c>
      <c r="BT78" s="114">
        <v>6293</v>
      </c>
      <c r="BU78" s="114">
        <v>3675</v>
      </c>
      <c r="BV78" s="114">
        <v>293</v>
      </c>
      <c r="BW78" s="114">
        <f t="shared" si="6"/>
        <v>10261</v>
      </c>
      <c r="BX78" s="89">
        <v>196419599</v>
      </c>
      <c r="BY78" s="90">
        <f t="shared" si="7"/>
        <v>75783448</v>
      </c>
      <c r="BZ78" s="90">
        <f t="shared" si="7"/>
        <v>1631932</v>
      </c>
      <c r="CA78" s="89">
        <f t="shared" si="8"/>
        <v>29123478</v>
      </c>
      <c r="CB78" s="89">
        <f t="shared" si="9"/>
        <v>302958457</v>
      </c>
    </row>
    <row r="79" spans="1:80" x14ac:dyDescent="0.25">
      <c r="A79" s="91" t="s">
        <v>133</v>
      </c>
      <c r="B79" s="114">
        <v>449409363</v>
      </c>
      <c r="C79" s="114">
        <v>189982355</v>
      </c>
      <c r="D79" s="114">
        <v>261758739</v>
      </c>
      <c r="E79" s="114">
        <v>14750000</v>
      </c>
      <c r="F79" s="114">
        <v>48279350</v>
      </c>
      <c r="G79" s="114">
        <v>10836815</v>
      </c>
      <c r="H79" s="114">
        <v>14491100</v>
      </c>
      <c r="I79" s="114">
        <v>2262500</v>
      </c>
      <c r="J79" s="114">
        <v>110700</v>
      </c>
      <c r="K79" s="114">
        <v>36900</v>
      </c>
      <c r="L79" s="114">
        <v>334742377</v>
      </c>
      <c r="M79" s="114">
        <v>116764350</v>
      </c>
      <c r="N79" s="114">
        <v>1757</v>
      </c>
      <c r="O79" s="114">
        <v>400</v>
      </c>
      <c r="P79" s="114">
        <v>6285579</v>
      </c>
      <c r="Q79" s="114">
        <v>3914324</v>
      </c>
      <c r="R79" s="114">
        <v>7635900</v>
      </c>
      <c r="S79" s="114">
        <v>4121566</v>
      </c>
      <c r="T79" s="114">
        <v>1885576</v>
      </c>
      <c r="U79" s="114">
        <v>1425950</v>
      </c>
      <c r="V79" s="114">
        <v>6285579</v>
      </c>
      <c r="W79" s="114">
        <v>5244009</v>
      </c>
      <c r="X79" s="114">
        <v>7624900</v>
      </c>
      <c r="Y79" s="114">
        <v>4120566</v>
      </c>
      <c r="Z79" s="114">
        <v>4124401</v>
      </c>
      <c r="AA79" s="114">
        <v>1425950</v>
      </c>
      <c r="AB79" s="114">
        <v>-1511850</v>
      </c>
      <c r="AC79" s="114">
        <v>0</v>
      </c>
      <c r="AD79" s="114">
        <v>53608</v>
      </c>
      <c r="AE79" s="114">
        <v>0</v>
      </c>
      <c r="AF79" s="114">
        <v>0</v>
      </c>
      <c r="AG79" s="114">
        <v>204293</v>
      </c>
      <c r="AH79" s="116">
        <v>84877.049180327871</v>
      </c>
      <c r="AI79" s="114">
        <v>256622.95081967214</v>
      </c>
      <c r="AJ79" s="120">
        <v>0</v>
      </c>
      <c r="AK79" s="82">
        <v>118221961</v>
      </c>
      <c r="AL79" s="83">
        <v>1905579</v>
      </c>
      <c r="AM79" s="114">
        <v>0</v>
      </c>
      <c r="AN79" s="114">
        <v>39026004</v>
      </c>
      <c r="AO79" s="114">
        <v>11724839</v>
      </c>
      <c r="AP79" s="114">
        <v>301570406</v>
      </c>
      <c r="AQ79" s="114">
        <v>33784325</v>
      </c>
      <c r="AR79" s="114">
        <v>76877937</v>
      </c>
      <c r="AS79" s="114">
        <v>3742808</v>
      </c>
      <c r="AT79" s="114">
        <v>9114009</v>
      </c>
      <c r="AU79" s="114">
        <v>0</v>
      </c>
      <c r="AV79" s="114">
        <v>300000</v>
      </c>
      <c r="AW79" s="114">
        <v>0</v>
      </c>
      <c r="AX79" s="114">
        <v>0</v>
      </c>
      <c r="AY79" s="114">
        <v>21000</v>
      </c>
      <c r="AZ79" s="114"/>
      <c r="BA79" s="114"/>
      <c r="BB79" s="114"/>
      <c r="BC79" s="114"/>
      <c r="BD79" s="82">
        <v>6361210.8399999999</v>
      </c>
      <c r="BE79" s="82">
        <v>3244218</v>
      </c>
      <c r="BF79" s="117"/>
      <c r="BG79" s="118">
        <v>0</v>
      </c>
      <c r="BH79" s="118">
        <v>0</v>
      </c>
      <c r="BI79" s="117">
        <v>18088658</v>
      </c>
      <c r="BJ79" s="117">
        <v>18088658</v>
      </c>
      <c r="BK79" s="117">
        <v>43430794</v>
      </c>
      <c r="BL79" s="117">
        <v>43219845</v>
      </c>
      <c r="BM79" s="117">
        <v>106169192</v>
      </c>
      <c r="BN79" s="117">
        <v>0</v>
      </c>
      <c r="BO79" s="119"/>
      <c r="BP79" s="86">
        <v>1276876578</v>
      </c>
      <c r="BQ79" s="86">
        <v>986027125</v>
      </c>
      <c r="BR79" s="87">
        <v>1010000</v>
      </c>
      <c r="BT79" s="114">
        <v>6728</v>
      </c>
      <c r="BU79" s="114">
        <v>2964</v>
      </c>
      <c r="BV79" s="114">
        <v>628</v>
      </c>
      <c r="BW79" s="114">
        <f t="shared" si="6"/>
        <v>10320</v>
      </c>
      <c r="BX79" s="89">
        <v>901150457</v>
      </c>
      <c r="BY79" s="90">
        <f t="shared" si="7"/>
        <v>118221961</v>
      </c>
      <c r="BZ79" s="90">
        <f t="shared" si="7"/>
        <v>1905579</v>
      </c>
      <c r="CA79" s="89">
        <f t="shared" si="8"/>
        <v>88277976</v>
      </c>
      <c r="CB79" s="89">
        <f t="shared" si="9"/>
        <v>1109555973</v>
      </c>
    </row>
    <row r="80" spans="1:80" x14ac:dyDescent="0.25">
      <c r="A80" s="91" t="s">
        <v>134</v>
      </c>
      <c r="B80" s="114">
        <v>1245327185</v>
      </c>
      <c r="C80" s="114">
        <v>202496891</v>
      </c>
      <c r="D80" s="114">
        <v>389175316</v>
      </c>
      <c r="E80" s="114">
        <v>0</v>
      </c>
      <c r="F80" s="114">
        <v>111825711</v>
      </c>
      <c r="G80" s="114">
        <v>16959011</v>
      </c>
      <c r="H80" s="114">
        <v>20915585</v>
      </c>
      <c r="I80" s="114">
        <v>1858746</v>
      </c>
      <c r="J80" s="114">
        <v>562600</v>
      </c>
      <c r="K80" s="114">
        <v>36900</v>
      </c>
      <c r="L80" s="114">
        <v>216102970</v>
      </c>
      <c r="M80" s="114">
        <v>138808190</v>
      </c>
      <c r="N80" s="114">
        <v>3809</v>
      </c>
      <c r="O80" s="114">
        <v>597</v>
      </c>
      <c r="P80" s="114">
        <v>14661639</v>
      </c>
      <c r="Q80" s="114">
        <v>3450072</v>
      </c>
      <c r="R80" s="114">
        <v>14622493</v>
      </c>
      <c r="S80" s="114">
        <v>7808791</v>
      </c>
      <c r="T80" s="114">
        <v>737577</v>
      </c>
      <c r="U80" s="114">
        <v>3032700</v>
      </c>
      <c r="V80" s="114">
        <v>14764239</v>
      </c>
      <c r="W80" s="114">
        <v>6034910</v>
      </c>
      <c r="X80" s="114">
        <v>14622493</v>
      </c>
      <c r="Y80" s="114">
        <v>8014591</v>
      </c>
      <c r="Z80" s="114">
        <v>1560725</v>
      </c>
      <c r="AA80" s="114">
        <v>3032700</v>
      </c>
      <c r="AB80" s="114">
        <v>-7830110</v>
      </c>
      <c r="AC80" s="114">
        <v>-1553685</v>
      </c>
      <c r="AD80" s="114">
        <v>0</v>
      </c>
      <c r="AE80" s="114">
        <v>0</v>
      </c>
      <c r="AF80" s="114">
        <v>0</v>
      </c>
      <c r="AG80" s="114">
        <v>130997</v>
      </c>
      <c r="AH80" s="116">
        <v>0</v>
      </c>
      <c r="AI80" s="114">
        <v>37786.885245901642</v>
      </c>
      <c r="AJ80" s="120">
        <v>0</v>
      </c>
      <c r="AK80" s="82">
        <v>261870633</v>
      </c>
      <c r="AL80" s="83">
        <v>24200870</v>
      </c>
      <c r="AM80" s="114">
        <v>7511535</v>
      </c>
      <c r="AN80" s="114">
        <v>100482629</v>
      </c>
      <c r="AO80" s="114">
        <v>43012332</v>
      </c>
      <c r="AP80" s="114">
        <v>1216269252</v>
      </c>
      <c r="AQ80" s="114">
        <v>81076858</v>
      </c>
      <c r="AR80" s="114">
        <v>135485228</v>
      </c>
      <c r="AS80" s="114">
        <v>109543455</v>
      </c>
      <c r="AT80" s="114">
        <v>2842392</v>
      </c>
      <c r="AU80" s="114">
        <v>0</v>
      </c>
      <c r="AV80" s="114">
        <v>0</v>
      </c>
      <c r="AW80" s="114">
        <v>483054</v>
      </c>
      <c r="AX80" s="114">
        <v>99231</v>
      </c>
      <c r="AY80" s="114">
        <v>62000</v>
      </c>
      <c r="AZ80" s="114"/>
      <c r="BA80" s="114"/>
      <c r="BB80" s="114"/>
      <c r="BC80" s="114"/>
      <c r="BD80" s="82">
        <v>14090565.710000001</v>
      </c>
      <c r="BE80" s="82">
        <v>7186189</v>
      </c>
      <c r="BF80" s="117">
        <v>18381606</v>
      </c>
      <c r="BG80" s="118">
        <v>1160285</v>
      </c>
      <c r="BH80" s="118">
        <v>2275068</v>
      </c>
      <c r="BI80" s="117">
        <v>16011892</v>
      </c>
      <c r="BJ80" s="117">
        <v>13538766</v>
      </c>
      <c r="BK80" s="117">
        <v>62695055</v>
      </c>
      <c r="BL80" s="117">
        <v>60875357</v>
      </c>
      <c r="BM80" s="117">
        <v>0</v>
      </c>
      <c r="BN80" s="117">
        <v>12582886</v>
      </c>
      <c r="BO80" s="119"/>
      <c r="BP80" s="86">
        <v>2443023983.8852458</v>
      </c>
      <c r="BQ80" s="86">
        <v>2061608997.8852458</v>
      </c>
      <c r="BR80" s="87">
        <v>2076377</v>
      </c>
      <c r="BT80" s="114">
        <f>21092+906</f>
        <v>21998</v>
      </c>
      <c r="BU80" s="114">
        <v>3821</v>
      </c>
      <c r="BV80" s="114">
        <v>1286</v>
      </c>
      <c r="BW80" s="114">
        <f t="shared" si="6"/>
        <v>27105</v>
      </c>
      <c r="BX80" s="89">
        <v>1836999392</v>
      </c>
      <c r="BY80" s="90">
        <f t="shared" si="7"/>
        <v>261870633</v>
      </c>
      <c r="BZ80" s="90">
        <f t="shared" si="7"/>
        <v>24200870</v>
      </c>
      <c r="CA80" s="89">
        <f t="shared" si="8"/>
        <v>334115274</v>
      </c>
      <c r="CB80" s="89">
        <f t="shared" si="9"/>
        <v>2457186169</v>
      </c>
    </row>
    <row r="81" spans="1:80" x14ac:dyDescent="0.25">
      <c r="A81" s="91" t="s">
        <v>135</v>
      </c>
      <c r="B81" s="114">
        <v>97013949</v>
      </c>
      <c r="C81" s="114">
        <v>28380999</v>
      </c>
      <c r="D81" s="114">
        <v>77913791</v>
      </c>
      <c r="E81" s="114">
        <v>0</v>
      </c>
      <c r="F81" s="114">
        <v>19862350</v>
      </c>
      <c r="G81" s="114">
        <v>21820545</v>
      </c>
      <c r="H81" s="114">
        <v>7724100</v>
      </c>
      <c r="I81" s="114">
        <v>4051175</v>
      </c>
      <c r="J81" s="114">
        <v>124700</v>
      </c>
      <c r="K81" s="114">
        <v>0</v>
      </c>
      <c r="L81" s="114">
        <v>16216151</v>
      </c>
      <c r="M81" s="114">
        <v>59650</v>
      </c>
      <c r="N81" s="114">
        <v>966</v>
      </c>
      <c r="O81" s="114">
        <v>943</v>
      </c>
      <c r="P81" s="114">
        <v>1571925</v>
      </c>
      <c r="Q81" s="114">
        <v>68500</v>
      </c>
      <c r="R81" s="114">
        <v>41500</v>
      </c>
      <c r="S81" s="114">
        <v>1722386</v>
      </c>
      <c r="T81" s="114">
        <v>89900</v>
      </c>
      <c r="U81" s="114">
        <v>4058700</v>
      </c>
      <c r="V81" s="114">
        <v>1571925</v>
      </c>
      <c r="W81" s="114">
        <v>89500</v>
      </c>
      <c r="X81" s="114">
        <v>41500</v>
      </c>
      <c r="Y81" s="114">
        <v>1722386</v>
      </c>
      <c r="Z81" s="114">
        <v>125200</v>
      </c>
      <c r="AA81" s="114">
        <v>4058700</v>
      </c>
      <c r="AB81" s="114">
        <v>-6296494</v>
      </c>
      <c r="AC81" s="114">
        <v>-381777</v>
      </c>
      <c r="AD81" s="114">
        <v>0</v>
      </c>
      <c r="AE81" s="114">
        <v>0</v>
      </c>
      <c r="AF81" s="114">
        <v>0</v>
      </c>
      <c r="AG81" s="114">
        <v>0</v>
      </c>
      <c r="AH81" s="116">
        <v>1080893.442622951</v>
      </c>
      <c r="AI81" s="114">
        <v>75261135.245901629</v>
      </c>
      <c r="AJ81" s="120">
        <v>49830674</v>
      </c>
      <c r="AK81" s="82">
        <v>76457696</v>
      </c>
      <c r="AL81" s="83">
        <v>3025805</v>
      </c>
      <c r="AM81" s="114">
        <v>19000</v>
      </c>
      <c r="AN81" s="114">
        <v>57305188</v>
      </c>
      <c r="AO81" s="114">
        <v>191131</v>
      </c>
      <c r="AP81" s="114">
        <v>28188891</v>
      </c>
      <c r="AQ81" s="114">
        <v>10330705</v>
      </c>
      <c r="AR81" s="114">
        <v>3639953</v>
      </c>
      <c r="AS81" s="114">
        <v>1779723</v>
      </c>
      <c r="AT81" s="114">
        <v>122659</v>
      </c>
      <c r="AU81" s="114">
        <v>0</v>
      </c>
      <c r="AV81" s="114">
        <v>0</v>
      </c>
      <c r="AW81" s="114">
        <v>0</v>
      </c>
      <c r="AX81" s="114">
        <v>0</v>
      </c>
      <c r="AY81" s="114">
        <v>10625000</v>
      </c>
      <c r="AZ81" s="114"/>
      <c r="BA81" s="114"/>
      <c r="BB81" s="114"/>
      <c r="BC81" s="114"/>
      <c r="BD81" s="82">
        <v>4113986.27</v>
      </c>
      <c r="BE81" s="82">
        <v>2098133</v>
      </c>
      <c r="BF81" s="117"/>
      <c r="BG81" s="118">
        <v>3952404</v>
      </c>
      <c r="BH81" s="118">
        <v>7749811</v>
      </c>
      <c r="BI81" s="117">
        <v>29185640</v>
      </c>
      <c r="BJ81" s="117">
        <v>29185640</v>
      </c>
      <c r="BK81" s="117">
        <v>53004352</v>
      </c>
      <c r="BL81" s="117">
        <v>46686919</v>
      </c>
      <c r="BM81" s="117">
        <v>0</v>
      </c>
      <c r="BN81" s="117">
        <v>0</v>
      </c>
      <c r="BO81" s="119"/>
      <c r="BP81" s="86">
        <v>558715062.6885246</v>
      </c>
      <c r="BQ81" s="86">
        <v>397308465.6885246</v>
      </c>
      <c r="BR81" s="87">
        <v>1288730</v>
      </c>
      <c r="BT81" s="114">
        <v>4778</v>
      </c>
      <c r="BU81" s="114">
        <v>1637</v>
      </c>
      <c r="BV81" s="114">
        <v>558</v>
      </c>
      <c r="BW81" s="114">
        <f t="shared" si="6"/>
        <v>6973</v>
      </c>
      <c r="BX81" s="89">
        <v>203308739</v>
      </c>
      <c r="BY81" s="90">
        <f t="shared" si="7"/>
        <v>76457696</v>
      </c>
      <c r="BZ81" s="90">
        <f t="shared" si="7"/>
        <v>3025805</v>
      </c>
      <c r="CA81" s="89">
        <f t="shared" si="8"/>
        <v>69606747</v>
      </c>
      <c r="CB81" s="89">
        <f t="shared" si="9"/>
        <v>352398987</v>
      </c>
    </row>
    <row r="82" spans="1:80" x14ac:dyDescent="0.25">
      <c r="A82" s="91" t="s">
        <v>136</v>
      </c>
      <c r="B82" s="114">
        <v>395702707</v>
      </c>
      <c r="C82" s="114">
        <v>108862731</v>
      </c>
      <c r="D82" s="114">
        <v>237789054</v>
      </c>
      <c r="E82" s="114">
        <v>27802390</v>
      </c>
      <c r="F82" s="114">
        <v>46030315</v>
      </c>
      <c r="G82" s="114">
        <v>7880095</v>
      </c>
      <c r="H82" s="114">
        <v>7528440</v>
      </c>
      <c r="I82" s="114">
        <v>837888</v>
      </c>
      <c r="J82" s="114">
        <v>110700</v>
      </c>
      <c r="K82" s="114">
        <v>36900</v>
      </c>
      <c r="L82" s="114">
        <v>281035323</v>
      </c>
      <c r="M82" s="114">
        <v>71196033</v>
      </c>
      <c r="N82" s="114">
        <v>1525</v>
      </c>
      <c r="O82" s="114">
        <v>264</v>
      </c>
      <c r="P82" s="114">
        <v>1611141</v>
      </c>
      <c r="Q82" s="114">
        <v>2133350</v>
      </c>
      <c r="R82" s="114">
        <v>1053897</v>
      </c>
      <c r="S82" s="114">
        <v>2936147</v>
      </c>
      <c r="T82" s="114">
        <v>676605</v>
      </c>
      <c r="U82" s="114">
        <v>1188433</v>
      </c>
      <c r="V82" s="114">
        <v>1611141</v>
      </c>
      <c r="W82" s="114">
        <v>2358680</v>
      </c>
      <c r="X82" s="114">
        <v>1053897</v>
      </c>
      <c r="Y82" s="114">
        <v>2936147</v>
      </c>
      <c r="Z82" s="114">
        <v>4335060</v>
      </c>
      <c r="AA82" s="114">
        <v>1188433</v>
      </c>
      <c r="AB82" s="114">
        <v>-2685796</v>
      </c>
      <c r="AC82" s="114">
        <v>-42127</v>
      </c>
      <c r="AD82" s="114">
        <v>745</v>
      </c>
      <c r="AE82" s="114">
        <v>0</v>
      </c>
      <c r="AF82" s="114">
        <v>0</v>
      </c>
      <c r="AG82" s="114">
        <v>906900</v>
      </c>
      <c r="AH82" s="116">
        <v>0</v>
      </c>
      <c r="AI82" s="114">
        <v>1993254.0983606558</v>
      </c>
      <c r="AJ82" s="120">
        <v>0</v>
      </c>
      <c r="AK82" s="82">
        <v>114485564</v>
      </c>
      <c r="AL82" s="83">
        <v>1958888</v>
      </c>
      <c r="AM82" s="114">
        <v>0</v>
      </c>
      <c r="AN82" s="114">
        <v>73060729</v>
      </c>
      <c r="AO82" s="114">
        <v>11628761</v>
      </c>
      <c r="AP82" s="114">
        <v>176955560</v>
      </c>
      <c r="AQ82" s="114">
        <v>38233246</v>
      </c>
      <c r="AR82" s="114">
        <v>55371227</v>
      </c>
      <c r="AS82" s="114">
        <v>92142392</v>
      </c>
      <c r="AT82" s="114">
        <v>0</v>
      </c>
      <c r="AU82" s="114">
        <v>0</v>
      </c>
      <c r="AV82" s="114">
        <v>0</v>
      </c>
      <c r="AW82" s="114">
        <v>27090822</v>
      </c>
      <c r="AX82" s="114">
        <v>50040</v>
      </c>
      <c r="AY82" s="114">
        <v>695150</v>
      </c>
      <c r="AZ82" s="114"/>
      <c r="BA82" s="114"/>
      <c r="BB82" s="114"/>
      <c r="BC82" s="114"/>
      <c r="BD82" s="82">
        <v>6160165.21</v>
      </c>
      <c r="BE82" s="82">
        <v>3141684</v>
      </c>
      <c r="BF82" s="117">
        <v>20724870</v>
      </c>
      <c r="BG82" s="118">
        <v>3372587</v>
      </c>
      <c r="BH82" s="118">
        <v>6612917</v>
      </c>
      <c r="BI82" s="117">
        <v>298774883</v>
      </c>
      <c r="BJ82" s="117">
        <v>298774883</v>
      </c>
      <c r="BK82" s="117">
        <v>78413748</v>
      </c>
      <c r="BL82" s="117">
        <v>73298801</v>
      </c>
      <c r="BM82" s="117">
        <v>19854</v>
      </c>
      <c r="BN82" s="117">
        <v>0</v>
      </c>
      <c r="BO82" s="119"/>
      <c r="BP82" s="86">
        <v>1362322743.0983605</v>
      </c>
      <c r="BQ82" s="86">
        <v>867270482.09836066</v>
      </c>
      <c r="BR82" s="87">
        <v>496424</v>
      </c>
      <c r="BT82" s="114">
        <v>7121</v>
      </c>
      <c r="BU82" s="114">
        <v>1683</v>
      </c>
      <c r="BV82" s="114">
        <v>688</v>
      </c>
      <c r="BW82" s="114">
        <f t="shared" si="6"/>
        <v>9492</v>
      </c>
      <c r="BX82" s="89">
        <v>742354492</v>
      </c>
      <c r="BY82" s="90">
        <f t="shared" si="7"/>
        <v>114485564</v>
      </c>
      <c r="BZ82" s="90">
        <f t="shared" si="7"/>
        <v>1958888</v>
      </c>
      <c r="CA82" s="89">
        <f t="shared" si="8"/>
        <v>215065128</v>
      </c>
      <c r="CB82" s="89">
        <f t="shared" si="9"/>
        <v>1073864072</v>
      </c>
    </row>
    <row r="83" spans="1:80" x14ac:dyDescent="0.25">
      <c r="A83" s="91" t="s">
        <v>137</v>
      </c>
      <c r="B83" s="114">
        <v>892377314</v>
      </c>
      <c r="C83" s="114">
        <v>166144600</v>
      </c>
      <c r="D83" s="114">
        <v>115676950</v>
      </c>
      <c r="E83" s="114">
        <v>0</v>
      </c>
      <c r="F83" s="114">
        <v>62344676</v>
      </c>
      <c r="G83" s="114">
        <v>14597465</v>
      </c>
      <c r="H83" s="114">
        <v>15961350</v>
      </c>
      <c r="I83" s="114">
        <v>1164550</v>
      </c>
      <c r="J83" s="114">
        <v>110700</v>
      </c>
      <c r="K83" s="114">
        <v>22000</v>
      </c>
      <c r="L83" s="114">
        <v>387659060</v>
      </c>
      <c r="M83" s="114">
        <v>121053000</v>
      </c>
      <c r="N83" s="114">
        <v>2216</v>
      </c>
      <c r="O83" s="114">
        <v>471</v>
      </c>
      <c r="P83" s="114">
        <v>11252900</v>
      </c>
      <c r="Q83" s="114">
        <v>1971000</v>
      </c>
      <c r="R83" s="114">
        <v>2709200</v>
      </c>
      <c r="S83" s="114">
        <v>2325100</v>
      </c>
      <c r="T83" s="114">
        <v>110500</v>
      </c>
      <c r="U83" s="114">
        <v>192800</v>
      </c>
      <c r="V83" s="114">
        <v>11252900</v>
      </c>
      <c r="W83" s="114">
        <v>1971000</v>
      </c>
      <c r="X83" s="114">
        <v>2709200</v>
      </c>
      <c r="Y83" s="114">
        <v>2325100</v>
      </c>
      <c r="Z83" s="114">
        <v>110500</v>
      </c>
      <c r="AA83" s="114">
        <v>192800</v>
      </c>
      <c r="AB83" s="114">
        <v>-1645400</v>
      </c>
      <c r="AC83" s="114">
        <v>11562</v>
      </c>
      <c r="AD83" s="114">
        <v>58137</v>
      </c>
      <c r="AE83" s="114">
        <v>0</v>
      </c>
      <c r="AF83" s="114">
        <v>0</v>
      </c>
      <c r="AG83" s="114">
        <v>143871</v>
      </c>
      <c r="AH83" s="116">
        <v>0</v>
      </c>
      <c r="AI83" s="114">
        <v>14689541.80327869</v>
      </c>
      <c r="AJ83" s="120">
        <v>0</v>
      </c>
      <c r="AK83" s="82">
        <v>184083580</v>
      </c>
      <c r="AL83" s="83">
        <v>8299688</v>
      </c>
      <c r="AM83" s="114">
        <v>0</v>
      </c>
      <c r="AN83" s="114">
        <v>42877326</v>
      </c>
      <c r="AO83" s="114">
        <v>2520261</v>
      </c>
      <c r="AP83" s="114">
        <v>42990872</v>
      </c>
      <c r="AQ83" s="114">
        <v>16192785</v>
      </c>
      <c r="AR83" s="114">
        <v>31973408</v>
      </c>
      <c r="AS83" s="114">
        <v>24219664</v>
      </c>
      <c r="AT83" s="114">
        <v>0</v>
      </c>
      <c r="AU83" s="114">
        <v>0</v>
      </c>
      <c r="AV83" s="114">
        <v>0</v>
      </c>
      <c r="AW83" s="114">
        <v>1067672</v>
      </c>
      <c r="AX83" s="114">
        <v>9093</v>
      </c>
      <c r="AY83" s="114">
        <v>0</v>
      </c>
      <c r="AZ83" s="114"/>
      <c r="BA83" s="114"/>
      <c r="BB83" s="114"/>
      <c r="BC83" s="114"/>
      <c r="BD83" s="82">
        <v>9905050.2599999998</v>
      </c>
      <c r="BE83" s="82">
        <v>5051576</v>
      </c>
      <c r="BF83" s="117">
        <v>59362694</v>
      </c>
      <c r="BG83" s="118">
        <v>1794235</v>
      </c>
      <c r="BH83" s="118">
        <v>3518107</v>
      </c>
      <c r="BI83" s="117">
        <v>20275267</v>
      </c>
      <c r="BJ83" s="117">
        <v>20014405</v>
      </c>
      <c r="BK83" s="117">
        <v>70340135</v>
      </c>
      <c r="BL83" s="117">
        <v>68418276</v>
      </c>
      <c r="BM83" s="117">
        <v>0</v>
      </c>
      <c r="BN83" s="117">
        <v>0</v>
      </c>
      <c r="BO83" s="119"/>
      <c r="BP83" s="86">
        <v>1538140537.8032787</v>
      </c>
      <c r="BQ83" s="86">
        <v>1250478777.8032787</v>
      </c>
      <c r="BR83" s="87">
        <v>4243550</v>
      </c>
      <c r="BT83" s="114">
        <v>12241</v>
      </c>
      <c r="BU83" s="114">
        <v>2378</v>
      </c>
      <c r="BV83" s="114">
        <v>550</v>
      </c>
      <c r="BW83" s="114">
        <f t="shared" si="6"/>
        <v>15169</v>
      </c>
      <c r="BX83" s="89">
        <v>1174198864</v>
      </c>
      <c r="BY83" s="90">
        <f t="shared" si="7"/>
        <v>184083580</v>
      </c>
      <c r="BZ83" s="90">
        <f t="shared" si="7"/>
        <v>8299688</v>
      </c>
      <c r="CA83" s="89">
        <f t="shared" si="8"/>
        <v>85810036</v>
      </c>
      <c r="CB83" s="89">
        <f t="shared" si="9"/>
        <v>1452392168</v>
      </c>
    </row>
    <row r="84" spans="1:80" x14ac:dyDescent="0.25">
      <c r="A84" s="91" t="s">
        <v>138</v>
      </c>
      <c r="B84" s="114">
        <v>92006879</v>
      </c>
      <c r="C84" s="114">
        <v>31617250</v>
      </c>
      <c r="D84" s="114">
        <v>9480380</v>
      </c>
      <c r="E84" s="114">
        <v>0</v>
      </c>
      <c r="F84" s="114">
        <v>11818571</v>
      </c>
      <c r="G84" s="114">
        <v>10445656</v>
      </c>
      <c r="H84" s="114">
        <v>5952835</v>
      </c>
      <c r="I84" s="114">
        <v>1738580</v>
      </c>
      <c r="J84" s="114">
        <v>0</v>
      </c>
      <c r="K84" s="114">
        <v>0</v>
      </c>
      <c r="L84" s="114">
        <v>31060886</v>
      </c>
      <c r="M84" s="114">
        <v>22254019</v>
      </c>
      <c r="N84" s="114">
        <v>576</v>
      </c>
      <c r="O84" s="114">
        <v>433</v>
      </c>
      <c r="P84" s="114">
        <v>1388100</v>
      </c>
      <c r="Q84" s="114">
        <v>0</v>
      </c>
      <c r="R84" s="114">
        <v>235000</v>
      </c>
      <c r="S84" s="114">
        <v>1163207</v>
      </c>
      <c r="T84" s="114">
        <v>0</v>
      </c>
      <c r="U84" s="114">
        <v>0</v>
      </c>
      <c r="V84" s="114">
        <v>1388100</v>
      </c>
      <c r="W84" s="114">
        <v>0</v>
      </c>
      <c r="X84" s="114">
        <v>235000</v>
      </c>
      <c r="Y84" s="114">
        <v>1163207</v>
      </c>
      <c r="Z84" s="114">
        <v>0</v>
      </c>
      <c r="AA84" s="114">
        <v>0</v>
      </c>
      <c r="AB84" s="114">
        <v>-1083031</v>
      </c>
      <c r="AC84" s="114">
        <v>0</v>
      </c>
      <c r="AD84" s="114">
        <v>0</v>
      </c>
      <c r="AE84" s="114">
        <v>0</v>
      </c>
      <c r="AF84" s="114">
        <v>0</v>
      </c>
      <c r="AG84" s="114">
        <v>0</v>
      </c>
      <c r="AH84" s="116">
        <v>0</v>
      </c>
      <c r="AI84" s="114">
        <v>228278.68852459016</v>
      </c>
      <c r="AJ84" s="120">
        <v>0</v>
      </c>
      <c r="AK84" s="82">
        <v>29029043</v>
      </c>
      <c r="AL84" s="83">
        <v>1296503</v>
      </c>
      <c r="AM84" s="114">
        <v>0</v>
      </c>
      <c r="AN84" s="114">
        <v>1573767</v>
      </c>
      <c r="AO84" s="114">
        <v>84874</v>
      </c>
      <c r="AP84" s="114">
        <v>2231677</v>
      </c>
      <c r="AQ84" s="114">
        <v>2792688</v>
      </c>
      <c r="AR84" s="114">
        <v>572441</v>
      </c>
      <c r="AS84" s="114">
        <v>0</v>
      </c>
      <c r="AT84" s="114">
        <v>83524</v>
      </c>
      <c r="AU84" s="114">
        <v>0</v>
      </c>
      <c r="AV84" s="114">
        <v>0</v>
      </c>
      <c r="AW84" s="114">
        <v>0</v>
      </c>
      <c r="AX84" s="114">
        <v>0</v>
      </c>
      <c r="AY84" s="114">
        <v>0</v>
      </c>
      <c r="AZ84" s="114"/>
      <c r="BA84" s="114"/>
      <c r="BB84" s="114"/>
      <c r="BC84" s="114"/>
      <c r="BD84" s="82">
        <v>1561975.98</v>
      </c>
      <c r="BE84" s="82">
        <v>796608</v>
      </c>
      <c r="BF84" s="117"/>
      <c r="BG84" s="118">
        <v>0</v>
      </c>
      <c r="BH84" s="118">
        <v>0</v>
      </c>
      <c r="BI84" s="117">
        <v>3790214</v>
      </c>
      <c r="BJ84" s="117">
        <v>3790214</v>
      </c>
      <c r="BK84" s="117">
        <v>21243366</v>
      </c>
      <c r="BL84" s="117">
        <v>21231221</v>
      </c>
      <c r="BM84" s="117">
        <v>0</v>
      </c>
      <c r="BN84" s="117">
        <v>0</v>
      </c>
      <c r="BO84" s="119"/>
      <c r="BP84" s="86">
        <v>193927705.6885246</v>
      </c>
      <c r="BQ84" s="86">
        <v>137784116.6885246</v>
      </c>
      <c r="BR84" s="87">
        <v>214530</v>
      </c>
      <c r="BT84" s="114">
        <v>4446</v>
      </c>
      <c r="BU84" s="114">
        <v>1331</v>
      </c>
      <c r="BV84" s="114">
        <v>110</v>
      </c>
      <c r="BW84" s="114">
        <f t="shared" si="6"/>
        <v>5887</v>
      </c>
      <c r="BX84" s="89">
        <v>133104509</v>
      </c>
      <c r="BY84" s="90">
        <f t="shared" si="7"/>
        <v>29029043</v>
      </c>
      <c r="BZ84" s="90">
        <f t="shared" si="7"/>
        <v>1296503</v>
      </c>
      <c r="CA84" s="89">
        <f t="shared" si="8"/>
        <v>4451329</v>
      </c>
      <c r="CB84" s="89">
        <f t="shared" si="9"/>
        <v>167881384</v>
      </c>
    </row>
    <row r="85" spans="1:80" x14ac:dyDescent="0.25">
      <c r="A85" s="91" t="s">
        <v>139</v>
      </c>
      <c r="B85" s="114">
        <v>741191125</v>
      </c>
      <c r="C85" s="114">
        <v>240798862</v>
      </c>
      <c r="D85" s="114">
        <v>238234297</v>
      </c>
      <c r="E85" s="114">
        <v>0</v>
      </c>
      <c r="F85" s="114">
        <v>66748405</v>
      </c>
      <c r="G85" s="114">
        <v>9362631</v>
      </c>
      <c r="H85" s="114">
        <v>17573502</v>
      </c>
      <c r="I85" s="114">
        <v>2180323</v>
      </c>
      <c r="J85" s="114">
        <v>73800</v>
      </c>
      <c r="K85" s="114">
        <v>0</v>
      </c>
      <c r="L85" s="114">
        <v>337503755</v>
      </c>
      <c r="M85" s="114">
        <v>188407513</v>
      </c>
      <c r="N85" s="114">
        <v>2323</v>
      </c>
      <c r="O85" s="114">
        <v>322</v>
      </c>
      <c r="P85" s="114">
        <v>5289529</v>
      </c>
      <c r="Q85" s="114">
        <v>3482162</v>
      </c>
      <c r="R85" s="114">
        <v>90400</v>
      </c>
      <c r="S85" s="114">
        <v>6057797</v>
      </c>
      <c r="T85" s="114">
        <v>551816</v>
      </c>
      <c r="U85" s="114">
        <v>3635435</v>
      </c>
      <c r="V85" s="114">
        <v>5289529</v>
      </c>
      <c r="W85" s="114">
        <v>3839469</v>
      </c>
      <c r="X85" s="114">
        <v>90400</v>
      </c>
      <c r="Y85" s="114">
        <v>6057267</v>
      </c>
      <c r="Z85" s="114">
        <v>1644764</v>
      </c>
      <c r="AA85" s="114">
        <v>3635435</v>
      </c>
      <c r="AB85" s="114">
        <v>-2953682</v>
      </c>
      <c r="AC85" s="114">
        <v>-110655</v>
      </c>
      <c r="AD85" s="114">
        <v>3559</v>
      </c>
      <c r="AE85" s="114">
        <v>0</v>
      </c>
      <c r="AF85" s="114">
        <v>0</v>
      </c>
      <c r="AG85" s="114">
        <v>136221</v>
      </c>
      <c r="AH85" s="116">
        <v>0</v>
      </c>
      <c r="AI85" s="114">
        <v>163631.1475409836</v>
      </c>
      <c r="AJ85" s="120">
        <v>0</v>
      </c>
      <c r="AK85" s="82">
        <v>152911647</v>
      </c>
      <c r="AL85" s="83">
        <f>3376599+4780210</f>
        <v>8156809</v>
      </c>
      <c r="AM85" s="114">
        <v>358162</v>
      </c>
      <c r="AN85" s="114">
        <v>28268444</v>
      </c>
      <c r="AO85" s="114">
        <v>17594417</v>
      </c>
      <c r="AP85" s="114">
        <v>536653478</v>
      </c>
      <c r="AQ85" s="114">
        <v>17129953</v>
      </c>
      <c r="AR85" s="114">
        <v>31261686</v>
      </c>
      <c r="AS85" s="114">
        <v>21620658</v>
      </c>
      <c r="AT85" s="114">
        <f>828417+240802888</f>
        <v>241631305</v>
      </c>
      <c r="AU85" s="114">
        <v>0</v>
      </c>
      <c r="AV85" s="114">
        <v>0</v>
      </c>
      <c r="AW85" s="114">
        <v>32527</v>
      </c>
      <c r="AX85" s="114">
        <v>135523</v>
      </c>
      <c r="AY85" s="114">
        <v>22000</v>
      </c>
      <c r="AZ85" s="114"/>
      <c r="BA85" s="114"/>
      <c r="BB85" s="114"/>
      <c r="BC85" s="114"/>
      <c r="BD85" s="82">
        <v>8227771.04</v>
      </c>
      <c r="BE85" s="82">
        <v>4196163</v>
      </c>
      <c r="BF85" s="117"/>
      <c r="BG85" s="118">
        <v>2242957</v>
      </c>
      <c r="BH85" s="118">
        <v>4397954</v>
      </c>
      <c r="BI85" s="117">
        <v>71532570</v>
      </c>
      <c r="BJ85" s="117">
        <v>71532570</v>
      </c>
      <c r="BK85" s="117">
        <v>70189472</v>
      </c>
      <c r="BL85" s="117">
        <v>66328986</v>
      </c>
      <c r="BM85" s="117">
        <v>0</v>
      </c>
      <c r="BN85" s="117">
        <v>0</v>
      </c>
      <c r="BO85" s="119"/>
      <c r="BP85" s="86">
        <v>1588749861.147541</v>
      </c>
      <c r="BQ85" s="86">
        <v>1283380729.147541</v>
      </c>
      <c r="BR85" s="87">
        <v>823913</v>
      </c>
      <c r="BT85" s="114">
        <v>8694</v>
      </c>
      <c r="BU85" s="114">
        <v>2416</v>
      </c>
      <c r="BV85" s="114">
        <v>598</v>
      </c>
      <c r="BW85" s="114">
        <f t="shared" si="6"/>
        <v>11708</v>
      </c>
      <c r="BX85" s="89">
        <v>1220224284</v>
      </c>
      <c r="BY85" s="90">
        <f t="shared" si="7"/>
        <v>152911647</v>
      </c>
      <c r="BZ85" s="90">
        <f t="shared" si="7"/>
        <v>8156809</v>
      </c>
      <c r="CA85" s="89">
        <f t="shared" si="8"/>
        <v>84613472</v>
      </c>
      <c r="CB85" s="89">
        <f t="shared" si="9"/>
        <v>1465906212</v>
      </c>
    </row>
    <row r="86" spans="1:80" x14ac:dyDescent="0.25">
      <c r="A86" s="91" t="s">
        <v>140</v>
      </c>
      <c r="B86" s="114">
        <v>111794712</v>
      </c>
      <c r="C86" s="114">
        <v>114049981</v>
      </c>
      <c r="D86" s="114">
        <v>47384974</v>
      </c>
      <c r="E86" s="114">
        <v>0</v>
      </c>
      <c r="F86" s="114">
        <v>19737520</v>
      </c>
      <c r="G86" s="114">
        <v>7216450</v>
      </c>
      <c r="H86" s="114">
        <v>13940854</v>
      </c>
      <c r="I86" s="114">
        <v>2090729</v>
      </c>
      <c r="J86" s="114">
        <v>73800</v>
      </c>
      <c r="K86" s="114">
        <v>0</v>
      </c>
      <c r="L86" s="114">
        <v>198136586</v>
      </c>
      <c r="M86" s="114">
        <v>0</v>
      </c>
      <c r="N86" s="114">
        <v>1006</v>
      </c>
      <c r="O86" s="114">
        <v>323</v>
      </c>
      <c r="P86" s="114">
        <v>1703295</v>
      </c>
      <c r="Q86" s="114">
        <v>2374059</v>
      </c>
      <c r="R86" s="114">
        <v>45000</v>
      </c>
      <c r="S86" s="114">
        <v>1657827</v>
      </c>
      <c r="T86" s="114">
        <v>1866547</v>
      </c>
      <c r="U86" s="114">
        <v>211000</v>
      </c>
      <c r="V86" s="114">
        <v>1703295</v>
      </c>
      <c r="W86" s="114">
        <v>3973561</v>
      </c>
      <c r="X86" s="114">
        <v>45000</v>
      </c>
      <c r="Y86" s="114">
        <v>1657827</v>
      </c>
      <c r="Z86" s="114">
        <v>3170585</v>
      </c>
      <c r="AA86" s="114">
        <v>211000</v>
      </c>
      <c r="AB86" s="114">
        <v>-1662525</v>
      </c>
      <c r="AC86" s="114">
        <v>0</v>
      </c>
      <c r="AD86" s="114">
        <v>73232</v>
      </c>
      <c r="AE86" s="114">
        <v>0</v>
      </c>
      <c r="AF86" s="114">
        <v>0</v>
      </c>
      <c r="AG86" s="114">
        <v>61913</v>
      </c>
      <c r="AH86" s="116">
        <v>1414885.2459016396</v>
      </c>
      <c r="AI86" s="114">
        <v>0</v>
      </c>
      <c r="AJ86" s="120">
        <v>0</v>
      </c>
      <c r="AK86" s="82">
        <v>55237288</v>
      </c>
      <c r="AL86" s="83">
        <v>1156417</v>
      </c>
      <c r="AM86" s="114">
        <v>0</v>
      </c>
      <c r="AN86" s="114">
        <v>8525688</v>
      </c>
      <c r="AO86" s="114">
        <v>1797183</v>
      </c>
      <c r="AP86" s="114">
        <v>69858528</v>
      </c>
      <c r="AQ86" s="114">
        <v>7702772</v>
      </c>
      <c r="AR86" s="114">
        <v>24631542</v>
      </c>
      <c r="AS86" s="114">
        <v>3995109</v>
      </c>
      <c r="AT86" s="114">
        <v>1596050</v>
      </c>
      <c r="AU86" s="114">
        <v>0</v>
      </c>
      <c r="AV86" s="114">
        <v>0</v>
      </c>
      <c r="AW86" s="114">
        <v>0</v>
      </c>
      <c r="AX86" s="114">
        <v>0</v>
      </c>
      <c r="AY86" s="114">
        <v>8000</v>
      </c>
      <c r="AZ86" s="114"/>
      <c r="BA86" s="114"/>
      <c r="BB86" s="114"/>
      <c r="BC86" s="114"/>
      <c r="BD86" s="82">
        <v>2972172.28</v>
      </c>
      <c r="BE86" s="82">
        <v>1515808</v>
      </c>
      <c r="BF86" s="117"/>
      <c r="BG86" s="118">
        <v>0</v>
      </c>
      <c r="BH86" s="118">
        <v>0</v>
      </c>
      <c r="BI86" s="117">
        <v>24234234</v>
      </c>
      <c r="BJ86" s="117">
        <v>24234234</v>
      </c>
      <c r="BK86" s="117">
        <v>53920225</v>
      </c>
      <c r="BL86" s="117">
        <v>53895935</v>
      </c>
      <c r="BM86" s="117">
        <v>0</v>
      </c>
      <c r="BN86" s="117">
        <v>0</v>
      </c>
      <c r="BO86" s="119"/>
      <c r="BP86" s="86">
        <v>428709877.24590164</v>
      </c>
      <c r="BQ86" s="86">
        <v>292670195.24590164</v>
      </c>
      <c r="BR86" s="87">
        <v>601398</v>
      </c>
      <c r="BT86" s="114">
        <f>3669+258</f>
        <v>3927</v>
      </c>
      <c r="BU86" s="114">
        <v>2835</v>
      </c>
      <c r="BV86" s="114">
        <v>300</v>
      </c>
      <c r="BW86" s="114">
        <f t="shared" si="6"/>
        <v>7062</v>
      </c>
      <c r="BX86" s="89">
        <v>273229667</v>
      </c>
      <c r="BY86" s="90">
        <f t="shared" si="7"/>
        <v>55237288</v>
      </c>
      <c r="BZ86" s="90">
        <f t="shared" si="7"/>
        <v>1156417</v>
      </c>
      <c r="CA86" s="89">
        <f t="shared" si="8"/>
        <v>22020752</v>
      </c>
      <c r="CB86" s="89">
        <f t="shared" si="9"/>
        <v>351644124</v>
      </c>
    </row>
    <row r="87" spans="1:80" x14ac:dyDescent="0.25">
      <c r="A87" s="91" t="s">
        <v>141</v>
      </c>
      <c r="B87" s="114">
        <v>146103770</v>
      </c>
      <c r="C87" s="114">
        <v>100383265</v>
      </c>
      <c r="D87" s="114">
        <v>49516625</v>
      </c>
      <c r="E87" s="114">
        <v>0</v>
      </c>
      <c r="F87" s="114">
        <v>30282900</v>
      </c>
      <c r="G87" s="114">
        <v>7362050</v>
      </c>
      <c r="H87" s="114">
        <v>10396125</v>
      </c>
      <c r="I87" s="114">
        <v>807800</v>
      </c>
      <c r="J87" s="114">
        <v>0</v>
      </c>
      <c r="K87" s="114">
        <v>0</v>
      </c>
      <c r="L87" s="114">
        <v>281209962</v>
      </c>
      <c r="M87" s="114">
        <v>0</v>
      </c>
      <c r="N87" s="114">
        <v>1201</v>
      </c>
      <c r="O87" s="114">
        <v>283</v>
      </c>
      <c r="P87" s="114">
        <v>719600</v>
      </c>
      <c r="Q87" s="114">
        <v>1417500</v>
      </c>
      <c r="R87" s="114">
        <v>306000</v>
      </c>
      <c r="S87" s="114">
        <v>1539262</v>
      </c>
      <c r="T87" s="114">
        <v>462515</v>
      </c>
      <c r="U87" s="114">
        <v>121500</v>
      </c>
      <c r="V87" s="114">
        <v>719600</v>
      </c>
      <c r="W87" s="114">
        <v>1295090</v>
      </c>
      <c r="X87" s="114">
        <v>306000</v>
      </c>
      <c r="Y87" s="114">
        <v>1539262</v>
      </c>
      <c r="Z87" s="114">
        <v>1316590</v>
      </c>
      <c r="AA87" s="114">
        <v>121500</v>
      </c>
      <c r="AB87" s="114">
        <v>-1146012</v>
      </c>
      <c r="AC87" s="114">
        <v>-535932</v>
      </c>
      <c r="AD87" s="114">
        <v>90877</v>
      </c>
      <c r="AE87" s="114">
        <v>0</v>
      </c>
      <c r="AF87" s="114">
        <v>0</v>
      </c>
      <c r="AG87" s="114">
        <v>201284</v>
      </c>
      <c r="AH87" s="116">
        <v>938114.75409836066</v>
      </c>
      <c r="AI87" s="114">
        <v>96909.836065573778</v>
      </c>
      <c r="AJ87" s="120">
        <v>0</v>
      </c>
      <c r="AK87" s="82">
        <v>64090765</v>
      </c>
      <c r="AL87" s="83">
        <v>1007848</v>
      </c>
      <c r="AM87" s="114">
        <v>0</v>
      </c>
      <c r="AN87" s="114">
        <v>13733800</v>
      </c>
      <c r="AO87" s="114">
        <v>361904</v>
      </c>
      <c r="AP87" s="114">
        <v>18455476</v>
      </c>
      <c r="AQ87" s="114">
        <v>21552404</v>
      </c>
      <c r="AR87" s="114">
        <v>13514437</v>
      </c>
      <c r="AS87" s="114">
        <v>211757</v>
      </c>
      <c r="AT87" s="114">
        <v>585809</v>
      </c>
      <c r="AU87" s="114">
        <v>0</v>
      </c>
      <c r="AV87" s="114">
        <v>0</v>
      </c>
      <c r="AW87" s="114">
        <v>0</v>
      </c>
      <c r="AX87" s="114">
        <v>0</v>
      </c>
      <c r="AY87" s="114">
        <v>0</v>
      </c>
      <c r="AZ87" s="114"/>
      <c r="BA87" s="114"/>
      <c r="BB87" s="114"/>
      <c r="BC87" s="114"/>
      <c r="BD87" s="82">
        <v>3448554.45</v>
      </c>
      <c r="BE87" s="82">
        <v>1758763</v>
      </c>
      <c r="BF87" s="117"/>
      <c r="BG87" s="118">
        <v>0</v>
      </c>
      <c r="BH87" s="118">
        <v>0</v>
      </c>
      <c r="BI87" s="117">
        <v>15356092</v>
      </c>
      <c r="BJ87" s="117">
        <v>15356092</v>
      </c>
      <c r="BK87" s="117">
        <v>38510913</v>
      </c>
      <c r="BL87" s="117">
        <v>38227961</v>
      </c>
      <c r="BM87" s="117">
        <v>0</v>
      </c>
      <c r="BN87" s="117">
        <v>0</v>
      </c>
      <c r="BO87" s="119"/>
      <c r="BP87" s="86">
        <v>453128221.59016395</v>
      </c>
      <c r="BQ87" s="86">
        <v>332686792.59016395</v>
      </c>
      <c r="BR87" s="87">
        <v>361816</v>
      </c>
      <c r="BT87" s="114">
        <v>5125</v>
      </c>
      <c r="BU87" s="114">
        <v>2743</v>
      </c>
      <c r="BV87" s="114">
        <v>446</v>
      </c>
      <c r="BW87" s="114">
        <f t="shared" si="6"/>
        <v>8314</v>
      </c>
      <c r="BX87" s="89">
        <v>296003660</v>
      </c>
      <c r="BY87" s="90">
        <f t="shared" si="7"/>
        <v>64090765</v>
      </c>
      <c r="BZ87" s="90">
        <f t="shared" si="7"/>
        <v>1007848</v>
      </c>
      <c r="CA87" s="89">
        <f t="shared" si="8"/>
        <v>35859865</v>
      </c>
      <c r="CB87" s="89">
        <f t="shared" si="9"/>
        <v>396962138</v>
      </c>
    </row>
    <row r="88" spans="1:80" x14ac:dyDescent="0.25">
      <c r="A88" s="91" t="s">
        <v>142</v>
      </c>
      <c r="B88" s="114">
        <v>726231683</v>
      </c>
      <c r="C88" s="114">
        <v>114846480</v>
      </c>
      <c r="D88" s="114">
        <v>321468604</v>
      </c>
      <c r="E88" s="114">
        <v>19360000</v>
      </c>
      <c r="F88" s="114">
        <v>66073700</v>
      </c>
      <c r="G88" s="114">
        <v>19144400</v>
      </c>
      <c r="H88" s="114">
        <v>10340200</v>
      </c>
      <c r="I88" s="114">
        <v>2535900</v>
      </c>
      <c r="J88" s="114">
        <v>184500</v>
      </c>
      <c r="K88" s="114">
        <v>36900</v>
      </c>
      <c r="L88" s="114">
        <v>198233973</v>
      </c>
      <c r="M88" s="114">
        <v>89387000</v>
      </c>
      <c r="N88" s="114">
        <v>2153</v>
      </c>
      <c r="O88" s="114">
        <v>663</v>
      </c>
      <c r="P88" s="114">
        <v>2181800</v>
      </c>
      <c r="Q88" s="114">
        <v>130000</v>
      </c>
      <c r="R88" s="114">
        <v>0</v>
      </c>
      <c r="S88" s="114">
        <v>4091440</v>
      </c>
      <c r="T88" s="114">
        <v>274100</v>
      </c>
      <c r="U88" s="114">
        <v>1780043</v>
      </c>
      <c r="V88" s="114">
        <v>2181800</v>
      </c>
      <c r="W88" s="114">
        <v>277000</v>
      </c>
      <c r="X88" s="114">
        <v>0</v>
      </c>
      <c r="Y88" s="114">
        <v>4091440</v>
      </c>
      <c r="Z88" s="114">
        <v>447500</v>
      </c>
      <c r="AA88" s="114">
        <v>1780043</v>
      </c>
      <c r="AB88" s="114">
        <v>-1236000</v>
      </c>
      <c r="AC88" s="114">
        <v>-36120</v>
      </c>
      <c r="AD88" s="114">
        <v>4880</v>
      </c>
      <c r="AE88" s="114">
        <v>0</v>
      </c>
      <c r="AF88" s="114">
        <v>0</v>
      </c>
      <c r="AG88" s="114">
        <v>109406</v>
      </c>
      <c r="AH88" s="116">
        <v>0</v>
      </c>
      <c r="AI88" s="114">
        <v>148114.75409836066</v>
      </c>
      <c r="AJ88" s="120">
        <v>0</v>
      </c>
      <c r="AK88" s="82">
        <v>170015532</v>
      </c>
      <c r="AL88" s="83">
        <v>4225203</v>
      </c>
      <c r="AM88" s="114">
        <v>0</v>
      </c>
      <c r="AN88" s="114">
        <v>56332414</v>
      </c>
      <c r="AO88" s="114">
        <v>2636530</v>
      </c>
      <c r="AP88" s="114">
        <v>160117842</v>
      </c>
      <c r="AQ88" s="114">
        <v>54868809</v>
      </c>
      <c r="AR88" s="114">
        <v>70401430</v>
      </c>
      <c r="AS88" s="114">
        <v>21246098</v>
      </c>
      <c r="AT88" s="114">
        <v>471688</v>
      </c>
      <c r="AU88" s="114">
        <v>0</v>
      </c>
      <c r="AV88" s="114">
        <v>1356304</v>
      </c>
      <c r="AW88" s="114">
        <v>21372</v>
      </c>
      <c r="AX88" s="114">
        <v>15349</v>
      </c>
      <c r="AY88" s="114">
        <v>1340373</v>
      </c>
      <c r="AZ88" s="114"/>
      <c r="BA88" s="114"/>
      <c r="BB88" s="114"/>
      <c r="BC88" s="114"/>
      <c r="BD88" s="82">
        <v>9148085.8300000001</v>
      </c>
      <c r="BE88" s="82">
        <v>4665524</v>
      </c>
      <c r="BF88" s="117"/>
      <c r="BG88" s="118">
        <v>0</v>
      </c>
      <c r="BH88" s="118">
        <v>0</v>
      </c>
      <c r="BI88" s="117">
        <v>37357741</v>
      </c>
      <c r="BJ88" s="117">
        <v>37357741</v>
      </c>
      <c r="BK88" s="117">
        <v>47055490</v>
      </c>
      <c r="BL88" s="117">
        <v>46025345</v>
      </c>
      <c r="BM88" s="117">
        <v>0</v>
      </c>
      <c r="BN88" s="117">
        <v>0</v>
      </c>
      <c r="BO88" s="119"/>
      <c r="BP88" s="86">
        <v>1538821979.7540984</v>
      </c>
      <c r="BQ88" s="86">
        <v>1276532634.7540984</v>
      </c>
      <c r="BR88" s="87">
        <v>1307100</v>
      </c>
      <c r="BT88" s="114">
        <v>10204</v>
      </c>
      <c r="BU88" s="114">
        <v>1707</v>
      </c>
      <c r="BV88" s="114">
        <v>894</v>
      </c>
      <c r="BW88" s="114">
        <f t="shared" si="6"/>
        <v>12805</v>
      </c>
      <c r="BX88" s="89">
        <v>1162546767</v>
      </c>
      <c r="BY88" s="90">
        <f t="shared" si="7"/>
        <v>170015532</v>
      </c>
      <c r="BZ88" s="90">
        <f t="shared" si="7"/>
        <v>4225203</v>
      </c>
      <c r="CA88" s="89">
        <f t="shared" si="8"/>
        <v>135083851</v>
      </c>
      <c r="CB88" s="89">
        <f t="shared" si="9"/>
        <v>1471871353</v>
      </c>
    </row>
    <row r="89" spans="1:80" x14ac:dyDescent="0.25">
      <c r="A89" s="91" t="s">
        <v>143</v>
      </c>
      <c r="B89" s="114">
        <v>126860250</v>
      </c>
      <c r="C89" s="114">
        <v>91193350</v>
      </c>
      <c r="D89" s="114">
        <v>48276140</v>
      </c>
      <c r="E89" s="114">
        <v>0</v>
      </c>
      <c r="F89" s="114">
        <v>18073200</v>
      </c>
      <c r="G89" s="114">
        <v>14729300</v>
      </c>
      <c r="H89" s="114">
        <v>12148400</v>
      </c>
      <c r="I89" s="114">
        <v>6990800</v>
      </c>
      <c r="J89" s="114">
        <v>0</v>
      </c>
      <c r="K89" s="114">
        <v>0</v>
      </c>
      <c r="L89" s="114">
        <v>71280825</v>
      </c>
      <c r="M89" s="114">
        <v>0</v>
      </c>
      <c r="N89" s="114">
        <v>997</v>
      </c>
      <c r="O89" s="114">
        <v>753</v>
      </c>
      <c r="P89" s="114">
        <v>2940300</v>
      </c>
      <c r="Q89" s="114">
        <v>1055000</v>
      </c>
      <c r="R89" s="114">
        <v>4000000</v>
      </c>
      <c r="S89" s="114">
        <v>1917450</v>
      </c>
      <c r="T89" s="114">
        <v>1718000</v>
      </c>
      <c r="U89" s="114">
        <v>346400</v>
      </c>
      <c r="V89" s="114">
        <v>2940300</v>
      </c>
      <c r="W89" s="114">
        <v>1732000</v>
      </c>
      <c r="X89" s="114">
        <v>4000000</v>
      </c>
      <c r="Y89" s="114">
        <v>1917450</v>
      </c>
      <c r="Z89" s="114">
        <v>1983000</v>
      </c>
      <c r="AA89" s="114">
        <v>346400</v>
      </c>
      <c r="AB89" s="114">
        <v>-1817800</v>
      </c>
      <c r="AC89" s="114">
        <v>-2823704</v>
      </c>
      <c r="AD89" s="114">
        <v>175678</v>
      </c>
      <c r="AE89" s="114">
        <v>0</v>
      </c>
      <c r="AF89" s="114">
        <v>0</v>
      </c>
      <c r="AG89" s="114">
        <v>220794</v>
      </c>
      <c r="AH89" s="116">
        <v>746024.59016393439</v>
      </c>
      <c r="AI89" s="114">
        <v>275318.85245901637</v>
      </c>
      <c r="AJ89" s="120">
        <v>389565.57377049181</v>
      </c>
      <c r="AK89" s="87">
        <v>72640787</v>
      </c>
      <c r="AL89" s="83">
        <v>2092385</v>
      </c>
      <c r="AM89" s="114">
        <v>0</v>
      </c>
      <c r="AN89" s="114">
        <v>15583510</v>
      </c>
      <c r="AO89" s="114">
        <v>127400</v>
      </c>
      <c r="AP89" s="114">
        <v>4352414</v>
      </c>
      <c r="AQ89" s="114">
        <v>8689617</v>
      </c>
      <c r="AR89" s="114">
        <v>7968876</v>
      </c>
      <c r="AS89" s="114">
        <v>1435</v>
      </c>
      <c r="AT89" s="114">
        <v>1793518</v>
      </c>
      <c r="AU89" s="114">
        <v>0</v>
      </c>
      <c r="AV89" s="114">
        <v>0</v>
      </c>
      <c r="AW89" s="114">
        <v>0</v>
      </c>
      <c r="AX89" s="114">
        <v>0</v>
      </c>
      <c r="AY89" s="114">
        <v>194458</v>
      </c>
      <c r="AZ89" s="114"/>
      <c r="BA89" s="114"/>
      <c r="BB89" s="114"/>
      <c r="BC89" s="114"/>
      <c r="BD89" s="82">
        <v>3908608.5</v>
      </c>
      <c r="BE89" s="82">
        <v>1993390</v>
      </c>
      <c r="BF89" s="117"/>
      <c r="BG89" s="118">
        <v>0</v>
      </c>
      <c r="BH89" s="118">
        <v>0</v>
      </c>
      <c r="BI89" s="117">
        <v>1849656</v>
      </c>
      <c r="BJ89" s="117">
        <v>1849656</v>
      </c>
      <c r="BK89" s="117">
        <v>53526367</v>
      </c>
      <c r="BL89" s="117">
        <v>53514222</v>
      </c>
      <c r="BM89" s="117">
        <v>0</v>
      </c>
      <c r="BN89" s="117">
        <v>0</v>
      </c>
      <c r="BO89" s="119"/>
      <c r="BP89" s="86">
        <v>424231616.01639342</v>
      </c>
      <c r="BQ89" s="86">
        <v>292141176.01639342</v>
      </c>
      <c r="BR89" s="87">
        <v>5803500</v>
      </c>
      <c r="BT89" s="114">
        <v>4688</v>
      </c>
      <c r="BU89" s="114">
        <v>3264</v>
      </c>
      <c r="BV89" s="114">
        <v>324</v>
      </c>
      <c r="BW89" s="114">
        <f t="shared" si="6"/>
        <v>8276</v>
      </c>
      <c r="BX89" s="89">
        <v>266329740</v>
      </c>
      <c r="BY89" s="90">
        <f t="shared" si="7"/>
        <v>72640787</v>
      </c>
      <c r="BZ89" s="90">
        <f t="shared" si="7"/>
        <v>2092385</v>
      </c>
      <c r="CA89" s="89">
        <f t="shared" si="8"/>
        <v>24401962</v>
      </c>
      <c r="CB89" s="89">
        <f t="shared" si="9"/>
        <v>365464874</v>
      </c>
    </row>
    <row r="90" spans="1:80" x14ac:dyDescent="0.25">
      <c r="A90" s="91" t="s">
        <v>144</v>
      </c>
      <c r="B90" s="114">
        <v>593114274</v>
      </c>
      <c r="C90" s="114">
        <v>171221967</v>
      </c>
      <c r="D90" s="114">
        <v>191702139</v>
      </c>
      <c r="E90" s="114">
        <v>0</v>
      </c>
      <c r="F90" s="114">
        <v>94384180</v>
      </c>
      <c r="G90" s="114">
        <v>28761480</v>
      </c>
      <c r="H90" s="114">
        <v>14194000</v>
      </c>
      <c r="I90" s="114">
        <v>2851800</v>
      </c>
      <c r="J90" s="114">
        <v>165700</v>
      </c>
      <c r="K90" s="114">
        <v>36900</v>
      </c>
      <c r="L90" s="114">
        <v>191492674</v>
      </c>
      <c r="M90" s="114">
        <v>96381100</v>
      </c>
      <c r="N90" s="114">
        <v>3123</v>
      </c>
      <c r="O90" s="114">
        <v>971</v>
      </c>
      <c r="P90" s="114">
        <v>7035960</v>
      </c>
      <c r="Q90" s="114">
        <v>4969000</v>
      </c>
      <c r="R90" s="114">
        <v>3843200</v>
      </c>
      <c r="S90" s="114">
        <v>8176016</v>
      </c>
      <c r="T90" s="114">
        <v>2118500</v>
      </c>
      <c r="U90" s="114">
        <v>8855640</v>
      </c>
      <c r="V90" s="114">
        <v>7564960</v>
      </c>
      <c r="W90" s="114">
        <v>9551350</v>
      </c>
      <c r="X90" s="114">
        <v>3843200</v>
      </c>
      <c r="Y90" s="114">
        <v>8176966</v>
      </c>
      <c r="Z90" s="114">
        <v>2828700</v>
      </c>
      <c r="AA90" s="114">
        <v>12680940</v>
      </c>
      <c r="AB90" s="114">
        <v>-8062070</v>
      </c>
      <c r="AC90" s="114">
        <v>0</v>
      </c>
      <c r="AD90" s="114">
        <v>65924</v>
      </c>
      <c r="AE90" s="114">
        <v>126801</v>
      </c>
      <c r="AF90" s="114">
        <v>12574</v>
      </c>
      <c r="AG90" s="114">
        <v>188366</v>
      </c>
      <c r="AH90" s="116">
        <v>13542188.524590166</v>
      </c>
      <c r="AI90" s="114">
        <v>343855.73770491802</v>
      </c>
      <c r="AJ90" s="120">
        <v>63396154</v>
      </c>
      <c r="AK90" s="82">
        <v>220467497</v>
      </c>
      <c r="AL90" s="83">
        <v>6044042</v>
      </c>
      <c r="AM90" s="114">
        <v>0</v>
      </c>
      <c r="AN90" s="114">
        <v>84311953</v>
      </c>
      <c r="AO90" s="114">
        <v>4493906</v>
      </c>
      <c r="AP90" s="114">
        <v>60951365</v>
      </c>
      <c r="AQ90" s="114">
        <v>108819733</v>
      </c>
      <c r="AR90" s="114">
        <v>44964395</v>
      </c>
      <c r="AS90" s="114">
        <v>6115820</v>
      </c>
      <c r="AT90" s="114">
        <v>26472224</v>
      </c>
      <c r="AU90" s="114">
        <v>0</v>
      </c>
      <c r="AV90" s="114">
        <v>0</v>
      </c>
      <c r="AW90" s="114">
        <v>251976</v>
      </c>
      <c r="AX90" s="114">
        <v>675</v>
      </c>
      <c r="AY90" s="114">
        <v>293000</v>
      </c>
      <c r="AZ90" s="114"/>
      <c r="BA90" s="114"/>
      <c r="BB90" s="114"/>
      <c r="BC90" s="114"/>
      <c r="BD90" s="82">
        <v>11862772.539999999</v>
      </c>
      <c r="BE90" s="82">
        <v>6050014</v>
      </c>
      <c r="BF90" s="117">
        <v>8305570</v>
      </c>
      <c r="BG90" s="118">
        <v>3505639</v>
      </c>
      <c r="BH90" s="118">
        <v>6873801</v>
      </c>
      <c r="BI90" s="117">
        <v>58858744</v>
      </c>
      <c r="BJ90" s="117">
        <v>56721053</v>
      </c>
      <c r="BK90" s="117">
        <v>136580249</v>
      </c>
      <c r="BL90" s="117">
        <v>134055418</v>
      </c>
      <c r="BM90" s="117">
        <v>0</v>
      </c>
      <c r="BN90" s="117">
        <v>0</v>
      </c>
      <c r="BO90" s="119"/>
      <c r="BP90" s="86">
        <v>1657789833.262295</v>
      </c>
      <c r="BQ90" s="86">
        <v>1230946170.262295</v>
      </c>
      <c r="BR90" s="87">
        <v>895700</v>
      </c>
      <c r="BT90" s="114">
        <v>16313</v>
      </c>
      <c r="BU90" s="114">
        <v>3030</v>
      </c>
      <c r="BV90" s="114">
        <v>992</v>
      </c>
      <c r="BW90" s="114">
        <f t="shared" si="6"/>
        <v>20335</v>
      </c>
      <c r="BX90" s="89">
        <v>956038380</v>
      </c>
      <c r="BY90" s="90">
        <f t="shared" si="7"/>
        <v>220467497</v>
      </c>
      <c r="BZ90" s="90">
        <f t="shared" si="7"/>
        <v>6044042</v>
      </c>
      <c r="CA90" s="89">
        <f t="shared" si="8"/>
        <v>203741412</v>
      </c>
      <c r="CB90" s="89">
        <f t="shared" si="9"/>
        <v>1386291331</v>
      </c>
    </row>
    <row r="91" spans="1:80" x14ac:dyDescent="0.25">
      <c r="A91" s="91" t="s">
        <v>145</v>
      </c>
      <c r="B91" s="114">
        <v>1674689051</v>
      </c>
      <c r="C91" s="114">
        <v>342712287</v>
      </c>
      <c r="D91" s="114">
        <v>512241862</v>
      </c>
      <c r="E91" s="114">
        <v>101715000</v>
      </c>
      <c r="F91" s="114">
        <v>106067114</v>
      </c>
      <c r="G91" s="114">
        <v>18719317</v>
      </c>
      <c r="H91" s="114">
        <v>24454115</v>
      </c>
      <c r="I91" s="114">
        <v>1870035</v>
      </c>
      <c r="J91" s="114">
        <v>332100</v>
      </c>
      <c r="K91" s="114">
        <v>0</v>
      </c>
      <c r="L91" s="114">
        <v>623088396</v>
      </c>
      <c r="M91" s="114">
        <v>287235415</v>
      </c>
      <c r="N91" s="114">
        <v>3596</v>
      </c>
      <c r="O91" s="114">
        <v>588</v>
      </c>
      <c r="P91" s="114">
        <v>17568575</v>
      </c>
      <c r="Q91" s="114">
        <v>4401000</v>
      </c>
      <c r="R91" s="114">
        <v>12776300</v>
      </c>
      <c r="S91" s="114">
        <v>4592843</v>
      </c>
      <c r="T91" s="114">
        <v>157300</v>
      </c>
      <c r="U91" s="114">
        <v>3773700</v>
      </c>
      <c r="V91" s="114">
        <v>17568575</v>
      </c>
      <c r="W91" s="114">
        <v>4401000</v>
      </c>
      <c r="X91" s="114">
        <v>12776300</v>
      </c>
      <c r="Y91" s="114">
        <v>4592843</v>
      </c>
      <c r="Z91" s="114">
        <v>157300</v>
      </c>
      <c r="AA91" s="114">
        <v>3773700</v>
      </c>
      <c r="AB91" s="114">
        <v>-6447079</v>
      </c>
      <c r="AC91" s="114">
        <v>183403</v>
      </c>
      <c r="AD91" s="114">
        <v>28498</v>
      </c>
      <c r="AE91" s="114">
        <v>0</v>
      </c>
      <c r="AF91" s="114">
        <v>0</v>
      </c>
      <c r="AG91" s="114">
        <v>255171</v>
      </c>
      <c r="AH91" s="116">
        <v>0</v>
      </c>
      <c r="AI91" s="114">
        <v>1410327.8688524589</v>
      </c>
      <c r="AJ91" s="120">
        <v>0</v>
      </c>
      <c r="AK91" s="82">
        <v>326722014</v>
      </c>
      <c r="AL91" s="83">
        <f>6999949+833292</f>
        <v>7833241</v>
      </c>
      <c r="AM91" s="114">
        <v>0</v>
      </c>
      <c r="AN91" s="114">
        <v>75889561</v>
      </c>
      <c r="AO91" s="114">
        <v>9637980</v>
      </c>
      <c r="AP91" s="114">
        <v>236058586</v>
      </c>
      <c r="AQ91" s="114">
        <v>71850382</v>
      </c>
      <c r="AR91" s="114">
        <v>63433741</v>
      </c>
      <c r="AS91" s="87">
        <v>4344295</v>
      </c>
      <c r="AT91" s="114">
        <v>1016249</v>
      </c>
      <c r="AU91" s="114">
        <v>0</v>
      </c>
      <c r="AV91" s="114">
        <v>0</v>
      </c>
      <c r="AW91" s="114">
        <v>879198</v>
      </c>
      <c r="AX91" s="114">
        <v>103755</v>
      </c>
      <c r="AY91" s="114">
        <v>1206400</v>
      </c>
      <c r="AZ91" s="114"/>
      <c r="BA91" s="114"/>
      <c r="BB91" s="114"/>
      <c r="BC91" s="114"/>
      <c r="BD91" s="82">
        <v>17580046.899999999</v>
      </c>
      <c r="BE91" s="82">
        <v>8965824</v>
      </c>
      <c r="BF91" s="117"/>
      <c r="BG91" s="118">
        <v>838092</v>
      </c>
      <c r="BH91" s="118">
        <v>1643318</v>
      </c>
      <c r="BI91" s="117">
        <v>22631609</v>
      </c>
      <c r="BJ91" s="117">
        <v>21431687</v>
      </c>
      <c r="BK91" s="117">
        <v>53810029</v>
      </c>
      <c r="BL91" s="117">
        <v>53529379</v>
      </c>
      <c r="BM91" s="117">
        <v>489657915</v>
      </c>
      <c r="BN91" s="117">
        <v>0</v>
      </c>
      <c r="BO91" s="119"/>
      <c r="BP91" s="86">
        <v>3597409602.8688526</v>
      </c>
      <c r="BQ91" s="86">
        <v>2688431450.8688526</v>
      </c>
      <c r="BR91" s="87">
        <v>2536837</v>
      </c>
      <c r="BT91" s="114">
        <v>17184</v>
      </c>
      <c r="BU91" s="114">
        <v>3773</v>
      </c>
      <c r="BV91" s="114">
        <v>1149</v>
      </c>
      <c r="BW91" s="114">
        <f t="shared" si="6"/>
        <v>22106</v>
      </c>
      <c r="BX91" s="89">
        <v>2529643200</v>
      </c>
      <c r="BY91" s="90">
        <f t="shared" si="7"/>
        <v>326722014</v>
      </c>
      <c r="BZ91" s="90">
        <f t="shared" si="7"/>
        <v>7833241</v>
      </c>
      <c r="CA91" s="89">
        <f t="shared" si="8"/>
        <v>161722218</v>
      </c>
      <c r="CB91" s="89">
        <f t="shared" si="9"/>
        <v>3025920673</v>
      </c>
    </row>
    <row r="92" spans="1:80" x14ac:dyDescent="0.25">
      <c r="A92" s="91" t="s">
        <v>146</v>
      </c>
      <c r="B92" s="114">
        <v>110232005</v>
      </c>
      <c r="C92" s="114">
        <v>94151646</v>
      </c>
      <c r="D92" s="114">
        <v>15179172</v>
      </c>
      <c r="E92" s="114">
        <v>0</v>
      </c>
      <c r="F92" s="114">
        <v>19163100</v>
      </c>
      <c r="G92" s="114">
        <v>3982635</v>
      </c>
      <c r="H92" s="114">
        <v>7484400</v>
      </c>
      <c r="I92" s="114">
        <v>1222100</v>
      </c>
      <c r="J92" s="114">
        <v>110700</v>
      </c>
      <c r="K92" s="114">
        <v>0</v>
      </c>
      <c r="L92" s="114">
        <v>87936733</v>
      </c>
      <c r="M92" s="114">
        <v>47372560</v>
      </c>
      <c r="N92" s="114">
        <v>756</v>
      </c>
      <c r="O92" s="114">
        <v>157</v>
      </c>
      <c r="P92" s="114">
        <v>1298800</v>
      </c>
      <c r="Q92" s="114">
        <v>2163425</v>
      </c>
      <c r="R92" s="114">
        <v>138000</v>
      </c>
      <c r="S92" s="114">
        <v>1183716</v>
      </c>
      <c r="T92" s="114">
        <v>1971710</v>
      </c>
      <c r="U92" s="114">
        <v>222500</v>
      </c>
      <c r="V92" s="114">
        <v>1298800</v>
      </c>
      <c r="W92" s="114">
        <v>2277875</v>
      </c>
      <c r="X92" s="114">
        <v>138000</v>
      </c>
      <c r="Y92" s="114">
        <v>1183716</v>
      </c>
      <c r="Z92" s="114">
        <v>1217313</v>
      </c>
      <c r="AA92" s="114">
        <v>222500</v>
      </c>
      <c r="AB92" s="114">
        <v>-877170</v>
      </c>
      <c r="AC92" s="114">
        <v>-11049</v>
      </c>
      <c r="AD92" s="114">
        <v>0</v>
      </c>
      <c r="AE92" s="114">
        <v>0</v>
      </c>
      <c r="AF92" s="114">
        <v>0</v>
      </c>
      <c r="AG92" s="114">
        <v>113849</v>
      </c>
      <c r="AH92" s="116">
        <v>0</v>
      </c>
      <c r="AI92" s="114">
        <v>0</v>
      </c>
      <c r="AJ92" s="120">
        <v>0</v>
      </c>
      <c r="AK92" s="82">
        <v>46859806</v>
      </c>
      <c r="AL92" s="83">
        <v>794922</v>
      </c>
      <c r="AM92" s="114">
        <v>25000</v>
      </c>
      <c r="AN92" s="114">
        <v>1643923</v>
      </c>
      <c r="AO92" s="114">
        <v>31646</v>
      </c>
      <c r="AP92" s="114">
        <v>1129979</v>
      </c>
      <c r="AQ92" s="114">
        <v>1904430</v>
      </c>
      <c r="AR92" s="114">
        <v>196779</v>
      </c>
      <c r="AS92" s="114">
        <v>0</v>
      </c>
      <c r="AT92" s="114">
        <v>387232</v>
      </c>
      <c r="AU92" s="114">
        <v>0</v>
      </c>
      <c r="AV92" s="114">
        <v>0</v>
      </c>
      <c r="AW92" s="114">
        <v>4200</v>
      </c>
      <c r="AX92" s="114">
        <v>0</v>
      </c>
      <c r="AY92" s="114">
        <v>0</v>
      </c>
      <c r="AZ92" s="114"/>
      <c r="BA92" s="114"/>
      <c r="BB92" s="114"/>
      <c r="BC92" s="114"/>
      <c r="BD92" s="82">
        <v>2521402.15</v>
      </c>
      <c r="BE92" s="82">
        <v>1285915</v>
      </c>
      <c r="BF92" s="117"/>
      <c r="BG92" s="118">
        <v>1026581</v>
      </c>
      <c r="BH92" s="118">
        <v>2012905</v>
      </c>
      <c r="BI92" s="117">
        <v>14373207</v>
      </c>
      <c r="BJ92" s="117">
        <v>14373207</v>
      </c>
      <c r="BK92" s="117">
        <v>18244625</v>
      </c>
      <c r="BL92" s="117">
        <v>17714077</v>
      </c>
      <c r="BM92" s="117">
        <v>0</v>
      </c>
      <c r="BN92" s="117">
        <v>0</v>
      </c>
      <c r="BO92" s="119"/>
      <c r="BP92" s="86">
        <v>305197330</v>
      </c>
      <c r="BQ92" s="86">
        <v>223142822</v>
      </c>
      <c r="BR92" s="87">
        <v>241950</v>
      </c>
      <c r="BT92" s="114">
        <v>2578</v>
      </c>
      <c r="BU92" s="114">
        <v>1584</v>
      </c>
      <c r="BV92" s="114">
        <v>153</v>
      </c>
      <c r="BW92" s="114">
        <f t="shared" si="6"/>
        <v>4315</v>
      </c>
      <c r="BX92" s="89">
        <v>219562823</v>
      </c>
      <c r="BY92" s="90">
        <f t="shared" si="7"/>
        <v>46859806</v>
      </c>
      <c r="BZ92" s="90">
        <f t="shared" si="7"/>
        <v>794922</v>
      </c>
      <c r="CA92" s="89">
        <f t="shared" si="8"/>
        <v>3579999</v>
      </c>
      <c r="CB92" s="89">
        <f t="shared" si="9"/>
        <v>270797550</v>
      </c>
    </row>
    <row r="93" spans="1:80" x14ac:dyDescent="0.25">
      <c r="A93" s="91" t="s">
        <v>147</v>
      </c>
      <c r="B93" s="114">
        <v>366322730</v>
      </c>
      <c r="C93" s="114">
        <v>206587302</v>
      </c>
      <c r="D93" s="114">
        <v>118069584</v>
      </c>
      <c r="E93" s="114">
        <v>0</v>
      </c>
      <c r="F93" s="114">
        <v>51944460</v>
      </c>
      <c r="G93" s="114">
        <v>18152148</v>
      </c>
      <c r="H93" s="114">
        <v>17731577</v>
      </c>
      <c r="I93" s="114">
        <v>4408995</v>
      </c>
      <c r="J93" s="114">
        <v>69570</v>
      </c>
      <c r="K93" s="114">
        <v>36900</v>
      </c>
      <c r="L93" s="114">
        <v>354847912</v>
      </c>
      <c r="M93" s="114">
        <v>16850638</v>
      </c>
      <c r="N93" s="114">
        <v>2089</v>
      </c>
      <c r="O93" s="114">
        <v>754</v>
      </c>
      <c r="P93" s="114">
        <v>4747150</v>
      </c>
      <c r="Q93" s="114">
        <v>3762550</v>
      </c>
      <c r="R93" s="114">
        <v>2154332</v>
      </c>
      <c r="S93" s="114">
        <v>2675610</v>
      </c>
      <c r="T93" s="114">
        <v>600535</v>
      </c>
      <c r="U93" s="114">
        <v>565300</v>
      </c>
      <c r="V93" s="114">
        <v>4747150</v>
      </c>
      <c r="W93" s="114">
        <v>3762550</v>
      </c>
      <c r="X93" s="114">
        <v>2154332</v>
      </c>
      <c r="Y93" s="114">
        <v>2675610</v>
      </c>
      <c r="Z93" s="114">
        <v>600535</v>
      </c>
      <c r="AA93" s="114">
        <v>565300</v>
      </c>
      <c r="AB93" s="114">
        <v>-3682970</v>
      </c>
      <c r="AC93" s="114">
        <v>-579402</v>
      </c>
      <c r="AD93" s="114">
        <v>338336</v>
      </c>
      <c r="AE93" s="114">
        <v>19113</v>
      </c>
      <c r="AF93" s="114">
        <v>21685657</v>
      </c>
      <c r="AG93" s="114">
        <v>338345</v>
      </c>
      <c r="AH93" s="116">
        <v>7690000</v>
      </c>
      <c r="AI93" s="114">
        <v>346819.67213114758</v>
      </c>
      <c r="AJ93" s="120">
        <v>63108434.426229507</v>
      </c>
      <c r="AK93" s="82">
        <v>133040041</v>
      </c>
      <c r="AL93" s="83">
        <v>3721555</v>
      </c>
      <c r="AM93" s="114">
        <v>0</v>
      </c>
      <c r="AN93" s="114">
        <v>89470695</v>
      </c>
      <c r="AO93" s="114">
        <v>11547137</v>
      </c>
      <c r="AP93" s="114">
        <v>117461211</v>
      </c>
      <c r="AQ93" s="114">
        <v>35661789</v>
      </c>
      <c r="AR93" s="114">
        <v>29510557</v>
      </c>
      <c r="AS93" s="114">
        <v>2043059</v>
      </c>
      <c r="AT93" s="114">
        <f>4220829+1500</f>
        <v>4222329</v>
      </c>
      <c r="AU93" s="114">
        <v>0</v>
      </c>
      <c r="AV93" s="114">
        <v>2883891</v>
      </c>
      <c r="AW93" s="114">
        <v>320438</v>
      </c>
      <c r="AX93" s="114">
        <v>9763</v>
      </c>
      <c r="AY93" s="114">
        <v>0</v>
      </c>
      <c r="AZ93" s="114"/>
      <c r="BA93" s="114"/>
      <c r="BB93" s="114"/>
      <c r="BC93" s="114"/>
      <c r="BD93" s="82">
        <v>7158532.5099999998</v>
      </c>
      <c r="BE93" s="82">
        <v>3650852</v>
      </c>
      <c r="BF93" s="117">
        <v>9789637</v>
      </c>
      <c r="BG93" s="118">
        <v>2108601</v>
      </c>
      <c r="BH93" s="118">
        <v>4134512</v>
      </c>
      <c r="BI93" s="117">
        <v>48014684</v>
      </c>
      <c r="BJ93" s="117">
        <v>44792697</v>
      </c>
      <c r="BK93" s="117">
        <v>64682377</v>
      </c>
      <c r="BL93" s="117">
        <v>61520348</v>
      </c>
      <c r="BM93" s="117">
        <v>0</v>
      </c>
      <c r="BN93" s="117">
        <v>0</v>
      </c>
      <c r="BO93" s="119"/>
      <c r="BP93" s="86">
        <v>1147638585.0983605</v>
      </c>
      <c r="BQ93" s="86">
        <v>898804491.09836066</v>
      </c>
      <c r="BR93" s="87">
        <v>717446</v>
      </c>
      <c r="BT93" s="114">
        <v>10952</v>
      </c>
      <c r="BU93" s="114">
        <v>5608</v>
      </c>
      <c r="BV93" s="114">
        <v>560</v>
      </c>
      <c r="BW93" s="114">
        <f t="shared" si="6"/>
        <v>17120</v>
      </c>
      <c r="BX93" s="89">
        <v>690979616</v>
      </c>
      <c r="BY93" s="90">
        <f t="shared" si="7"/>
        <v>133040041</v>
      </c>
      <c r="BZ93" s="90">
        <f t="shared" si="7"/>
        <v>3721555</v>
      </c>
      <c r="CA93" s="89">
        <f t="shared" si="8"/>
        <v>138722680</v>
      </c>
      <c r="CB93" s="89">
        <f t="shared" si="9"/>
        <v>966463892</v>
      </c>
    </row>
    <row r="94" spans="1:80" x14ac:dyDescent="0.25">
      <c r="A94" s="91" t="s">
        <v>148</v>
      </c>
      <c r="B94" s="114">
        <v>4872309667</v>
      </c>
      <c r="C94" s="114">
        <v>228619401</v>
      </c>
      <c r="D94" s="114">
        <v>458852926</v>
      </c>
      <c r="E94" s="114">
        <v>0</v>
      </c>
      <c r="F94" s="114">
        <v>138523300</v>
      </c>
      <c r="G94" s="114">
        <v>11899900</v>
      </c>
      <c r="H94" s="114">
        <v>6900300</v>
      </c>
      <c r="I94" s="114">
        <v>405900</v>
      </c>
      <c r="J94" s="114">
        <v>258300</v>
      </c>
      <c r="K94" s="114">
        <v>36900</v>
      </c>
      <c r="L94" s="114">
        <v>606164850</v>
      </c>
      <c r="M94" s="114">
        <v>192251176</v>
      </c>
      <c r="N94" s="114">
        <v>3964</v>
      </c>
      <c r="O94" s="114">
        <v>342</v>
      </c>
      <c r="P94" s="114">
        <v>92314021</v>
      </c>
      <c r="Q94" s="114">
        <v>4200800</v>
      </c>
      <c r="R94" s="114">
        <v>7472500</v>
      </c>
      <c r="S94" s="114">
        <v>9744200</v>
      </c>
      <c r="T94" s="114">
        <v>4925400</v>
      </c>
      <c r="U94" s="114">
        <v>1642500</v>
      </c>
      <c r="V94" s="114">
        <v>92314021</v>
      </c>
      <c r="W94" s="114">
        <v>6352500</v>
      </c>
      <c r="X94" s="114">
        <v>7472500</v>
      </c>
      <c r="Y94" s="114">
        <v>9744200</v>
      </c>
      <c r="Z94" s="114">
        <v>9822500</v>
      </c>
      <c r="AA94" s="114">
        <v>1642500</v>
      </c>
      <c r="AB94" s="114">
        <v>-9014225</v>
      </c>
      <c r="AC94" s="114">
        <v>-1525</v>
      </c>
      <c r="AD94" s="114">
        <v>0</v>
      </c>
      <c r="AE94" s="114">
        <v>0</v>
      </c>
      <c r="AF94" s="114">
        <v>0</v>
      </c>
      <c r="AG94" s="114">
        <v>64516</v>
      </c>
      <c r="AH94" s="116">
        <v>0</v>
      </c>
      <c r="AI94" s="114">
        <v>795688.52459016396</v>
      </c>
      <c r="AJ94" s="120">
        <v>0</v>
      </c>
      <c r="AK94" s="82">
        <v>526260976</v>
      </c>
      <c r="AL94" s="83">
        <v>15257169</v>
      </c>
      <c r="AM94" s="114">
        <v>5803014</v>
      </c>
      <c r="AN94" s="114">
        <v>59067599</v>
      </c>
      <c r="AO94" s="114">
        <v>5078815</v>
      </c>
      <c r="AP94" s="114">
        <v>68929910</v>
      </c>
      <c r="AQ94" s="114">
        <v>39100590</v>
      </c>
      <c r="AR94" s="114">
        <v>44024664</v>
      </c>
      <c r="AS94" s="114">
        <v>27618978</v>
      </c>
      <c r="AT94" s="114">
        <v>9502421</v>
      </c>
      <c r="AU94" s="114">
        <v>0</v>
      </c>
      <c r="AV94" s="114">
        <v>0</v>
      </c>
      <c r="AW94" s="114">
        <v>0</v>
      </c>
      <c r="AX94" s="114">
        <v>479194</v>
      </c>
      <c r="AY94" s="114">
        <v>8400</v>
      </c>
      <c r="AZ94" s="114"/>
      <c r="BA94" s="114"/>
      <c r="BB94" s="114"/>
      <c r="BC94" s="114"/>
      <c r="BD94" s="82">
        <v>28316710.359999999</v>
      </c>
      <c r="BE94" s="82">
        <v>14441522</v>
      </c>
      <c r="BF94" s="117">
        <v>16871503</v>
      </c>
      <c r="BG94" s="118">
        <v>971143</v>
      </c>
      <c r="BH94" s="118">
        <v>1904203</v>
      </c>
      <c r="BI94" s="117">
        <v>39241151</v>
      </c>
      <c r="BJ94" s="117">
        <v>39241151</v>
      </c>
      <c r="BK94" s="117">
        <v>72260462</v>
      </c>
      <c r="BL94" s="117">
        <v>70879422</v>
      </c>
      <c r="BM94" s="117">
        <v>81259</v>
      </c>
      <c r="BN94" s="117">
        <v>0</v>
      </c>
      <c r="BO94" s="119"/>
      <c r="BP94" s="86">
        <v>6330957328.5245905</v>
      </c>
      <c r="BQ94" s="86">
        <v>5663824686.5245905</v>
      </c>
      <c r="BR94" s="87">
        <v>1592670</v>
      </c>
      <c r="BT94" s="114">
        <v>22569</v>
      </c>
      <c r="BU94" s="114">
        <v>1276</v>
      </c>
      <c r="BV94" s="114">
        <v>855</v>
      </c>
      <c r="BW94" s="114">
        <f>SUM(BT94:BV94)</f>
        <v>24700</v>
      </c>
      <c r="BX94" s="89">
        <v>5559781994</v>
      </c>
      <c r="BY94" s="90">
        <f t="shared" si="7"/>
        <v>526260976</v>
      </c>
      <c r="BZ94" s="90">
        <f t="shared" si="7"/>
        <v>15257169</v>
      </c>
      <c r="CA94" s="89">
        <f t="shared" si="8"/>
        <v>130865982</v>
      </c>
      <c r="CB94" s="89">
        <f t="shared" si="9"/>
        <v>6232166121</v>
      </c>
    </row>
    <row r="95" spans="1:80" x14ac:dyDescent="0.25">
      <c r="A95" s="91" t="s">
        <v>149</v>
      </c>
      <c r="B95" s="114">
        <v>270339810</v>
      </c>
      <c r="C95" s="114">
        <v>168480075</v>
      </c>
      <c r="D95" s="114">
        <v>43035783</v>
      </c>
      <c r="E95" s="114">
        <v>0</v>
      </c>
      <c r="F95" s="114">
        <v>25112700</v>
      </c>
      <c r="G95" s="114">
        <v>4109900</v>
      </c>
      <c r="H95" s="114">
        <v>13610300</v>
      </c>
      <c r="I95" s="114">
        <v>1413800</v>
      </c>
      <c r="J95" s="114">
        <v>91500</v>
      </c>
      <c r="K95" s="114">
        <v>0</v>
      </c>
      <c r="L95" s="114">
        <v>309032650</v>
      </c>
      <c r="M95" s="114">
        <v>112080161</v>
      </c>
      <c r="N95" s="114">
        <v>1102</v>
      </c>
      <c r="O95" s="114">
        <v>167</v>
      </c>
      <c r="P95" s="114">
        <v>4621900</v>
      </c>
      <c r="Q95" s="114">
        <v>5562500</v>
      </c>
      <c r="R95" s="114">
        <v>29700</v>
      </c>
      <c r="S95" s="114">
        <v>3540650</v>
      </c>
      <c r="T95" s="114">
        <v>1710100</v>
      </c>
      <c r="U95" s="114">
        <v>101600</v>
      </c>
      <c r="V95" s="114">
        <v>4621900</v>
      </c>
      <c r="W95" s="114">
        <v>5739000</v>
      </c>
      <c r="X95" s="114">
        <v>29700</v>
      </c>
      <c r="Y95" s="114">
        <v>3540650</v>
      </c>
      <c r="Z95" s="114">
        <v>2949800</v>
      </c>
      <c r="AA95" s="114">
        <v>101600</v>
      </c>
      <c r="AB95" s="114">
        <v>-1554300</v>
      </c>
      <c r="AC95" s="114">
        <v>370</v>
      </c>
      <c r="AD95" s="114">
        <v>70554</v>
      </c>
      <c r="AE95" s="114">
        <v>0</v>
      </c>
      <c r="AF95" s="114">
        <v>0</v>
      </c>
      <c r="AG95" s="114">
        <v>198659</v>
      </c>
      <c r="AH95" s="116">
        <v>0</v>
      </c>
      <c r="AI95" s="114">
        <v>0</v>
      </c>
      <c r="AJ95" s="120">
        <v>0</v>
      </c>
      <c r="AK95" s="82">
        <v>75832097</v>
      </c>
      <c r="AL95" s="83">
        <v>2508483</v>
      </c>
      <c r="AM95" s="114">
        <v>0</v>
      </c>
      <c r="AN95" s="114">
        <v>9005355</v>
      </c>
      <c r="AO95" s="114">
        <v>3612667</v>
      </c>
      <c r="AP95" s="114">
        <v>10843064</v>
      </c>
      <c r="AQ95" s="114">
        <v>6802835</v>
      </c>
      <c r="AR95" s="114">
        <v>10553613</v>
      </c>
      <c r="AS95" s="114">
        <v>923094</v>
      </c>
      <c r="AT95" s="114">
        <v>1493854</v>
      </c>
      <c r="AU95" s="114">
        <v>0</v>
      </c>
      <c r="AV95" s="114">
        <v>40327</v>
      </c>
      <c r="AW95" s="114">
        <v>0</v>
      </c>
      <c r="AX95" s="114">
        <v>0</v>
      </c>
      <c r="AY95" s="114">
        <v>183495</v>
      </c>
      <c r="AZ95" s="114"/>
      <c r="BA95" s="114"/>
      <c r="BB95" s="114"/>
      <c r="BC95" s="114"/>
      <c r="BD95" s="82">
        <v>4080324.45</v>
      </c>
      <c r="BE95" s="82">
        <v>2080965</v>
      </c>
      <c r="BF95" s="117">
        <v>5155181</v>
      </c>
      <c r="BG95" s="118">
        <v>0</v>
      </c>
      <c r="BH95" s="118">
        <v>0</v>
      </c>
      <c r="BI95" s="117">
        <v>60923257</v>
      </c>
      <c r="BJ95" s="117">
        <v>60923257</v>
      </c>
      <c r="BK95" s="117">
        <v>52022599</v>
      </c>
      <c r="BL95" s="117">
        <v>51992237</v>
      </c>
      <c r="BM95" s="117">
        <v>0</v>
      </c>
      <c r="BN95" s="117">
        <v>0</v>
      </c>
      <c r="BO95" s="119"/>
      <c r="BP95" s="86">
        <v>694613564</v>
      </c>
      <c r="BQ95" s="86">
        <v>501276525</v>
      </c>
      <c r="BR95" s="87">
        <v>246300</v>
      </c>
      <c r="BT95" s="114">
        <v>5885</v>
      </c>
      <c r="BU95" s="114">
        <v>2754</v>
      </c>
      <c r="BV95" s="114">
        <v>224</v>
      </c>
      <c r="BW95" s="114">
        <f t="shared" ref="BW95:BW121" si="10">SUM(BT95:BV95)</f>
        <v>8863</v>
      </c>
      <c r="BX95" s="89">
        <v>481855668</v>
      </c>
      <c r="BY95" s="90">
        <f t="shared" si="7"/>
        <v>75832097</v>
      </c>
      <c r="BZ95" s="90">
        <f t="shared" si="7"/>
        <v>2508483</v>
      </c>
      <c r="CA95" s="89">
        <f t="shared" si="8"/>
        <v>20343951</v>
      </c>
      <c r="CB95" s="89">
        <f t="shared" si="9"/>
        <v>580540199</v>
      </c>
    </row>
    <row r="96" spans="1:80" x14ac:dyDescent="0.25">
      <c r="A96" s="91" t="s">
        <v>150</v>
      </c>
      <c r="B96" s="114">
        <v>34488526</v>
      </c>
      <c r="C96" s="114">
        <v>37423454</v>
      </c>
      <c r="D96" s="114">
        <v>11992050</v>
      </c>
      <c r="E96" s="114">
        <v>0</v>
      </c>
      <c r="F96" s="114">
        <v>7406033</v>
      </c>
      <c r="G96" s="114">
        <v>9163300</v>
      </c>
      <c r="H96" s="114">
        <v>5355850</v>
      </c>
      <c r="I96" s="114">
        <v>3678100</v>
      </c>
      <c r="J96" s="114">
        <v>26000</v>
      </c>
      <c r="K96" s="114">
        <v>0</v>
      </c>
      <c r="L96" s="114">
        <v>42587522</v>
      </c>
      <c r="M96" s="114">
        <v>22243927</v>
      </c>
      <c r="N96" s="114">
        <v>368</v>
      </c>
      <c r="O96" s="114">
        <v>393</v>
      </c>
      <c r="P96" s="114">
        <v>598650</v>
      </c>
      <c r="Q96" s="114">
        <v>442000</v>
      </c>
      <c r="R96" s="114">
        <v>328000</v>
      </c>
      <c r="S96" s="114">
        <v>975200</v>
      </c>
      <c r="T96" s="114">
        <v>386700</v>
      </c>
      <c r="U96" s="114">
        <v>9000</v>
      </c>
      <c r="V96" s="114">
        <v>598650</v>
      </c>
      <c r="W96" s="114">
        <v>442000</v>
      </c>
      <c r="X96" s="114">
        <v>328000</v>
      </c>
      <c r="Y96" s="114">
        <v>975200</v>
      </c>
      <c r="Z96" s="114">
        <v>386700</v>
      </c>
      <c r="AA96" s="114">
        <v>9000</v>
      </c>
      <c r="AB96" s="114">
        <v>-1746800</v>
      </c>
      <c r="AC96" s="114">
        <v>0</v>
      </c>
      <c r="AD96" s="114">
        <v>50758</v>
      </c>
      <c r="AE96" s="114">
        <v>0</v>
      </c>
      <c r="AF96" s="114">
        <v>0</v>
      </c>
      <c r="AG96" s="114">
        <v>105738</v>
      </c>
      <c r="AH96" s="116">
        <v>0</v>
      </c>
      <c r="AI96" s="114">
        <v>66540.983606557376</v>
      </c>
      <c r="AJ96" s="120">
        <v>355811.47540983604</v>
      </c>
      <c r="AK96" s="82">
        <v>19146855</v>
      </c>
      <c r="AL96" s="83">
        <v>396454</v>
      </c>
      <c r="AM96" s="114">
        <v>0</v>
      </c>
      <c r="AN96" s="114">
        <v>1784792</v>
      </c>
      <c r="AO96" s="114">
        <v>3526</v>
      </c>
      <c r="AP96" s="114">
        <v>1238977</v>
      </c>
      <c r="AQ96" s="114">
        <v>1800094</v>
      </c>
      <c r="AR96" s="114">
        <v>379261</v>
      </c>
      <c r="AS96" s="114">
        <v>0</v>
      </c>
      <c r="AT96" s="114">
        <v>5190</v>
      </c>
      <c r="AU96" s="114">
        <v>0</v>
      </c>
      <c r="AV96" s="114">
        <v>0</v>
      </c>
      <c r="AW96" s="114">
        <v>0</v>
      </c>
      <c r="AX96" s="114">
        <v>0</v>
      </c>
      <c r="AY96" s="114">
        <v>0</v>
      </c>
      <c r="AZ96" s="114"/>
      <c r="BA96" s="114"/>
      <c r="BB96" s="114"/>
      <c r="BC96" s="114"/>
      <c r="BD96" s="82">
        <v>1030241.59</v>
      </c>
      <c r="BE96" s="82">
        <v>525423</v>
      </c>
      <c r="BF96" s="117"/>
      <c r="BG96" s="118">
        <v>0</v>
      </c>
      <c r="BH96" s="118">
        <v>0</v>
      </c>
      <c r="BI96" s="117">
        <v>1700015</v>
      </c>
      <c r="BJ96" s="117">
        <v>1700015</v>
      </c>
      <c r="BK96" s="117">
        <v>19181570</v>
      </c>
      <c r="BL96" s="117">
        <v>19128942</v>
      </c>
      <c r="BM96" s="117">
        <v>0</v>
      </c>
      <c r="BN96" s="117">
        <v>0</v>
      </c>
      <c r="BO96" s="119"/>
      <c r="BP96" s="86">
        <v>128812483.4590164</v>
      </c>
      <c r="BQ96" s="86">
        <v>87914794.459016398</v>
      </c>
      <c r="BR96" s="87">
        <v>311100</v>
      </c>
      <c r="BT96" s="114">
        <v>1417</v>
      </c>
      <c r="BU96" s="114">
        <v>1693</v>
      </c>
      <c r="BV96" s="114">
        <v>78</v>
      </c>
      <c r="BW96" s="114">
        <f t="shared" si="10"/>
        <v>3188</v>
      </c>
      <c r="BX96" s="89">
        <v>83904030</v>
      </c>
      <c r="BY96" s="90">
        <f t="shared" si="7"/>
        <v>19146855</v>
      </c>
      <c r="BZ96" s="90">
        <f t="shared" si="7"/>
        <v>396454</v>
      </c>
      <c r="CA96" s="89">
        <f t="shared" si="8"/>
        <v>3588412</v>
      </c>
      <c r="CB96" s="89">
        <f t="shared" si="9"/>
        <v>107035751</v>
      </c>
    </row>
    <row r="97" spans="1:80" x14ac:dyDescent="0.25">
      <c r="A97" s="91" t="s">
        <v>151</v>
      </c>
      <c r="B97" s="114">
        <v>278728414</v>
      </c>
      <c r="C97" s="114">
        <v>177860869</v>
      </c>
      <c r="D97" s="114">
        <v>61567895</v>
      </c>
      <c r="E97" s="114">
        <v>0</v>
      </c>
      <c r="F97" s="114">
        <v>28779230</v>
      </c>
      <c r="G97" s="114">
        <v>6130830</v>
      </c>
      <c r="H97" s="114">
        <v>17187750</v>
      </c>
      <c r="I97" s="114">
        <v>1882250</v>
      </c>
      <c r="J97" s="114">
        <v>93800</v>
      </c>
      <c r="K97" s="114">
        <v>0</v>
      </c>
      <c r="L97" s="114">
        <v>244524282</v>
      </c>
      <c r="M97" s="114">
        <v>139857903</v>
      </c>
      <c r="N97" s="114">
        <v>1294</v>
      </c>
      <c r="O97" s="114">
        <v>240</v>
      </c>
      <c r="P97" s="114">
        <v>4719000</v>
      </c>
      <c r="Q97" s="114">
        <v>4456925</v>
      </c>
      <c r="R97" s="114">
        <v>450000</v>
      </c>
      <c r="S97" s="114">
        <v>4151910</v>
      </c>
      <c r="T97" s="114">
        <v>1613920</v>
      </c>
      <c r="U97" s="114">
        <v>253000</v>
      </c>
      <c r="V97" s="114">
        <v>4719000</v>
      </c>
      <c r="W97" s="114">
        <v>5183080</v>
      </c>
      <c r="X97" s="114">
        <v>450000</v>
      </c>
      <c r="Y97" s="114">
        <v>4151910</v>
      </c>
      <c r="Z97" s="114">
        <v>5203371</v>
      </c>
      <c r="AA97" s="114">
        <v>253000</v>
      </c>
      <c r="AB97" s="114">
        <v>-1867075</v>
      </c>
      <c r="AC97" s="114">
        <v>-1633</v>
      </c>
      <c r="AD97" s="114">
        <v>62</v>
      </c>
      <c r="AE97" s="114">
        <v>0</v>
      </c>
      <c r="AF97" s="114">
        <v>0</v>
      </c>
      <c r="AG97" s="114">
        <v>158356</v>
      </c>
      <c r="AH97" s="116">
        <v>0</v>
      </c>
      <c r="AI97" s="114">
        <v>3437565.5737704919</v>
      </c>
      <c r="AJ97" s="120">
        <v>0</v>
      </c>
      <c r="AK97" s="82">
        <v>98350318</v>
      </c>
      <c r="AL97" s="83">
        <v>1962659</v>
      </c>
      <c r="AM97" s="114">
        <v>0</v>
      </c>
      <c r="AN97" s="114">
        <v>25862465</v>
      </c>
      <c r="AO97" s="114">
        <v>4516531</v>
      </c>
      <c r="AP97" s="114">
        <v>73209005</v>
      </c>
      <c r="AQ97" s="114">
        <v>5600204</v>
      </c>
      <c r="AR97" s="114">
        <v>7662256</v>
      </c>
      <c r="AS97" s="114">
        <v>3289891</v>
      </c>
      <c r="AT97" s="114">
        <v>351778</v>
      </c>
      <c r="AU97" s="114">
        <v>0</v>
      </c>
      <c r="AV97" s="114">
        <v>0</v>
      </c>
      <c r="AW97" s="114">
        <v>145312</v>
      </c>
      <c r="AX97" s="114">
        <v>267471</v>
      </c>
      <c r="AY97" s="114">
        <v>427785</v>
      </c>
      <c r="AZ97" s="114"/>
      <c r="BA97" s="114"/>
      <c r="BB97" s="114"/>
      <c r="BC97" s="114"/>
      <c r="BD97" s="82">
        <v>5291970.33</v>
      </c>
      <c r="BE97" s="82">
        <v>2698905</v>
      </c>
      <c r="BF97" s="117">
        <v>3540933</v>
      </c>
      <c r="BG97" s="118">
        <v>2713201</v>
      </c>
      <c r="BH97" s="118">
        <v>5320003</v>
      </c>
      <c r="BI97" s="117">
        <v>25052026</v>
      </c>
      <c r="BJ97" s="117">
        <v>25052026</v>
      </c>
      <c r="BK97" s="117">
        <v>58653879</v>
      </c>
      <c r="BL97" s="117">
        <v>53580810</v>
      </c>
      <c r="BM97" s="117">
        <v>0</v>
      </c>
      <c r="BN97" s="117">
        <v>0</v>
      </c>
      <c r="BO97" s="119"/>
      <c r="BP97" s="86">
        <v>741931862.57377052</v>
      </c>
      <c r="BQ97" s="86">
        <v>557573943.57377052</v>
      </c>
      <c r="BR97" s="87">
        <v>455525</v>
      </c>
      <c r="BT97" s="114">
        <v>4683</v>
      </c>
      <c r="BU97" s="114">
        <v>2641</v>
      </c>
      <c r="BV97" s="114">
        <v>342</v>
      </c>
      <c r="BW97" s="114">
        <f t="shared" si="10"/>
        <v>7666</v>
      </c>
      <c r="BX97" s="89">
        <v>518157178</v>
      </c>
      <c r="BY97" s="90">
        <f t="shared" si="7"/>
        <v>98350318</v>
      </c>
      <c r="BZ97" s="90">
        <f t="shared" si="7"/>
        <v>1962659</v>
      </c>
      <c r="CA97" s="89">
        <f t="shared" si="8"/>
        <v>39269091</v>
      </c>
      <c r="CB97" s="89">
        <f t="shared" si="9"/>
        <v>657739246</v>
      </c>
    </row>
    <row r="98" spans="1:80" x14ac:dyDescent="0.25">
      <c r="A98" s="91" t="s">
        <v>152</v>
      </c>
      <c r="B98" s="114">
        <v>459699992</v>
      </c>
      <c r="C98" s="114">
        <v>59972331</v>
      </c>
      <c r="D98" s="114">
        <v>283316350</v>
      </c>
      <c r="E98" s="114">
        <v>0</v>
      </c>
      <c r="F98" s="114">
        <v>68924900</v>
      </c>
      <c r="G98" s="114">
        <v>44395197</v>
      </c>
      <c r="H98" s="114">
        <v>11898225</v>
      </c>
      <c r="I98" s="114">
        <v>4111200</v>
      </c>
      <c r="J98" s="114">
        <v>464700</v>
      </c>
      <c r="K98" s="114">
        <v>184400</v>
      </c>
      <c r="L98" s="114">
        <v>63488732</v>
      </c>
      <c r="M98" s="114">
        <v>44286005</v>
      </c>
      <c r="N98" s="114">
        <v>2540</v>
      </c>
      <c r="O98" s="114">
        <v>1675</v>
      </c>
      <c r="P98" s="114">
        <v>364000</v>
      </c>
      <c r="Q98" s="114">
        <v>0</v>
      </c>
      <c r="R98" s="114">
        <v>0</v>
      </c>
      <c r="S98" s="114">
        <v>2857100</v>
      </c>
      <c r="T98" s="114">
        <v>129300</v>
      </c>
      <c r="U98" s="114">
        <v>308000</v>
      </c>
      <c r="V98" s="114">
        <v>364000</v>
      </c>
      <c r="W98" s="114">
        <v>0</v>
      </c>
      <c r="X98" s="114">
        <v>0</v>
      </c>
      <c r="Y98" s="114">
        <v>2857100</v>
      </c>
      <c r="Z98" s="114">
        <v>71000</v>
      </c>
      <c r="AA98" s="114">
        <v>308000</v>
      </c>
      <c r="AB98" s="114">
        <v>-23213898</v>
      </c>
      <c r="AC98" s="114">
        <v>-21892916</v>
      </c>
      <c r="AD98" s="114">
        <v>143405</v>
      </c>
      <c r="AE98" s="114">
        <v>35</v>
      </c>
      <c r="AF98" s="114">
        <v>0</v>
      </c>
      <c r="AG98" s="114">
        <v>168315</v>
      </c>
      <c r="AH98" s="116">
        <v>25660581.967213117</v>
      </c>
      <c r="AI98" s="114">
        <v>84044176.229508206</v>
      </c>
      <c r="AJ98" s="120">
        <v>238528961</v>
      </c>
      <c r="AK98" s="82">
        <v>205743155</v>
      </c>
      <c r="AL98" s="83">
        <f>4142692+492145</f>
        <v>4634837</v>
      </c>
      <c r="AM98" s="114">
        <v>15000</v>
      </c>
      <c r="AN98" s="114">
        <v>113809998</v>
      </c>
      <c r="AO98" s="114">
        <v>4413648</v>
      </c>
      <c r="AP98" s="114">
        <v>17704419</v>
      </c>
      <c r="AQ98" s="114">
        <v>55222824</v>
      </c>
      <c r="AR98" s="114">
        <v>27361614</v>
      </c>
      <c r="AS98" s="114">
        <v>1888</v>
      </c>
      <c r="AT98" s="114">
        <v>364023</v>
      </c>
      <c r="AU98" s="114">
        <v>0</v>
      </c>
      <c r="AV98" s="114">
        <v>0</v>
      </c>
      <c r="AW98" s="114">
        <v>0</v>
      </c>
      <c r="AX98" s="114">
        <v>19121</v>
      </c>
      <c r="AY98" s="114">
        <v>20582445</v>
      </c>
      <c r="AZ98" s="114"/>
      <c r="BA98" s="114"/>
      <c r="BB98" s="114"/>
      <c r="BC98" s="114"/>
      <c r="BD98" s="82">
        <v>11070494.67</v>
      </c>
      <c r="BE98" s="82">
        <v>5645952</v>
      </c>
      <c r="BF98" s="117"/>
      <c r="BG98" s="118">
        <v>6896488</v>
      </c>
      <c r="BH98" s="118">
        <v>13522526</v>
      </c>
      <c r="BI98" s="117">
        <v>35804414</v>
      </c>
      <c r="BJ98" s="117">
        <v>35804414</v>
      </c>
      <c r="BK98" s="117">
        <v>143137177</v>
      </c>
      <c r="BL98" s="117">
        <v>134995675</v>
      </c>
      <c r="BM98" s="117">
        <v>0</v>
      </c>
      <c r="BN98" s="117">
        <v>0</v>
      </c>
      <c r="BO98" s="119"/>
      <c r="BP98" s="86">
        <v>1718389383.1967213</v>
      </c>
      <c r="BQ98" s="86">
        <v>1324668862.1967213</v>
      </c>
      <c r="BR98" s="87">
        <v>1061467</v>
      </c>
      <c r="BT98" s="114">
        <v>13449</v>
      </c>
      <c r="BU98" s="114">
        <v>2738</v>
      </c>
      <c r="BV98" s="114">
        <v>1222</v>
      </c>
      <c r="BW98" s="114">
        <f t="shared" si="10"/>
        <v>17409</v>
      </c>
      <c r="BX98" s="89">
        <v>802988673</v>
      </c>
      <c r="BY98" s="90">
        <f t="shared" si="7"/>
        <v>205743155</v>
      </c>
      <c r="BZ98" s="90">
        <f t="shared" si="7"/>
        <v>4634837</v>
      </c>
      <c r="CA98" s="89">
        <f t="shared" si="8"/>
        <v>173448358</v>
      </c>
      <c r="CB98" s="89">
        <f t="shared" si="9"/>
        <v>1186815023</v>
      </c>
    </row>
    <row r="99" spans="1:80" x14ac:dyDescent="0.25">
      <c r="A99" s="91" t="s">
        <v>153</v>
      </c>
      <c r="B99" s="122">
        <v>999572449</v>
      </c>
      <c r="C99" s="122">
        <v>147046920</v>
      </c>
      <c r="D99" s="122">
        <v>425075889</v>
      </c>
      <c r="E99" s="122">
        <v>0</v>
      </c>
      <c r="F99" s="122">
        <v>144700700</v>
      </c>
      <c r="G99" s="122">
        <v>137089500</v>
      </c>
      <c r="H99" s="122">
        <v>30430950</v>
      </c>
      <c r="I99" s="122">
        <v>20506050</v>
      </c>
      <c r="J99" s="122">
        <v>585600</v>
      </c>
      <c r="K99" s="122">
        <v>288400</v>
      </c>
      <c r="L99" s="122">
        <v>161136730</v>
      </c>
      <c r="M99" s="122">
        <v>152916661</v>
      </c>
      <c r="N99" s="122">
        <v>5641</v>
      </c>
      <c r="O99" s="122">
        <v>5572</v>
      </c>
      <c r="P99" s="122">
        <v>12465350</v>
      </c>
      <c r="Q99" s="122">
        <v>484200</v>
      </c>
      <c r="R99" s="122">
        <v>19207835</v>
      </c>
      <c r="S99" s="122">
        <v>13326606</v>
      </c>
      <c r="T99" s="122">
        <v>659700</v>
      </c>
      <c r="U99" s="122">
        <v>8862853</v>
      </c>
      <c r="V99" s="122">
        <v>12465350</v>
      </c>
      <c r="W99" s="122">
        <v>459800</v>
      </c>
      <c r="X99" s="122">
        <v>19207835</v>
      </c>
      <c r="Y99" s="122">
        <v>13326606</v>
      </c>
      <c r="Z99" s="122">
        <v>830100</v>
      </c>
      <c r="AA99" s="122">
        <v>8862853</v>
      </c>
      <c r="AB99" s="122">
        <v>-8416404</v>
      </c>
      <c r="AC99" s="122">
        <v>-232121</v>
      </c>
      <c r="AD99" s="122">
        <v>380217</v>
      </c>
      <c r="AE99" s="122">
        <v>0</v>
      </c>
      <c r="AF99" s="122">
        <v>0</v>
      </c>
      <c r="AG99" s="122">
        <v>496956</v>
      </c>
      <c r="AH99" s="116">
        <v>11746459.016393444</v>
      </c>
      <c r="AI99" s="122">
        <v>355364266.39344263</v>
      </c>
      <c r="AJ99" s="120">
        <v>292318687</v>
      </c>
      <c r="AK99" s="82">
        <v>471491964</v>
      </c>
      <c r="AL99" s="83">
        <f>10146883+607953</f>
        <v>10754836</v>
      </c>
      <c r="AM99" s="122">
        <v>0</v>
      </c>
      <c r="AN99" s="122">
        <v>231717909</v>
      </c>
      <c r="AO99" s="122">
        <v>11026373</v>
      </c>
      <c r="AP99" s="122">
        <v>143517667</v>
      </c>
      <c r="AQ99" s="122">
        <v>120381937</v>
      </c>
      <c r="AR99" s="122">
        <v>69502645</v>
      </c>
      <c r="AS99" s="122">
        <v>4648805</v>
      </c>
      <c r="AT99" s="122">
        <v>32469</v>
      </c>
      <c r="AU99" s="122">
        <v>0</v>
      </c>
      <c r="AV99" s="122">
        <v>0</v>
      </c>
      <c r="AW99" s="122">
        <v>0</v>
      </c>
      <c r="AX99" s="122">
        <v>26803</v>
      </c>
      <c r="AY99" s="122">
        <v>1576000</v>
      </c>
      <c r="BD99" s="82">
        <v>25369734.77</v>
      </c>
      <c r="BE99" s="82">
        <v>12938565</v>
      </c>
      <c r="BF99" s="117"/>
      <c r="BG99" s="118">
        <v>7747625</v>
      </c>
      <c r="BH99" s="118">
        <v>15191421</v>
      </c>
      <c r="BI99" s="117">
        <v>93942471</v>
      </c>
      <c r="BJ99" s="117">
        <v>93942471</v>
      </c>
      <c r="BK99" s="117">
        <v>277470508</v>
      </c>
      <c r="BL99" s="117">
        <v>267576477</v>
      </c>
      <c r="BM99" s="117">
        <v>0</v>
      </c>
      <c r="BN99" s="117">
        <v>0</v>
      </c>
      <c r="BO99" s="123"/>
      <c r="BP99" s="86">
        <v>3458702827.4098358</v>
      </c>
      <c r="BQ99" s="86">
        <v>2594250889.4098358</v>
      </c>
      <c r="BR99" s="87">
        <v>10702469</v>
      </c>
      <c r="BT99" s="122">
        <v>33312</v>
      </c>
      <c r="BU99" s="122">
        <v>7804</v>
      </c>
      <c r="BV99" s="122">
        <v>1784</v>
      </c>
      <c r="BW99" s="114">
        <f t="shared" si="10"/>
        <v>42900</v>
      </c>
      <c r="BX99" s="89">
        <v>1571695258</v>
      </c>
      <c r="BY99" s="90">
        <f t="shared" si="7"/>
        <v>471491964</v>
      </c>
      <c r="BZ99" s="90">
        <f t="shared" si="7"/>
        <v>10754836</v>
      </c>
      <c r="CA99" s="89">
        <f t="shared" si="8"/>
        <v>367775024</v>
      </c>
      <c r="CB99" s="89">
        <f t="shared" si="9"/>
        <v>2421717082</v>
      </c>
    </row>
    <row r="100" spans="1:80" x14ac:dyDescent="0.25">
      <c r="A100" s="91" t="s">
        <v>154</v>
      </c>
      <c r="B100" s="114">
        <v>246714694</v>
      </c>
      <c r="C100" s="114">
        <v>56414623</v>
      </c>
      <c r="D100" s="114">
        <v>82216046</v>
      </c>
      <c r="E100" s="114">
        <v>0</v>
      </c>
      <c r="F100" s="114">
        <v>27707143</v>
      </c>
      <c r="G100" s="114">
        <v>13564412</v>
      </c>
      <c r="H100" s="114">
        <v>5473375</v>
      </c>
      <c r="I100" s="114">
        <v>1392425</v>
      </c>
      <c r="J100" s="114">
        <v>95800</v>
      </c>
      <c r="K100" s="114">
        <v>22500</v>
      </c>
      <c r="L100" s="114">
        <v>31298589</v>
      </c>
      <c r="M100" s="114">
        <v>30506964</v>
      </c>
      <c r="N100" s="114">
        <v>1018</v>
      </c>
      <c r="O100" s="114">
        <v>499</v>
      </c>
      <c r="P100" s="114">
        <v>2671959</v>
      </c>
      <c r="Q100" s="114">
        <v>224602</v>
      </c>
      <c r="R100" s="114">
        <v>0</v>
      </c>
      <c r="S100" s="114">
        <v>1829704</v>
      </c>
      <c r="T100" s="114">
        <v>1328308</v>
      </c>
      <c r="U100" s="114">
        <v>131500</v>
      </c>
      <c r="V100" s="114">
        <v>2671959</v>
      </c>
      <c r="W100" s="114">
        <v>134900</v>
      </c>
      <c r="X100" s="114">
        <v>0</v>
      </c>
      <c r="Y100" s="114">
        <v>1829704</v>
      </c>
      <c r="Z100" s="114">
        <v>482950</v>
      </c>
      <c r="AA100" s="114">
        <v>131500</v>
      </c>
      <c r="AB100" s="114">
        <v>-1723896</v>
      </c>
      <c r="AC100" s="114">
        <v>0</v>
      </c>
      <c r="AD100" s="114">
        <v>63509</v>
      </c>
      <c r="AE100" s="114">
        <v>0</v>
      </c>
      <c r="AF100" s="114">
        <v>0</v>
      </c>
      <c r="AG100" s="114">
        <v>77846</v>
      </c>
      <c r="AH100" s="116">
        <v>776377.04918032791</v>
      </c>
      <c r="AI100" s="114">
        <v>382426.22950819676</v>
      </c>
      <c r="AJ100" s="120">
        <v>0</v>
      </c>
      <c r="AK100" s="82">
        <v>77244721</v>
      </c>
      <c r="AL100" s="83">
        <v>1435734</v>
      </c>
      <c r="AM100" s="114">
        <v>0</v>
      </c>
      <c r="AN100" s="114">
        <v>7719435</v>
      </c>
      <c r="AO100" s="114">
        <v>201335</v>
      </c>
      <c r="AP100" s="114">
        <v>13793719</v>
      </c>
      <c r="AQ100" s="114">
        <v>11996434</v>
      </c>
      <c r="AR100" s="114">
        <v>6281599</v>
      </c>
      <c r="AS100" s="114">
        <v>0</v>
      </c>
      <c r="AT100" s="114">
        <v>0</v>
      </c>
      <c r="AU100" s="114">
        <v>0</v>
      </c>
      <c r="AV100" s="114">
        <v>0</v>
      </c>
      <c r="AW100" s="114">
        <v>0</v>
      </c>
      <c r="AX100" s="114">
        <v>3493288</v>
      </c>
      <c r="AY100" s="114">
        <v>63500</v>
      </c>
      <c r="AZ100" s="114"/>
      <c r="BA100" s="114"/>
      <c r="BB100" s="114"/>
      <c r="BC100" s="114"/>
      <c r="BD100" s="82">
        <v>4156334.01</v>
      </c>
      <c r="BE100" s="82">
        <v>2119730</v>
      </c>
      <c r="BF100" s="117"/>
      <c r="BG100" s="118">
        <v>0</v>
      </c>
      <c r="BH100" s="118">
        <v>0</v>
      </c>
      <c r="BI100" s="117">
        <v>11815394</v>
      </c>
      <c r="BJ100" s="117">
        <v>11815394</v>
      </c>
      <c r="BK100" s="117">
        <v>53293586</v>
      </c>
      <c r="BL100" s="117">
        <v>53166263</v>
      </c>
      <c r="BM100" s="117">
        <v>0</v>
      </c>
      <c r="BN100" s="117">
        <v>0</v>
      </c>
      <c r="BO100" s="119"/>
      <c r="BP100" s="86">
        <v>552203212.27868855</v>
      </c>
      <c r="BQ100" s="86">
        <v>406421370.27868855</v>
      </c>
      <c r="BR100" s="87">
        <v>797578</v>
      </c>
      <c r="BT100" s="114">
        <v>7501</v>
      </c>
      <c r="BU100" s="114">
        <v>1252</v>
      </c>
      <c r="BV100" s="114">
        <v>466</v>
      </c>
      <c r="BW100" s="114">
        <f t="shared" si="10"/>
        <v>9219</v>
      </c>
      <c r="BX100" s="89">
        <v>385345363</v>
      </c>
      <c r="BY100" s="90">
        <f t="shared" si="7"/>
        <v>77244721</v>
      </c>
      <c r="BZ100" s="90">
        <f t="shared" si="7"/>
        <v>1435734</v>
      </c>
      <c r="CA100" s="89">
        <f t="shared" si="8"/>
        <v>19917204</v>
      </c>
      <c r="CB100" s="89">
        <f t="shared" si="9"/>
        <v>483943022</v>
      </c>
    </row>
    <row r="101" spans="1:80" x14ac:dyDescent="0.25">
      <c r="A101" s="91" t="s">
        <v>155</v>
      </c>
      <c r="B101" s="114">
        <v>2105204543</v>
      </c>
      <c r="C101" s="114">
        <v>338568361</v>
      </c>
      <c r="D101" s="114">
        <v>761837103</v>
      </c>
      <c r="E101" s="114">
        <v>0</v>
      </c>
      <c r="F101" s="114">
        <v>183676747</v>
      </c>
      <c r="G101" s="114">
        <v>36976864</v>
      </c>
      <c r="H101" s="114">
        <v>33786862</v>
      </c>
      <c r="I101" s="114">
        <v>3500700</v>
      </c>
      <c r="J101" s="114">
        <v>295200</v>
      </c>
      <c r="K101" s="114">
        <v>73800</v>
      </c>
      <c r="L101" s="114">
        <v>627767872</v>
      </c>
      <c r="M101" s="114">
        <v>227290283</v>
      </c>
      <c r="N101" s="114">
        <v>6254</v>
      </c>
      <c r="O101" s="114">
        <v>1266</v>
      </c>
      <c r="P101" s="114">
        <v>22215644</v>
      </c>
      <c r="Q101" s="114">
        <v>5471000</v>
      </c>
      <c r="R101" s="114">
        <v>5617333</v>
      </c>
      <c r="S101" s="114">
        <v>4528387</v>
      </c>
      <c r="T101" s="114">
        <v>320000</v>
      </c>
      <c r="U101" s="114">
        <v>914100</v>
      </c>
      <c r="V101" s="114">
        <v>22215644</v>
      </c>
      <c r="W101" s="114">
        <v>5471000</v>
      </c>
      <c r="X101" s="114">
        <v>5617333</v>
      </c>
      <c r="Y101" s="114">
        <v>4528387</v>
      </c>
      <c r="Z101" s="114">
        <v>320000</v>
      </c>
      <c r="AA101" s="114">
        <v>914100</v>
      </c>
      <c r="AB101" s="114">
        <v>-8761512</v>
      </c>
      <c r="AC101" s="114">
        <v>-293292</v>
      </c>
      <c r="AD101" s="114">
        <v>42032</v>
      </c>
      <c r="AE101" s="114">
        <v>0</v>
      </c>
      <c r="AF101" s="114">
        <v>0</v>
      </c>
      <c r="AG101" s="114">
        <v>303612</v>
      </c>
      <c r="AH101" s="116">
        <v>2598.3606557377047</v>
      </c>
      <c r="AI101" s="114">
        <v>630950.81967213121</v>
      </c>
      <c r="AJ101" s="120">
        <v>1385.2459016393443</v>
      </c>
      <c r="AK101" s="82">
        <v>430663807</v>
      </c>
      <c r="AL101" s="83">
        <f>25243071+936138+210784</f>
        <v>26389993</v>
      </c>
      <c r="AM101" s="114">
        <v>9822010</v>
      </c>
      <c r="AN101" s="114">
        <v>134273747</v>
      </c>
      <c r="AO101" s="114">
        <v>15619370</v>
      </c>
      <c r="AP101" s="114">
        <v>254481456</v>
      </c>
      <c r="AQ101" s="114">
        <v>130821080</v>
      </c>
      <c r="AR101" s="114">
        <v>154115500</v>
      </c>
      <c r="AS101" s="114">
        <v>21310445</v>
      </c>
      <c r="AT101" s="114">
        <f>10396630+800</f>
        <v>10397430</v>
      </c>
      <c r="AU101" s="114">
        <v>0</v>
      </c>
      <c r="AV101" s="114">
        <v>33164</v>
      </c>
      <c r="AW101" s="114">
        <v>0</v>
      </c>
      <c r="AX101" s="114">
        <v>1860733</v>
      </c>
      <c r="AY101" s="114">
        <v>1123378</v>
      </c>
      <c r="AZ101" s="114"/>
      <c r="BA101" s="114"/>
      <c r="BB101" s="114"/>
      <c r="BC101" s="114"/>
      <c r="BD101" s="82">
        <v>23172879.690000001</v>
      </c>
      <c r="BE101" s="82">
        <v>11818169</v>
      </c>
      <c r="BF101" s="117"/>
      <c r="BG101" s="118">
        <v>4935939</v>
      </c>
      <c r="BH101" s="118">
        <v>9678312</v>
      </c>
      <c r="BI101" s="117">
        <v>82166818</v>
      </c>
      <c r="BJ101" s="117">
        <v>82166818</v>
      </c>
      <c r="BK101" s="117">
        <v>169178137</v>
      </c>
      <c r="BL101" s="117">
        <v>154696142</v>
      </c>
      <c r="BM101" s="117">
        <v>0</v>
      </c>
      <c r="BN101" s="117">
        <v>0</v>
      </c>
      <c r="BO101" s="119"/>
      <c r="BP101" s="86">
        <v>4197630006.4262295</v>
      </c>
      <c r="BQ101" s="86">
        <v>3486959138.4262295</v>
      </c>
      <c r="BR101" s="87">
        <v>4387500</v>
      </c>
      <c r="BT101" s="114">
        <v>38669</v>
      </c>
      <c r="BU101" s="114">
        <v>6274</v>
      </c>
      <c r="BV101" s="114">
        <v>2453</v>
      </c>
      <c r="BW101" s="114">
        <f t="shared" si="10"/>
        <v>47396</v>
      </c>
      <c r="BX101" s="89">
        <v>3205610007</v>
      </c>
      <c r="BY101" s="90">
        <f t="shared" si="7"/>
        <v>430663807</v>
      </c>
      <c r="BZ101" s="90">
        <f t="shared" si="7"/>
        <v>26389993</v>
      </c>
      <c r="CA101" s="89">
        <f t="shared" si="8"/>
        <v>302024642</v>
      </c>
      <c r="CB101" s="89">
        <f t="shared" si="9"/>
        <v>3964688449</v>
      </c>
    </row>
    <row r="102" spans="1:80" x14ac:dyDescent="0.25">
      <c r="A102" s="91" t="s">
        <v>156</v>
      </c>
      <c r="B102" s="114">
        <v>21156992</v>
      </c>
      <c r="C102" s="114">
        <v>38149840</v>
      </c>
      <c r="D102" s="114">
        <v>3491688</v>
      </c>
      <c r="E102" s="114">
        <v>0</v>
      </c>
      <c r="F102" s="114">
        <v>3915722</v>
      </c>
      <c r="G102" s="114">
        <v>1102000</v>
      </c>
      <c r="H102" s="114">
        <v>3381584</v>
      </c>
      <c r="I102" s="114">
        <v>1147684</v>
      </c>
      <c r="J102" s="114">
        <v>0</v>
      </c>
      <c r="K102" s="114">
        <v>0</v>
      </c>
      <c r="L102" s="114">
        <v>55989620</v>
      </c>
      <c r="M102" s="114">
        <v>22080570</v>
      </c>
      <c r="N102" s="114">
        <v>211</v>
      </c>
      <c r="O102" s="114">
        <v>70</v>
      </c>
      <c r="P102" s="114">
        <v>122000</v>
      </c>
      <c r="Q102" s="114">
        <v>572285</v>
      </c>
      <c r="R102" s="114">
        <v>35000</v>
      </c>
      <c r="S102" s="114">
        <v>222574</v>
      </c>
      <c r="T102" s="114">
        <v>47707</v>
      </c>
      <c r="U102" s="114">
        <v>4500</v>
      </c>
      <c r="V102" s="114">
        <v>122000</v>
      </c>
      <c r="W102" s="114">
        <v>738663</v>
      </c>
      <c r="X102" s="114">
        <v>35000</v>
      </c>
      <c r="Y102" s="114">
        <v>222574</v>
      </c>
      <c r="Z102" s="114">
        <v>85897</v>
      </c>
      <c r="AA102" s="114">
        <v>4500</v>
      </c>
      <c r="AB102" s="114">
        <v>-497650</v>
      </c>
      <c r="AC102" s="114">
        <v>-75907</v>
      </c>
      <c r="AD102" s="114">
        <v>0</v>
      </c>
      <c r="AE102" s="114">
        <v>0</v>
      </c>
      <c r="AF102" s="114">
        <v>0</v>
      </c>
      <c r="AG102" s="114">
        <v>0</v>
      </c>
      <c r="AH102" s="116">
        <v>0</v>
      </c>
      <c r="AI102" s="114">
        <v>0</v>
      </c>
      <c r="AJ102" s="120">
        <v>0</v>
      </c>
      <c r="AK102" s="82">
        <v>14077002</v>
      </c>
      <c r="AL102" s="83">
        <v>273309</v>
      </c>
      <c r="AM102" s="114">
        <v>0</v>
      </c>
      <c r="AN102" s="114">
        <v>608584</v>
      </c>
      <c r="AO102" s="114">
        <v>21232</v>
      </c>
      <c r="AP102" s="114">
        <v>0</v>
      </c>
      <c r="AQ102" s="114">
        <v>673656</v>
      </c>
      <c r="AR102" s="114">
        <v>0</v>
      </c>
      <c r="AS102" s="114">
        <v>0</v>
      </c>
      <c r="AT102" s="114">
        <v>0</v>
      </c>
      <c r="AU102" s="114">
        <v>0</v>
      </c>
      <c r="AV102" s="114">
        <v>0</v>
      </c>
      <c r="AW102" s="114">
        <v>0</v>
      </c>
      <c r="AX102" s="114">
        <v>0</v>
      </c>
      <c r="AY102" s="114">
        <v>0</v>
      </c>
      <c r="AZ102" s="114"/>
      <c r="BA102" s="114"/>
      <c r="BB102" s="114"/>
      <c r="BC102" s="114"/>
      <c r="BD102" s="82">
        <v>757446.22</v>
      </c>
      <c r="BE102" s="82">
        <v>386298</v>
      </c>
      <c r="BF102" s="117"/>
      <c r="BG102" s="118">
        <v>0</v>
      </c>
      <c r="BH102" s="118">
        <v>0</v>
      </c>
      <c r="BI102" s="117">
        <v>5493577</v>
      </c>
      <c r="BJ102" s="117">
        <v>5493577</v>
      </c>
      <c r="BK102" s="117">
        <v>10776925</v>
      </c>
      <c r="BL102" s="117">
        <v>10770852</v>
      </c>
      <c r="BM102" s="117">
        <v>0</v>
      </c>
      <c r="BN102" s="117">
        <v>0</v>
      </c>
      <c r="BO102" s="119"/>
      <c r="BP102" s="86">
        <v>95103030</v>
      </c>
      <c r="BQ102" s="86">
        <v>64101992</v>
      </c>
      <c r="BR102" s="87">
        <v>71800</v>
      </c>
      <c r="BT102" s="114">
        <v>666</v>
      </c>
      <c r="BU102" s="114">
        <v>782</v>
      </c>
      <c r="BV102" s="114">
        <v>49</v>
      </c>
      <c r="BW102" s="114">
        <f t="shared" si="10"/>
        <v>1497</v>
      </c>
      <c r="BX102" s="89">
        <v>62798520</v>
      </c>
      <c r="BY102" s="90">
        <f t="shared" si="7"/>
        <v>14077002</v>
      </c>
      <c r="BZ102" s="90">
        <f t="shared" si="7"/>
        <v>273309</v>
      </c>
      <c r="CA102" s="89">
        <f t="shared" si="8"/>
        <v>1303472</v>
      </c>
      <c r="CB102" s="89">
        <f t="shared" si="9"/>
        <v>78452303</v>
      </c>
    </row>
    <row r="103" spans="1:80" x14ac:dyDescent="0.25">
      <c r="A103" s="91" t="s">
        <v>157</v>
      </c>
      <c r="B103" s="114">
        <v>247823007</v>
      </c>
      <c r="C103" s="114">
        <v>89409060</v>
      </c>
      <c r="D103" s="114">
        <v>69640551</v>
      </c>
      <c r="E103" s="114">
        <v>0</v>
      </c>
      <c r="F103" s="114">
        <v>41221600</v>
      </c>
      <c r="G103" s="114">
        <v>14770100</v>
      </c>
      <c r="H103" s="114">
        <v>13567800</v>
      </c>
      <c r="I103" s="114">
        <v>2075900</v>
      </c>
      <c r="J103" s="114">
        <v>73800</v>
      </c>
      <c r="K103" s="114">
        <v>0</v>
      </c>
      <c r="L103" s="114">
        <v>127476789</v>
      </c>
      <c r="M103" s="114">
        <v>65513500</v>
      </c>
      <c r="N103" s="114">
        <v>1573</v>
      </c>
      <c r="O103" s="114">
        <v>525</v>
      </c>
      <c r="P103" s="114">
        <v>2877950</v>
      </c>
      <c r="Q103" s="114">
        <v>1067500</v>
      </c>
      <c r="R103" s="114">
        <v>341900</v>
      </c>
      <c r="S103" s="114">
        <v>3639650</v>
      </c>
      <c r="T103" s="114">
        <v>283500</v>
      </c>
      <c r="U103" s="114">
        <v>497900</v>
      </c>
      <c r="V103" s="114">
        <v>2877950</v>
      </c>
      <c r="W103" s="114">
        <v>437000</v>
      </c>
      <c r="X103" s="114">
        <v>341900</v>
      </c>
      <c r="Y103" s="114">
        <v>3639650</v>
      </c>
      <c r="Z103" s="114">
        <v>208500</v>
      </c>
      <c r="AA103" s="114">
        <v>497900</v>
      </c>
      <c r="AB103" s="114">
        <v>-3899000</v>
      </c>
      <c r="AC103" s="114">
        <v>0</v>
      </c>
      <c r="AD103" s="114">
        <v>0</v>
      </c>
      <c r="AE103" s="114">
        <v>0</v>
      </c>
      <c r="AF103" s="114">
        <v>0</v>
      </c>
      <c r="AG103" s="114">
        <v>0</v>
      </c>
      <c r="AH103" s="116">
        <v>56819.672131147541</v>
      </c>
      <c r="AI103" s="114">
        <v>253672.13114754102</v>
      </c>
      <c r="AJ103" s="120">
        <v>0</v>
      </c>
      <c r="AK103" s="82">
        <v>85491934</v>
      </c>
      <c r="AL103" s="83">
        <v>2317900</v>
      </c>
      <c r="AM103" s="114">
        <v>13729</v>
      </c>
      <c r="AN103" s="114">
        <v>12089244</v>
      </c>
      <c r="AO103" s="114">
        <v>201517</v>
      </c>
      <c r="AP103" s="114">
        <v>9343999</v>
      </c>
      <c r="AQ103" s="114">
        <v>6971836</v>
      </c>
      <c r="AR103" s="114">
        <v>1865076</v>
      </c>
      <c r="AS103" s="114">
        <v>0</v>
      </c>
      <c r="AT103" s="114">
        <v>0</v>
      </c>
      <c r="AU103" s="114">
        <v>0</v>
      </c>
      <c r="AV103" s="114">
        <v>0</v>
      </c>
      <c r="AW103" s="114">
        <v>0</v>
      </c>
      <c r="AX103" s="114">
        <v>116448</v>
      </c>
      <c r="AY103" s="114">
        <v>8000</v>
      </c>
      <c r="AZ103" s="114"/>
      <c r="BA103" s="114"/>
      <c r="BB103" s="114"/>
      <c r="BC103" s="114"/>
      <c r="BD103" s="82">
        <v>4600094.71</v>
      </c>
      <c r="BE103" s="82">
        <v>2346048</v>
      </c>
      <c r="BF103" s="117"/>
      <c r="BG103" s="118">
        <v>2629718</v>
      </c>
      <c r="BH103" s="118">
        <v>5156310</v>
      </c>
      <c r="BI103" s="117">
        <v>8567689</v>
      </c>
      <c r="BJ103" s="117">
        <v>8567689</v>
      </c>
      <c r="BK103" s="117">
        <v>39009558</v>
      </c>
      <c r="BL103" s="117">
        <v>35709054</v>
      </c>
      <c r="BM103" s="117">
        <v>0</v>
      </c>
      <c r="BN103" s="117">
        <v>0</v>
      </c>
      <c r="BO103" s="119"/>
      <c r="BP103" s="86">
        <v>563508049.80327868</v>
      </c>
      <c r="BQ103" s="86">
        <v>426445706.80327868</v>
      </c>
      <c r="BR103" s="87">
        <v>1443701</v>
      </c>
      <c r="BT103" s="114">
        <v>7144</v>
      </c>
      <c r="BU103" s="114">
        <v>2644</v>
      </c>
      <c r="BV103" s="114">
        <v>376</v>
      </c>
      <c r="BW103" s="114">
        <f t="shared" si="10"/>
        <v>10164</v>
      </c>
      <c r="BX103" s="89">
        <v>406872618</v>
      </c>
      <c r="BY103" s="90">
        <f t="shared" si="7"/>
        <v>85491934</v>
      </c>
      <c r="BZ103" s="90">
        <f t="shared" si="7"/>
        <v>2317900</v>
      </c>
      <c r="CA103" s="89">
        <f t="shared" si="8"/>
        <v>19262597</v>
      </c>
      <c r="CB103" s="89">
        <f t="shared" si="9"/>
        <v>513945049</v>
      </c>
    </row>
    <row r="104" spans="1:80" x14ac:dyDescent="0.25">
      <c r="A104" s="91" t="s">
        <v>158</v>
      </c>
      <c r="B104" s="114">
        <v>550973750</v>
      </c>
      <c r="C104" s="114">
        <v>104990299</v>
      </c>
      <c r="D104" s="114">
        <v>298566791</v>
      </c>
      <c r="E104" s="114">
        <v>0</v>
      </c>
      <c r="F104" s="114">
        <v>46675447</v>
      </c>
      <c r="G104" s="114">
        <v>10302475</v>
      </c>
      <c r="H104" s="114">
        <v>13517411</v>
      </c>
      <c r="I104" s="114">
        <v>1365462</v>
      </c>
      <c r="J104" s="114">
        <v>36900</v>
      </c>
      <c r="K104" s="114">
        <v>0</v>
      </c>
      <c r="L104" s="114">
        <v>88909748</v>
      </c>
      <c r="M104" s="114">
        <v>0</v>
      </c>
      <c r="N104" s="114">
        <v>1848</v>
      </c>
      <c r="O104" s="114">
        <v>430</v>
      </c>
      <c r="P104" s="114">
        <v>10266517</v>
      </c>
      <c r="Q104" s="114">
        <v>3637581</v>
      </c>
      <c r="R104" s="114">
        <v>5147242</v>
      </c>
      <c r="S104" s="114">
        <v>8801705</v>
      </c>
      <c r="T104" s="114">
        <v>752709</v>
      </c>
      <c r="U104" s="114">
        <v>9959829</v>
      </c>
      <c r="V104" s="114">
        <v>10266517</v>
      </c>
      <c r="W104" s="114">
        <v>2646527</v>
      </c>
      <c r="X104" s="114">
        <v>5147242</v>
      </c>
      <c r="Y104" s="114">
        <v>8801705</v>
      </c>
      <c r="Z104" s="114">
        <v>2008348</v>
      </c>
      <c r="AA104" s="114">
        <v>9959829</v>
      </c>
      <c r="AB104" s="114">
        <v>-6307062</v>
      </c>
      <c r="AC104" s="114">
        <v>571446</v>
      </c>
      <c r="AD104" s="114">
        <v>56575</v>
      </c>
      <c r="AE104" s="114">
        <v>0</v>
      </c>
      <c r="AF104" s="114">
        <v>0</v>
      </c>
      <c r="AG104" s="114">
        <v>80412</v>
      </c>
      <c r="AH104" s="116">
        <v>0</v>
      </c>
      <c r="AI104" s="114">
        <v>70803.278688524588</v>
      </c>
      <c r="AJ104" s="120">
        <v>0</v>
      </c>
      <c r="AK104" s="82">
        <v>127986669</v>
      </c>
      <c r="AL104" s="83">
        <v>5306667</v>
      </c>
      <c r="AM104" s="114">
        <v>1585695</v>
      </c>
      <c r="AN104" s="114">
        <v>47058532</v>
      </c>
      <c r="AO104" s="114">
        <v>6827168</v>
      </c>
      <c r="AP104" s="114">
        <v>89439960</v>
      </c>
      <c r="AQ104" s="114">
        <v>41311530</v>
      </c>
      <c r="AR104" s="114">
        <v>39957770</v>
      </c>
      <c r="AS104" s="114">
        <v>24063398</v>
      </c>
      <c r="AT104" s="114">
        <v>125965</v>
      </c>
      <c r="AU104" s="114">
        <v>1051580</v>
      </c>
      <c r="AV104" s="114">
        <v>0</v>
      </c>
      <c r="AW104" s="114">
        <v>10149</v>
      </c>
      <c r="AX104" s="114">
        <v>12778</v>
      </c>
      <c r="AY104" s="114">
        <v>193000</v>
      </c>
      <c r="AZ104" s="114"/>
      <c r="BA104" s="114"/>
      <c r="BB104" s="114"/>
      <c r="BC104" s="114"/>
      <c r="BD104" s="82">
        <v>6886623.9400000004</v>
      </c>
      <c r="BE104" s="82">
        <v>3512178</v>
      </c>
      <c r="BF104" s="117"/>
      <c r="BG104" s="118">
        <v>0</v>
      </c>
      <c r="BH104" s="118">
        <v>0</v>
      </c>
      <c r="BI104" s="117">
        <v>35360989</v>
      </c>
      <c r="BJ104" s="117">
        <v>35360989</v>
      </c>
      <c r="BK104" s="117">
        <v>63531796</v>
      </c>
      <c r="BL104" s="117">
        <v>63509530</v>
      </c>
      <c r="BM104" s="117">
        <v>0</v>
      </c>
      <c r="BN104" s="117">
        <v>0</v>
      </c>
      <c r="BO104" s="119"/>
      <c r="BP104" s="86">
        <v>1285474906.2786884</v>
      </c>
      <c r="BQ104" s="86">
        <v>1049798873.2786885</v>
      </c>
      <c r="BR104" s="87">
        <v>3792662</v>
      </c>
      <c r="BT104" s="114">
        <f>8734+1958</f>
        <v>10692</v>
      </c>
      <c r="BU104" s="114">
        <v>663</v>
      </c>
      <c r="BV104" s="114">
        <v>842</v>
      </c>
      <c r="BW104" s="114">
        <f t="shared" si="10"/>
        <v>12197</v>
      </c>
      <c r="BX104" s="89">
        <v>954530840</v>
      </c>
      <c r="BY104" s="90">
        <f t="shared" si="7"/>
        <v>127986669</v>
      </c>
      <c r="BZ104" s="90">
        <f t="shared" si="7"/>
        <v>5306667</v>
      </c>
      <c r="CA104" s="89">
        <f t="shared" si="8"/>
        <v>119260628</v>
      </c>
      <c r="CB104" s="89">
        <f t="shared" si="9"/>
        <v>1207084804</v>
      </c>
    </row>
    <row r="105" spans="1:80" x14ac:dyDescent="0.25">
      <c r="A105" s="91" t="s">
        <v>159</v>
      </c>
      <c r="B105" s="114">
        <v>532957995</v>
      </c>
      <c r="C105" s="114">
        <v>124640372</v>
      </c>
      <c r="D105" s="114">
        <v>166757453</v>
      </c>
      <c r="E105" s="114">
        <v>0</v>
      </c>
      <c r="F105" s="114">
        <v>54780450</v>
      </c>
      <c r="G105" s="114">
        <v>12582900</v>
      </c>
      <c r="H105" s="114">
        <v>16987150</v>
      </c>
      <c r="I105" s="114">
        <v>1511950</v>
      </c>
      <c r="J105" s="114">
        <v>184500</v>
      </c>
      <c r="K105" s="114">
        <v>0</v>
      </c>
      <c r="L105" s="114">
        <v>261413883</v>
      </c>
      <c r="M105" s="114">
        <v>98926705</v>
      </c>
      <c r="N105" s="114">
        <v>2076</v>
      </c>
      <c r="O105" s="114">
        <v>460</v>
      </c>
      <c r="P105" s="114">
        <v>6089000</v>
      </c>
      <c r="Q105" s="114">
        <v>2475450</v>
      </c>
      <c r="R105" s="114">
        <v>4116500</v>
      </c>
      <c r="S105" s="114">
        <v>7563271</v>
      </c>
      <c r="T105" s="114">
        <v>1283050</v>
      </c>
      <c r="U105" s="114">
        <v>6589200</v>
      </c>
      <c r="V105" s="114">
        <v>6089000</v>
      </c>
      <c r="W105" s="114">
        <v>2912100</v>
      </c>
      <c r="X105" s="114">
        <v>4116500</v>
      </c>
      <c r="Y105" s="114">
        <v>7563271</v>
      </c>
      <c r="Z105" s="114">
        <v>3141500</v>
      </c>
      <c r="AA105" s="114">
        <v>6589200</v>
      </c>
      <c r="AB105" s="114">
        <v>-2571015</v>
      </c>
      <c r="AC105" s="114">
        <v>-1721727</v>
      </c>
      <c r="AD105" s="114">
        <v>0</v>
      </c>
      <c r="AE105" s="114">
        <v>0</v>
      </c>
      <c r="AF105" s="114">
        <v>0</v>
      </c>
      <c r="AG105" s="114">
        <v>0</v>
      </c>
      <c r="AH105" s="116">
        <v>232139.34426229508</v>
      </c>
      <c r="AI105" s="114">
        <v>0</v>
      </c>
      <c r="AJ105" s="120">
        <v>0</v>
      </c>
      <c r="AK105" s="82">
        <v>99873146</v>
      </c>
      <c r="AL105" s="83">
        <v>20091920</v>
      </c>
      <c r="AM105" s="114">
        <v>30304026</v>
      </c>
      <c r="AN105" s="114">
        <v>25349183</v>
      </c>
      <c r="AO105" s="114">
        <v>4949874</v>
      </c>
      <c r="AP105" s="114">
        <v>71662653</v>
      </c>
      <c r="AQ105" s="114">
        <v>25663217</v>
      </c>
      <c r="AR105" s="114">
        <v>58913017</v>
      </c>
      <c r="AS105" s="114">
        <v>6904901</v>
      </c>
      <c r="AT105" s="114">
        <v>0</v>
      </c>
      <c r="AU105" s="114">
        <v>0</v>
      </c>
      <c r="AV105" s="114">
        <v>0</v>
      </c>
      <c r="AW105" s="114">
        <v>0</v>
      </c>
      <c r="AX105" s="114">
        <v>6000</v>
      </c>
      <c r="AY105" s="114">
        <v>2179249</v>
      </c>
      <c r="AZ105" s="114"/>
      <c r="BA105" s="114"/>
      <c r="BB105" s="114"/>
      <c r="BC105" s="114"/>
      <c r="BD105" s="82">
        <v>5373909.6699999999</v>
      </c>
      <c r="BE105" s="82">
        <v>2740694</v>
      </c>
      <c r="BF105" s="117"/>
      <c r="BG105" s="118">
        <v>0</v>
      </c>
      <c r="BH105" s="118">
        <v>0</v>
      </c>
      <c r="BI105" s="117">
        <v>2333889</v>
      </c>
      <c r="BJ105" s="117">
        <v>2333889</v>
      </c>
      <c r="BK105" s="117">
        <v>77594627</v>
      </c>
      <c r="BL105" s="117">
        <v>77226661</v>
      </c>
      <c r="BM105" s="117">
        <v>0</v>
      </c>
      <c r="BN105" s="117">
        <v>0</v>
      </c>
      <c r="BO105" s="119"/>
      <c r="BP105" s="86">
        <v>1082816543.3442621</v>
      </c>
      <c r="BQ105" s="86">
        <v>880550233.34426224</v>
      </c>
      <c r="BR105" s="87">
        <v>4897100</v>
      </c>
      <c r="BT105" s="114">
        <v>11735</v>
      </c>
      <c r="BU105" s="114">
        <v>3168</v>
      </c>
      <c r="BV105" s="114">
        <v>790</v>
      </c>
      <c r="BW105" s="114">
        <f t="shared" si="10"/>
        <v>15693</v>
      </c>
      <c r="BX105" s="89">
        <v>824355820</v>
      </c>
      <c r="BY105" s="90">
        <f t="shared" si="7"/>
        <v>99873146</v>
      </c>
      <c r="BZ105" s="90">
        <f t="shared" si="7"/>
        <v>20091920</v>
      </c>
      <c r="CA105" s="89">
        <f t="shared" si="8"/>
        <v>62867175</v>
      </c>
      <c r="CB105" s="89">
        <f t="shared" si="9"/>
        <v>1007188061</v>
      </c>
    </row>
    <row r="106" spans="1:80" x14ac:dyDescent="0.25">
      <c r="A106" s="91" t="s">
        <v>160</v>
      </c>
      <c r="B106" s="114">
        <v>2492158024</v>
      </c>
      <c r="C106" s="114">
        <v>314861110</v>
      </c>
      <c r="D106" s="114">
        <v>1044946460</v>
      </c>
      <c r="E106" s="114">
        <v>0</v>
      </c>
      <c r="F106" s="114">
        <v>92050990</v>
      </c>
      <c r="G106" s="114">
        <v>8018344</v>
      </c>
      <c r="H106" s="114">
        <v>15253387</v>
      </c>
      <c r="I106" s="114">
        <v>761310</v>
      </c>
      <c r="J106" s="114">
        <v>36900</v>
      </c>
      <c r="K106" s="114">
        <v>0</v>
      </c>
      <c r="L106" s="114">
        <v>580524670</v>
      </c>
      <c r="M106" s="114">
        <v>306590139</v>
      </c>
      <c r="N106" s="114">
        <v>2946</v>
      </c>
      <c r="O106" s="114">
        <v>248</v>
      </c>
      <c r="P106" s="114">
        <v>76596073</v>
      </c>
      <c r="Q106" s="114">
        <v>799841</v>
      </c>
      <c r="R106" s="114">
        <v>68073241</v>
      </c>
      <c r="S106" s="114">
        <v>5094131</v>
      </c>
      <c r="T106" s="114">
        <v>988619</v>
      </c>
      <c r="U106" s="114">
        <v>72793018</v>
      </c>
      <c r="V106" s="114">
        <v>76596073</v>
      </c>
      <c r="W106" s="114">
        <v>4860421</v>
      </c>
      <c r="X106" s="114">
        <v>68073241</v>
      </c>
      <c r="Y106" s="114">
        <v>5094131</v>
      </c>
      <c r="Z106" s="114">
        <v>4868023</v>
      </c>
      <c r="AA106" s="114">
        <v>72793018</v>
      </c>
      <c r="AB106" s="114">
        <v>7391749</v>
      </c>
      <c r="AC106" s="114">
        <v>0</v>
      </c>
      <c r="AD106" s="114">
        <v>0</v>
      </c>
      <c r="AE106" s="114">
        <v>0</v>
      </c>
      <c r="AF106" s="114">
        <v>0</v>
      </c>
      <c r="AG106" s="114">
        <v>0</v>
      </c>
      <c r="AH106" s="116">
        <v>0</v>
      </c>
      <c r="AI106" s="114">
        <v>436622.95081967209</v>
      </c>
      <c r="AJ106" s="120">
        <v>0</v>
      </c>
      <c r="AK106" s="82">
        <v>427378552</v>
      </c>
      <c r="AL106" s="83">
        <v>6047204</v>
      </c>
      <c r="AM106" s="114">
        <v>0</v>
      </c>
      <c r="AN106" s="114">
        <v>97183144</v>
      </c>
      <c r="AO106" s="114">
        <v>10733570</v>
      </c>
      <c r="AP106" s="114">
        <v>399620298</v>
      </c>
      <c r="AQ106" s="114">
        <v>115648721</v>
      </c>
      <c r="AR106" s="114">
        <v>120343519</v>
      </c>
      <c r="AS106" s="114">
        <v>23037712</v>
      </c>
      <c r="AT106" s="114">
        <f>21496244+1502873576</f>
        <v>1524369820</v>
      </c>
      <c r="AU106" s="114">
        <v>0</v>
      </c>
      <c r="AV106" s="114">
        <v>20061</v>
      </c>
      <c r="AW106" s="114">
        <v>0</v>
      </c>
      <c r="AX106" s="114">
        <v>3429215</v>
      </c>
      <c r="AY106" s="114">
        <v>3112584</v>
      </c>
      <c r="AZ106" s="114"/>
      <c r="BA106" s="114"/>
      <c r="BB106" s="114"/>
      <c r="BC106" s="114"/>
      <c r="BD106" s="82">
        <v>22996108.82</v>
      </c>
      <c r="BE106" s="82">
        <v>11728015</v>
      </c>
      <c r="BF106" s="117"/>
      <c r="BG106" s="118">
        <v>4172199</v>
      </c>
      <c r="BH106" s="118">
        <v>8180783</v>
      </c>
      <c r="BI106" s="117">
        <v>90155647</v>
      </c>
      <c r="BJ106" s="117">
        <v>90032088</v>
      </c>
      <c r="BK106" s="117">
        <v>90525929</v>
      </c>
      <c r="BL106" s="117">
        <v>84308215</v>
      </c>
      <c r="BM106" s="117">
        <v>0</v>
      </c>
      <c r="BN106" s="117">
        <v>0</v>
      </c>
      <c r="BO106" s="119"/>
      <c r="BP106" s="86">
        <v>4699633924.950819</v>
      </c>
      <c r="BQ106" s="86">
        <v>4075967651.9508195</v>
      </c>
      <c r="BR106" s="87"/>
      <c r="BT106" s="114">
        <v>17592</v>
      </c>
      <c r="BU106" s="114">
        <v>3394</v>
      </c>
      <c r="BV106" s="114">
        <v>888</v>
      </c>
      <c r="BW106" s="114">
        <f t="shared" si="10"/>
        <v>21874</v>
      </c>
      <c r="BX106" s="89">
        <v>3851965594</v>
      </c>
      <c r="BY106" s="90">
        <f t="shared" si="7"/>
        <v>427378552</v>
      </c>
      <c r="BZ106" s="90">
        <f t="shared" si="7"/>
        <v>6047204</v>
      </c>
      <c r="CA106" s="89">
        <f t="shared" si="8"/>
        <v>246603147</v>
      </c>
      <c r="CB106" s="89">
        <f t="shared" si="9"/>
        <v>4531994497</v>
      </c>
    </row>
    <row r="107" spans="1:80" x14ac:dyDescent="0.25">
      <c r="A107" s="91" t="s">
        <v>161</v>
      </c>
      <c r="B107" s="114">
        <v>1874829621</v>
      </c>
      <c r="C107" s="114">
        <v>494166108</v>
      </c>
      <c r="D107" s="114">
        <v>543432131</v>
      </c>
      <c r="E107" s="114">
        <v>33824740</v>
      </c>
      <c r="F107" s="114">
        <v>93296990</v>
      </c>
      <c r="G107" s="114">
        <v>11945800</v>
      </c>
      <c r="H107" s="114">
        <v>22071928</v>
      </c>
      <c r="I107" s="114">
        <v>1721900</v>
      </c>
      <c r="J107" s="114">
        <v>110700</v>
      </c>
      <c r="K107" s="114">
        <v>0</v>
      </c>
      <c r="L107" s="114">
        <v>780228919</v>
      </c>
      <c r="M107" s="114">
        <v>330840449</v>
      </c>
      <c r="N107" s="114">
        <v>3150</v>
      </c>
      <c r="O107" s="114">
        <v>374</v>
      </c>
      <c r="P107" s="114">
        <v>40329913</v>
      </c>
      <c r="Q107" s="114">
        <v>13896590</v>
      </c>
      <c r="R107" s="114">
        <v>19288903</v>
      </c>
      <c r="S107" s="114">
        <v>8496286</v>
      </c>
      <c r="T107" s="114">
        <v>6076266</v>
      </c>
      <c r="U107" s="114">
        <v>1799800</v>
      </c>
      <c r="V107" s="114">
        <v>40329913</v>
      </c>
      <c r="W107" s="114">
        <v>14691990</v>
      </c>
      <c r="X107" s="114">
        <v>19288903</v>
      </c>
      <c r="Y107" s="114">
        <v>8496286</v>
      </c>
      <c r="Z107" s="114">
        <v>17183684</v>
      </c>
      <c r="AA107" s="114">
        <v>1799800</v>
      </c>
      <c r="AB107" s="114">
        <v>-10220048</v>
      </c>
      <c r="AC107" s="114">
        <v>-1662213</v>
      </c>
      <c r="AD107" s="114">
        <v>0</v>
      </c>
      <c r="AE107" s="114">
        <v>0</v>
      </c>
      <c r="AF107" s="114">
        <v>30742883</v>
      </c>
      <c r="AG107" s="114">
        <v>234947</v>
      </c>
      <c r="AH107" s="116">
        <v>0</v>
      </c>
      <c r="AI107" s="114">
        <v>0</v>
      </c>
      <c r="AJ107" s="120">
        <v>0</v>
      </c>
      <c r="AK107" s="82">
        <v>337722967</v>
      </c>
      <c r="AL107" s="83">
        <v>6495387</v>
      </c>
      <c r="AM107" s="114">
        <v>0</v>
      </c>
      <c r="AN107" s="114">
        <v>160182467</v>
      </c>
      <c r="AO107" s="114">
        <v>13215254</v>
      </c>
      <c r="AP107" s="114">
        <v>356179965</v>
      </c>
      <c r="AQ107" s="114">
        <v>110589301</v>
      </c>
      <c r="AR107" s="114">
        <v>108229769</v>
      </c>
      <c r="AS107" s="114">
        <v>36518653</v>
      </c>
      <c r="AT107" s="114">
        <v>10833804</v>
      </c>
      <c r="AU107" s="114">
        <v>0</v>
      </c>
      <c r="AV107" s="114">
        <v>0</v>
      </c>
      <c r="AW107" s="114">
        <v>24413937</v>
      </c>
      <c r="AX107" s="114">
        <v>978342</v>
      </c>
      <c r="AY107" s="114">
        <v>229900</v>
      </c>
      <c r="AZ107" s="114"/>
      <c r="BA107" s="114"/>
      <c r="BB107" s="114"/>
      <c r="BC107" s="114"/>
      <c r="BD107" s="82">
        <v>18171979.059999999</v>
      </c>
      <c r="BE107" s="82">
        <v>9267709</v>
      </c>
      <c r="BF107" s="117"/>
      <c r="BG107" s="118">
        <v>4879197</v>
      </c>
      <c r="BH107" s="118">
        <v>9567053</v>
      </c>
      <c r="BI107" s="117">
        <v>55481155</v>
      </c>
      <c r="BJ107" s="117">
        <v>53212858</v>
      </c>
      <c r="BK107" s="117">
        <v>141401931</v>
      </c>
      <c r="BL107" s="117">
        <v>134561282</v>
      </c>
      <c r="BM107" s="117">
        <v>0</v>
      </c>
      <c r="BN107" s="117">
        <v>0</v>
      </c>
      <c r="BO107" s="119"/>
      <c r="BP107" s="86">
        <v>3742554282</v>
      </c>
      <c r="BQ107" s="86">
        <v>3196414882</v>
      </c>
      <c r="BR107" s="87">
        <v>1940564</v>
      </c>
      <c r="BT107" s="114">
        <v>15101</v>
      </c>
      <c r="BU107" s="114">
        <v>4363</v>
      </c>
      <c r="BV107" s="114">
        <v>1044</v>
      </c>
      <c r="BW107" s="114">
        <f t="shared" si="10"/>
        <v>20508</v>
      </c>
      <c r="BX107" s="89">
        <v>2912427860</v>
      </c>
      <c r="BY107" s="90">
        <f t="shared" si="7"/>
        <v>337722967</v>
      </c>
      <c r="BZ107" s="90">
        <f t="shared" si="7"/>
        <v>6495387</v>
      </c>
      <c r="CA107" s="89">
        <f t="shared" si="8"/>
        <v>320505675</v>
      </c>
      <c r="CB107" s="89">
        <f t="shared" si="9"/>
        <v>3577151889</v>
      </c>
    </row>
    <row r="108" spans="1:80" x14ac:dyDescent="0.25">
      <c r="A108" s="91" t="s">
        <v>162</v>
      </c>
      <c r="B108" s="114">
        <v>585285228</v>
      </c>
      <c r="C108" s="114">
        <v>179995600</v>
      </c>
      <c r="D108" s="114">
        <v>322298674</v>
      </c>
      <c r="E108" s="114">
        <v>5184755</v>
      </c>
      <c r="F108" s="114">
        <v>49887300</v>
      </c>
      <c r="G108" s="114">
        <v>4479100</v>
      </c>
      <c r="H108" s="114">
        <v>7859700</v>
      </c>
      <c r="I108" s="114">
        <v>332100</v>
      </c>
      <c r="J108" s="114">
        <v>73800</v>
      </c>
      <c r="K108" s="114">
        <v>0</v>
      </c>
      <c r="L108" s="114">
        <v>382080605</v>
      </c>
      <c r="M108" s="114">
        <v>92322950</v>
      </c>
      <c r="N108" s="114">
        <v>1593</v>
      </c>
      <c r="O108" s="114">
        <v>136</v>
      </c>
      <c r="P108" s="114">
        <v>8424654</v>
      </c>
      <c r="Q108" s="114">
        <v>2871500</v>
      </c>
      <c r="R108" s="114">
        <v>10885492</v>
      </c>
      <c r="S108" s="114">
        <v>4248795</v>
      </c>
      <c r="T108" s="114">
        <v>1132300</v>
      </c>
      <c r="U108" s="114">
        <v>2415870</v>
      </c>
      <c r="V108" s="114">
        <v>8424654</v>
      </c>
      <c r="W108" s="114">
        <v>3141453</v>
      </c>
      <c r="X108" s="114">
        <v>10885492</v>
      </c>
      <c r="Y108" s="114">
        <v>4248795</v>
      </c>
      <c r="Z108" s="114">
        <v>1027676</v>
      </c>
      <c r="AA108" s="114">
        <v>2415870</v>
      </c>
      <c r="AB108" s="114">
        <v>-3163300</v>
      </c>
      <c r="AC108" s="114">
        <v>171396</v>
      </c>
      <c r="AD108" s="114">
        <v>0</v>
      </c>
      <c r="AE108" s="114">
        <v>0</v>
      </c>
      <c r="AF108" s="114">
        <v>0</v>
      </c>
      <c r="AG108" s="114">
        <v>0</v>
      </c>
      <c r="AH108" s="116">
        <v>162737.70491803277</v>
      </c>
      <c r="AI108" s="114">
        <v>173770.49180327871</v>
      </c>
      <c r="AJ108" s="120">
        <v>0</v>
      </c>
      <c r="AK108" s="82">
        <v>119730589</v>
      </c>
      <c r="AL108" s="83">
        <v>2566995</v>
      </c>
      <c r="AM108" s="114">
        <v>0</v>
      </c>
      <c r="AN108" s="114">
        <v>68336179</v>
      </c>
      <c r="AO108" s="114">
        <v>7866296</v>
      </c>
      <c r="AP108" s="114">
        <v>250670836</v>
      </c>
      <c r="AQ108" s="114">
        <v>61034217</v>
      </c>
      <c r="AR108" s="114">
        <v>89466235</v>
      </c>
      <c r="AS108" s="114">
        <v>54431659</v>
      </c>
      <c r="AT108" s="114">
        <v>20900569</v>
      </c>
      <c r="AU108" s="114">
        <v>0</v>
      </c>
      <c r="AV108" s="114">
        <v>3990556</v>
      </c>
      <c r="AW108" s="114">
        <v>12610414</v>
      </c>
      <c r="AX108" s="114">
        <v>121537</v>
      </c>
      <c r="AY108" s="114">
        <v>95500</v>
      </c>
      <c r="AZ108" s="114"/>
      <c r="BA108" s="114"/>
      <c r="BB108" s="114"/>
      <c r="BC108" s="114"/>
      <c r="BD108" s="82">
        <v>6442386.1200000001</v>
      </c>
      <c r="BE108" s="82">
        <v>3285617</v>
      </c>
      <c r="BF108" s="117"/>
      <c r="BG108" s="118">
        <v>944403</v>
      </c>
      <c r="BH108" s="118">
        <v>1851770</v>
      </c>
      <c r="BI108" s="117">
        <v>19831237</v>
      </c>
      <c r="BJ108" s="117">
        <v>19831237</v>
      </c>
      <c r="BK108" s="117">
        <v>22348288</v>
      </c>
      <c r="BL108" s="117">
        <v>20354153</v>
      </c>
      <c r="BM108" s="117">
        <v>2226</v>
      </c>
      <c r="BN108" s="117">
        <v>6739790</v>
      </c>
      <c r="BO108" s="119"/>
      <c r="BP108" s="86">
        <v>1398607712.1967213</v>
      </c>
      <c r="BQ108" s="86">
        <v>1225152702.1967213</v>
      </c>
      <c r="BR108" s="87">
        <v>1753478</v>
      </c>
      <c r="BT108" s="114">
        <v>6953</v>
      </c>
      <c r="BU108" s="114">
        <v>1788</v>
      </c>
      <c r="BV108" s="114">
        <v>613</v>
      </c>
      <c r="BW108" s="114">
        <f t="shared" si="10"/>
        <v>9354</v>
      </c>
      <c r="BX108" s="89">
        <v>1087579502</v>
      </c>
      <c r="BY108" s="90">
        <f t="shared" si="7"/>
        <v>119730589</v>
      </c>
      <c r="BZ108" s="90">
        <f t="shared" si="7"/>
        <v>2566995</v>
      </c>
      <c r="CA108" s="89">
        <f t="shared" si="8"/>
        <v>191668351</v>
      </c>
      <c r="CB108" s="89">
        <f t="shared" si="9"/>
        <v>1401545437</v>
      </c>
    </row>
    <row r="109" spans="1:80" x14ac:dyDescent="0.25">
      <c r="A109" s="91" t="s">
        <v>163</v>
      </c>
      <c r="B109" s="114">
        <v>841634488</v>
      </c>
      <c r="C109" s="114">
        <v>172949954</v>
      </c>
      <c r="D109" s="114">
        <v>49851573</v>
      </c>
      <c r="E109" s="114">
        <v>0</v>
      </c>
      <c r="F109" s="114">
        <v>37271725</v>
      </c>
      <c r="G109" s="114">
        <v>6502250</v>
      </c>
      <c r="H109" s="114">
        <v>10853850</v>
      </c>
      <c r="I109" s="114">
        <v>1307800</v>
      </c>
      <c r="J109" s="114">
        <v>61900</v>
      </c>
      <c r="K109" s="114">
        <v>0</v>
      </c>
      <c r="L109" s="114">
        <v>279198031</v>
      </c>
      <c r="M109" s="114">
        <v>130611460</v>
      </c>
      <c r="N109" s="114">
        <v>1325</v>
      </c>
      <c r="O109" s="114">
        <v>224</v>
      </c>
      <c r="P109" s="114">
        <v>18234448</v>
      </c>
      <c r="Q109" s="114">
        <v>3310261</v>
      </c>
      <c r="R109" s="114">
        <v>221500</v>
      </c>
      <c r="S109" s="114">
        <v>5833775</v>
      </c>
      <c r="T109" s="114">
        <v>6733059</v>
      </c>
      <c r="U109" s="114">
        <v>4833875</v>
      </c>
      <c r="V109" s="114">
        <v>18234448</v>
      </c>
      <c r="W109" s="114">
        <v>3951460</v>
      </c>
      <c r="X109" s="114">
        <v>221500</v>
      </c>
      <c r="Y109" s="114">
        <v>5833775</v>
      </c>
      <c r="Z109" s="114">
        <v>3266915</v>
      </c>
      <c r="AA109" s="114">
        <v>4825715</v>
      </c>
      <c r="AB109" s="114">
        <v>-2204950</v>
      </c>
      <c r="AC109" s="114">
        <v>0</v>
      </c>
      <c r="AD109" s="114">
        <v>5123</v>
      </c>
      <c r="AE109" s="114">
        <v>0</v>
      </c>
      <c r="AF109" s="114">
        <v>263221352</v>
      </c>
      <c r="AG109" s="114">
        <v>115189</v>
      </c>
      <c r="AH109" s="116">
        <v>0</v>
      </c>
      <c r="AI109" s="114">
        <v>0</v>
      </c>
      <c r="AJ109" s="120">
        <v>0</v>
      </c>
      <c r="AK109" s="82">
        <v>137707621</v>
      </c>
      <c r="AL109" s="83">
        <v>7134005</v>
      </c>
      <c r="AM109" s="114">
        <v>557530</v>
      </c>
      <c r="AN109" s="114">
        <v>7696688</v>
      </c>
      <c r="AO109" s="114">
        <v>197485</v>
      </c>
      <c r="AP109" s="114">
        <v>246837</v>
      </c>
      <c r="AQ109" s="114">
        <v>2718015</v>
      </c>
      <c r="AR109" s="114">
        <v>200987</v>
      </c>
      <c r="AS109" s="114">
        <v>0</v>
      </c>
      <c r="AT109" s="114">
        <v>1168663</v>
      </c>
      <c r="AU109" s="114">
        <v>0</v>
      </c>
      <c r="AV109" s="114">
        <v>0</v>
      </c>
      <c r="AW109" s="114">
        <v>0</v>
      </c>
      <c r="AX109" s="114">
        <v>4163</v>
      </c>
      <c r="AY109" s="114">
        <v>229900</v>
      </c>
      <c r="AZ109" s="114"/>
      <c r="BA109" s="114"/>
      <c r="BB109" s="114"/>
      <c r="BC109" s="114"/>
      <c r="BD109" s="82">
        <v>7409682.6399999997</v>
      </c>
      <c r="BE109" s="82">
        <v>3778938</v>
      </c>
      <c r="BF109" s="117"/>
      <c r="BG109" s="118">
        <v>0</v>
      </c>
      <c r="BH109" s="118">
        <v>0</v>
      </c>
      <c r="BI109" s="117">
        <v>3782082</v>
      </c>
      <c r="BJ109" s="117">
        <v>3782082</v>
      </c>
      <c r="BK109" s="117">
        <v>19337673</v>
      </c>
      <c r="BL109" s="117">
        <v>19317432</v>
      </c>
      <c r="BM109" s="117">
        <v>0</v>
      </c>
      <c r="BN109" s="117">
        <v>0</v>
      </c>
      <c r="BO109" s="119"/>
      <c r="BP109" s="86">
        <v>1246768281</v>
      </c>
      <c r="BQ109" s="86">
        <v>1075048203</v>
      </c>
      <c r="BR109" s="87">
        <v>211279</v>
      </c>
      <c r="BT109" s="114">
        <v>6839</v>
      </c>
      <c r="BU109" s="114">
        <v>1951</v>
      </c>
      <c r="BV109" s="114">
        <v>236</v>
      </c>
      <c r="BW109" s="114">
        <f t="shared" si="10"/>
        <v>9026</v>
      </c>
      <c r="BX109" s="89">
        <v>1064436015</v>
      </c>
      <c r="BY109" s="90">
        <f t="shared" si="7"/>
        <v>137707621</v>
      </c>
      <c r="BZ109" s="90">
        <f t="shared" si="7"/>
        <v>7134005</v>
      </c>
      <c r="CA109" s="89">
        <f t="shared" si="8"/>
        <v>10612188</v>
      </c>
      <c r="CB109" s="89">
        <f t="shared" si="9"/>
        <v>1219889829</v>
      </c>
    </row>
    <row r="110" spans="1:80" x14ac:dyDescent="0.25">
      <c r="A110" s="91" t="s">
        <v>164</v>
      </c>
      <c r="B110" s="114">
        <v>592360236</v>
      </c>
      <c r="C110" s="114">
        <v>131661441</v>
      </c>
      <c r="D110" s="114">
        <v>277467756</v>
      </c>
      <c r="E110" s="114">
        <v>0</v>
      </c>
      <c r="F110" s="114">
        <v>74159700</v>
      </c>
      <c r="G110" s="114">
        <v>16264151</v>
      </c>
      <c r="H110" s="114">
        <v>14650650</v>
      </c>
      <c r="I110" s="114">
        <v>1634901</v>
      </c>
      <c r="J110" s="114">
        <v>172600</v>
      </c>
      <c r="K110" s="114">
        <v>36900</v>
      </c>
      <c r="L110" s="114">
        <v>270866884</v>
      </c>
      <c r="M110" s="114">
        <v>94429828</v>
      </c>
      <c r="N110" s="114">
        <v>2504</v>
      </c>
      <c r="O110" s="114">
        <v>546</v>
      </c>
      <c r="P110" s="114">
        <v>7633494</v>
      </c>
      <c r="Q110" s="114">
        <v>2320055</v>
      </c>
      <c r="R110" s="114">
        <v>5237100</v>
      </c>
      <c r="S110" s="114">
        <v>2714038</v>
      </c>
      <c r="T110" s="114">
        <v>304860</v>
      </c>
      <c r="U110" s="114">
        <v>456165</v>
      </c>
      <c r="V110" s="114">
        <v>7633494</v>
      </c>
      <c r="W110" s="114">
        <v>2361304</v>
      </c>
      <c r="X110" s="114">
        <v>5237100</v>
      </c>
      <c r="Y110" s="114">
        <v>2714038</v>
      </c>
      <c r="Z110" s="114">
        <v>226000</v>
      </c>
      <c r="AA110" s="114">
        <v>456165</v>
      </c>
      <c r="AB110" s="114">
        <v>-4188575</v>
      </c>
      <c r="AC110" s="114">
        <v>-29907191</v>
      </c>
      <c r="AD110" s="114">
        <v>0</v>
      </c>
      <c r="AE110" s="114">
        <v>0</v>
      </c>
      <c r="AF110" s="114">
        <v>0</v>
      </c>
      <c r="AG110" s="114">
        <v>0</v>
      </c>
      <c r="AH110" s="116">
        <v>0</v>
      </c>
      <c r="AI110" s="114">
        <v>6393.4426229508199</v>
      </c>
      <c r="AJ110" s="120">
        <v>0</v>
      </c>
      <c r="AK110" s="82">
        <v>146357128</v>
      </c>
      <c r="AL110" s="83">
        <f>6220609+504214</f>
        <v>6724823</v>
      </c>
      <c r="AM110" s="114">
        <v>7585242</v>
      </c>
      <c r="AN110" s="114">
        <v>83531794</v>
      </c>
      <c r="AO110" s="114">
        <v>1609976</v>
      </c>
      <c r="AP110" s="114">
        <v>41043596</v>
      </c>
      <c r="AQ110" s="114">
        <v>40448989</v>
      </c>
      <c r="AR110" s="114">
        <v>35865333</v>
      </c>
      <c r="AS110" s="114">
        <v>72653746</v>
      </c>
      <c r="AT110" s="114">
        <v>785720</v>
      </c>
      <c r="AU110" s="114">
        <v>0</v>
      </c>
      <c r="AV110" s="114">
        <v>0</v>
      </c>
      <c r="AW110" s="114">
        <v>21598</v>
      </c>
      <c r="AX110" s="114">
        <v>199043</v>
      </c>
      <c r="AY110" s="114">
        <v>37000</v>
      </c>
      <c r="AZ110" s="114"/>
      <c r="BA110" s="114"/>
      <c r="BB110" s="114"/>
      <c r="BC110" s="114"/>
      <c r="BD110" s="82">
        <v>7875089.7199999997</v>
      </c>
      <c r="BE110" s="82">
        <v>4016296</v>
      </c>
      <c r="BF110" s="117"/>
      <c r="BG110" s="118">
        <v>0</v>
      </c>
      <c r="BH110" s="118">
        <v>0</v>
      </c>
      <c r="BI110" s="117">
        <v>23545551</v>
      </c>
      <c r="BJ110" s="117">
        <v>23545551</v>
      </c>
      <c r="BK110" s="117">
        <v>72707908</v>
      </c>
      <c r="BL110" s="117">
        <v>70790797</v>
      </c>
      <c r="BM110" s="117">
        <v>0</v>
      </c>
      <c r="BN110" s="117">
        <v>0</v>
      </c>
      <c r="BO110" s="119"/>
      <c r="BP110" s="86">
        <v>1378521180.4426229</v>
      </c>
      <c r="BQ110" s="86">
        <v>1127086585.4426229</v>
      </c>
      <c r="BR110" s="87">
        <v>1441000</v>
      </c>
      <c r="BT110" s="114">
        <v>9410</v>
      </c>
      <c r="BU110" s="114">
        <v>2511</v>
      </c>
      <c r="BV110" s="114">
        <v>917</v>
      </c>
      <c r="BW110" s="114">
        <f t="shared" si="10"/>
        <v>12838</v>
      </c>
      <c r="BX110" s="89">
        <v>1001489433</v>
      </c>
      <c r="BY110" s="90">
        <f t="shared" si="7"/>
        <v>146357128</v>
      </c>
      <c r="BZ110" s="90">
        <f t="shared" si="7"/>
        <v>6724823</v>
      </c>
      <c r="CA110" s="89">
        <f t="shared" si="8"/>
        <v>198244505</v>
      </c>
      <c r="CB110" s="89">
        <f t="shared" si="9"/>
        <v>1352815889</v>
      </c>
    </row>
    <row r="111" spans="1:80" x14ac:dyDescent="0.25">
      <c r="A111" s="91" t="s">
        <v>165</v>
      </c>
      <c r="B111" s="114">
        <v>218763324</v>
      </c>
      <c r="C111" s="114">
        <v>161724653</v>
      </c>
      <c r="D111" s="114">
        <v>69159766</v>
      </c>
      <c r="E111" s="114">
        <v>0</v>
      </c>
      <c r="F111" s="114">
        <v>29877193</v>
      </c>
      <c r="G111" s="114">
        <v>4125929</v>
      </c>
      <c r="H111" s="114">
        <v>9038582</v>
      </c>
      <c r="I111" s="114">
        <v>313641</v>
      </c>
      <c r="J111" s="114">
        <v>0</v>
      </c>
      <c r="K111" s="114">
        <v>0</v>
      </c>
      <c r="L111" s="114">
        <v>560773651</v>
      </c>
      <c r="M111" s="114">
        <v>62582717</v>
      </c>
      <c r="N111" s="114">
        <v>1127</v>
      </c>
      <c r="O111" s="114">
        <v>143</v>
      </c>
      <c r="P111" s="114">
        <v>1253720</v>
      </c>
      <c r="Q111" s="114">
        <v>1336850</v>
      </c>
      <c r="R111" s="114">
        <v>2040000</v>
      </c>
      <c r="S111" s="114">
        <v>1170147</v>
      </c>
      <c r="T111" s="114">
        <v>107940</v>
      </c>
      <c r="U111" s="114">
        <v>2035992</v>
      </c>
      <c r="V111" s="114">
        <v>1253720</v>
      </c>
      <c r="W111" s="114">
        <v>0</v>
      </c>
      <c r="X111" s="114">
        <v>2040000</v>
      </c>
      <c r="Y111" s="114">
        <v>1170147</v>
      </c>
      <c r="Z111" s="114">
        <v>287000</v>
      </c>
      <c r="AA111" s="114">
        <v>2035992</v>
      </c>
      <c r="AB111" s="114">
        <v>-524562</v>
      </c>
      <c r="AC111" s="114">
        <v>0</v>
      </c>
      <c r="AD111" s="114">
        <v>70157</v>
      </c>
      <c r="AE111" s="114">
        <v>95855</v>
      </c>
      <c r="AF111" s="114">
        <v>91845656</v>
      </c>
      <c r="AG111" s="114">
        <v>226825</v>
      </c>
      <c r="AH111" s="116">
        <v>205852.45901639343</v>
      </c>
      <c r="AI111" s="114">
        <v>378475.40983606561</v>
      </c>
      <c r="AJ111" s="120">
        <v>0</v>
      </c>
      <c r="AK111" s="82">
        <v>69548154</v>
      </c>
      <c r="AL111" s="83">
        <v>1284508</v>
      </c>
      <c r="AM111" s="114">
        <v>0</v>
      </c>
      <c r="AN111" s="114">
        <v>19482373</v>
      </c>
      <c r="AO111" s="114">
        <v>299685</v>
      </c>
      <c r="AP111" s="114">
        <v>17222504</v>
      </c>
      <c r="AQ111" s="114">
        <v>19063514</v>
      </c>
      <c r="AR111" s="114">
        <v>14388121</v>
      </c>
      <c r="AS111" s="114">
        <v>0</v>
      </c>
      <c r="AT111" s="114">
        <v>4709542</v>
      </c>
      <c r="AU111" s="114">
        <v>0</v>
      </c>
      <c r="AV111" s="114">
        <v>8103124</v>
      </c>
      <c r="AW111" s="114">
        <v>5068081</v>
      </c>
      <c r="AX111" s="114">
        <v>11373</v>
      </c>
      <c r="AY111" s="114">
        <v>149500</v>
      </c>
      <c r="AZ111" s="114"/>
      <c r="BA111" s="114"/>
      <c r="BB111" s="114"/>
      <c r="BC111" s="114"/>
      <c r="BD111" s="82">
        <v>3742202.11</v>
      </c>
      <c r="BE111" s="82">
        <v>1908523</v>
      </c>
      <c r="BF111" s="117"/>
      <c r="BG111" s="118">
        <v>1449867</v>
      </c>
      <c r="BH111" s="118">
        <v>2842876</v>
      </c>
      <c r="BI111" s="117">
        <v>10857113</v>
      </c>
      <c r="BJ111" s="117">
        <v>10857113</v>
      </c>
      <c r="BK111" s="117">
        <v>44299627</v>
      </c>
      <c r="BL111" s="117">
        <v>35827042</v>
      </c>
      <c r="BM111" s="117">
        <v>0</v>
      </c>
      <c r="BN111" s="117">
        <v>0</v>
      </c>
      <c r="BO111" s="119"/>
      <c r="BP111" s="86">
        <v>609952849.86885238</v>
      </c>
      <c r="BQ111" s="86">
        <v>489077642.86885244</v>
      </c>
      <c r="BR111" s="87">
        <v>900372</v>
      </c>
      <c r="BT111" s="114">
        <f>4912+2397</f>
        <v>7309</v>
      </c>
      <c r="BU111" s="114">
        <v>476</v>
      </c>
      <c r="BV111" s="114">
        <v>283</v>
      </c>
      <c r="BW111" s="114">
        <f t="shared" si="10"/>
        <v>8068</v>
      </c>
      <c r="BX111" s="89">
        <v>449647743</v>
      </c>
      <c r="BY111" s="90">
        <f t="shared" si="7"/>
        <v>69548154</v>
      </c>
      <c r="BZ111" s="90">
        <f t="shared" si="7"/>
        <v>1284508</v>
      </c>
      <c r="CA111" s="89">
        <f t="shared" si="8"/>
        <v>38845572</v>
      </c>
      <c r="CB111" s="89">
        <f t="shared" si="9"/>
        <v>559325977</v>
      </c>
    </row>
    <row r="112" spans="1:80" x14ac:dyDescent="0.25">
      <c r="A112" s="91" t="s">
        <v>166</v>
      </c>
      <c r="B112" s="114">
        <v>629061380</v>
      </c>
      <c r="C112" s="114">
        <v>98562022</v>
      </c>
      <c r="D112" s="114">
        <v>83041610</v>
      </c>
      <c r="E112" s="114">
        <v>0</v>
      </c>
      <c r="F112" s="114">
        <v>50819385</v>
      </c>
      <c r="G112" s="114">
        <v>7525575</v>
      </c>
      <c r="H112" s="114">
        <v>5669885</v>
      </c>
      <c r="I112" s="114">
        <v>725509</v>
      </c>
      <c r="J112" s="114">
        <v>221400</v>
      </c>
      <c r="K112" s="114">
        <v>36900</v>
      </c>
      <c r="L112" s="114">
        <v>667365932</v>
      </c>
      <c r="M112" s="114">
        <v>58307837</v>
      </c>
      <c r="N112" s="114">
        <v>1632</v>
      </c>
      <c r="O112" s="114">
        <v>256</v>
      </c>
      <c r="P112" s="114">
        <v>13160167</v>
      </c>
      <c r="Q112" s="114">
        <v>4310686</v>
      </c>
      <c r="R112" s="114">
        <v>2768500</v>
      </c>
      <c r="S112" s="114">
        <v>2485597</v>
      </c>
      <c r="T112" s="114">
        <v>769516</v>
      </c>
      <c r="U112" s="114">
        <v>456953</v>
      </c>
      <c r="V112" s="114">
        <v>13160167</v>
      </c>
      <c r="W112" s="114">
        <v>153194565</v>
      </c>
      <c r="X112" s="114">
        <v>2768500</v>
      </c>
      <c r="Y112" s="114">
        <v>2485597</v>
      </c>
      <c r="Z112" s="114">
        <v>3848680</v>
      </c>
      <c r="AA112" s="114">
        <v>456953</v>
      </c>
      <c r="AB112" s="114">
        <v>-3978180</v>
      </c>
      <c r="AC112" s="114">
        <v>0</v>
      </c>
      <c r="AD112" s="114">
        <v>37283</v>
      </c>
      <c r="AE112" s="114">
        <v>0</v>
      </c>
      <c r="AF112" s="114">
        <v>0</v>
      </c>
      <c r="AG112" s="114">
        <v>0</v>
      </c>
      <c r="AH112" s="116">
        <v>0</v>
      </c>
      <c r="AI112" s="114">
        <v>122024.59016393444</v>
      </c>
      <c r="AJ112" s="120">
        <v>0</v>
      </c>
      <c r="AK112" s="82">
        <v>102687401</v>
      </c>
      <c r="AL112" s="83">
        <v>13889372</v>
      </c>
      <c r="AM112" s="114">
        <v>1472054</v>
      </c>
      <c r="AN112" s="114">
        <v>12616642</v>
      </c>
      <c r="AO112" s="114">
        <v>1007649</v>
      </c>
      <c r="AP112" s="114">
        <v>12008007</v>
      </c>
      <c r="AQ112" s="114">
        <v>14270843</v>
      </c>
      <c r="AR112" s="114">
        <v>9867026</v>
      </c>
      <c r="AS112" s="114">
        <v>0</v>
      </c>
      <c r="AT112" s="114">
        <v>2658510</v>
      </c>
      <c r="AU112" s="114">
        <v>0</v>
      </c>
      <c r="AV112" s="114">
        <v>158180</v>
      </c>
      <c r="AW112" s="114">
        <v>161110288</v>
      </c>
      <c r="AX112" s="114">
        <v>10260</v>
      </c>
      <c r="AY112" s="114">
        <v>18000</v>
      </c>
      <c r="AZ112" s="114"/>
      <c r="BA112" s="114"/>
      <c r="BB112" s="114"/>
      <c r="BC112" s="114"/>
      <c r="BD112" s="82">
        <v>5525337.2800000003</v>
      </c>
      <c r="BE112" s="82">
        <v>2817922</v>
      </c>
      <c r="BF112" s="117">
        <v>28275389</v>
      </c>
      <c r="BG112" s="118">
        <v>0</v>
      </c>
      <c r="BH112" s="118">
        <v>0</v>
      </c>
      <c r="BI112" s="117">
        <v>3879383</v>
      </c>
      <c r="BJ112" s="117">
        <v>3879383</v>
      </c>
      <c r="BK112" s="117">
        <v>26124788</v>
      </c>
      <c r="BL112" s="117">
        <v>25453325</v>
      </c>
      <c r="BM112" s="117">
        <v>0</v>
      </c>
      <c r="BN112" s="117">
        <v>0</v>
      </c>
      <c r="BO112" s="119"/>
      <c r="BP112" s="86">
        <v>987409573.59016395</v>
      </c>
      <c r="BQ112" s="86">
        <v>838682170.59016395</v>
      </c>
      <c r="BR112" s="87">
        <v>674237</v>
      </c>
      <c r="BT112" s="114">
        <v>15919</v>
      </c>
      <c r="BU112" s="114">
        <v>1866</v>
      </c>
      <c r="BV112" s="114">
        <v>465</v>
      </c>
      <c r="BW112" s="114">
        <f t="shared" si="10"/>
        <v>18250</v>
      </c>
      <c r="BX112" s="89">
        <v>810665012</v>
      </c>
      <c r="BY112" s="90">
        <f t="shared" si="7"/>
        <v>102687401</v>
      </c>
      <c r="BZ112" s="90">
        <f t="shared" si="7"/>
        <v>13889372</v>
      </c>
      <c r="CA112" s="89">
        <f t="shared" si="8"/>
        <v>27895134</v>
      </c>
      <c r="CB112" s="89">
        <f t="shared" si="9"/>
        <v>955136919</v>
      </c>
    </row>
    <row r="113" spans="1:80" x14ac:dyDescent="0.25">
      <c r="A113" s="91" t="s">
        <v>167</v>
      </c>
      <c r="B113" s="114">
        <v>202817600</v>
      </c>
      <c r="C113" s="114">
        <v>86745100</v>
      </c>
      <c r="D113" s="114">
        <v>21657500</v>
      </c>
      <c r="E113" s="114">
        <v>0</v>
      </c>
      <c r="F113" s="114">
        <v>20952200</v>
      </c>
      <c r="G113" s="114">
        <v>3930600</v>
      </c>
      <c r="H113" s="114">
        <v>7988400</v>
      </c>
      <c r="I113" s="114">
        <v>453700</v>
      </c>
      <c r="J113" s="114">
        <v>36900</v>
      </c>
      <c r="K113" s="114">
        <v>0</v>
      </c>
      <c r="L113" s="114">
        <v>157046100</v>
      </c>
      <c r="M113" s="114">
        <v>65401500</v>
      </c>
      <c r="N113" s="114">
        <v>827</v>
      </c>
      <c r="O113" s="114">
        <v>133</v>
      </c>
      <c r="P113" s="114">
        <v>2329600</v>
      </c>
      <c r="Q113" s="114">
        <v>2022600</v>
      </c>
      <c r="R113" s="114">
        <v>376300</v>
      </c>
      <c r="S113" s="114">
        <v>1834300</v>
      </c>
      <c r="T113" s="114">
        <v>684580</v>
      </c>
      <c r="U113" s="114">
        <v>28600</v>
      </c>
      <c r="V113" s="114">
        <v>2329600</v>
      </c>
      <c r="W113" s="114">
        <v>2149700</v>
      </c>
      <c r="X113" s="114">
        <v>376300</v>
      </c>
      <c r="Y113" s="114">
        <v>1834300</v>
      </c>
      <c r="Z113" s="114">
        <v>1249600</v>
      </c>
      <c r="AA113" s="114">
        <v>28600</v>
      </c>
      <c r="AB113" s="114">
        <v>-783800</v>
      </c>
      <c r="AC113" s="114">
        <v>-44043</v>
      </c>
      <c r="AD113" s="114">
        <v>50394</v>
      </c>
      <c r="AE113" s="114">
        <v>8962</v>
      </c>
      <c r="AF113" s="114">
        <v>44946100</v>
      </c>
      <c r="AG113" s="114">
        <v>82992</v>
      </c>
      <c r="AH113" s="116">
        <v>0</v>
      </c>
      <c r="AI113" s="114">
        <v>0</v>
      </c>
      <c r="AJ113" s="120">
        <v>0</v>
      </c>
      <c r="AK113" s="82">
        <v>59200199</v>
      </c>
      <c r="AL113" s="83">
        <v>1502952</v>
      </c>
      <c r="AM113" s="114">
        <v>0</v>
      </c>
      <c r="AN113" s="114">
        <v>4638524</v>
      </c>
      <c r="AO113" s="114">
        <v>73330</v>
      </c>
      <c r="AP113" s="114">
        <v>1183137</v>
      </c>
      <c r="AQ113" s="114">
        <v>1717728</v>
      </c>
      <c r="AR113" s="114">
        <v>283967</v>
      </c>
      <c r="AS113" s="114">
        <v>0</v>
      </c>
      <c r="AT113" s="114">
        <v>66825</v>
      </c>
      <c r="AU113" s="114">
        <v>0</v>
      </c>
      <c r="AV113" s="114">
        <v>0</v>
      </c>
      <c r="AW113" s="114">
        <v>0</v>
      </c>
      <c r="AX113" s="114">
        <v>0</v>
      </c>
      <c r="AY113" s="114">
        <v>0</v>
      </c>
      <c r="AZ113" s="114"/>
      <c r="BA113" s="114"/>
      <c r="BB113" s="114"/>
      <c r="BC113" s="114"/>
      <c r="BD113" s="82">
        <v>3185406.03</v>
      </c>
      <c r="BE113" s="82">
        <v>1624557</v>
      </c>
      <c r="BF113" s="117">
        <v>21870466</v>
      </c>
      <c r="BG113" s="118">
        <v>0</v>
      </c>
      <c r="BH113" s="118">
        <v>0</v>
      </c>
      <c r="BI113" s="117">
        <v>145399223</v>
      </c>
      <c r="BJ113" s="117">
        <v>145399223</v>
      </c>
      <c r="BK113" s="117">
        <v>58344943</v>
      </c>
      <c r="BL113" s="117">
        <v>57472537</v>
      </c>
      <c r="BM113" s="117">
        <v>0</v>
      </c>
      <c r="BN113" s="117">
        <v>0</v>
      </c>
      <c r="BO113" s="119"/>
      <c r="BP113" s="86">
        <v>582849250</v>
      </c>
      <c r="BQ113" s="86">
        <v>317649782</v>
      </c>
      <c r="BR113" s="87"/>
      <c r="BT113" s="114">
        <v>3890</v>
      </c>
      <c r="BU113" s="114">
        <v>1605</v>
      </c>
      <c r="BV113" s="114">
        <v>156</v>
      </c>
      <c r="BW113" s="114">
        <f t="shared" si="10"/>
        <v>5651</v>
      </c>
      <c r="BX113" s="89">
        <v>311220200</v>
      </c>
      <c r="BY113" s="90">
        <f t="shared" si="7"/>
        <v>59200199</v>
      </c>
      <c r="BZ113" s="90">
        <f t="shared" si="7"/>
        <v>1502952</v>
      </c>
      <c r="CA113" s="89">
        <f t="shared" si="8"/>
        <v>6429582</v>
      </c>
      <c r="CB113" s="89">
        <f t="shared" si="9"/>
        <v>378352933</v>
      </c>
    </row>
    <row r="114" spans="1:80" x14ac:dyDescent="0.25">
      <c r="A114" s="91" t="s">
        <v>168</v>
      </c>
      <c r="B114" s="114">
        <v>281641988</v>
      </c>
      <c r="C114" s="114">
        <v>154460246</v>
      </c>
      <c r="D114" s="114">
        <v>107895748</v>
      </c>
      <c r="E114" s="114">
        <v>1310000</v>
      </c>
      <c r="F114" s="114">
        <v>40795558</v>
      </c>
      <c r="G114" s="114">
        <v>7306892</v>
      </c>
      <c r="H114" s="114">
        <v>5882290</v>
      </c>
      <c r="I114" s="114">
        <v>303144</v>
      </c>
      <c r="J114" s="114">
        <v>73800</v>
      </c>
      <c r="K114" s="114">
        <v>36900</v>
      </c>
      <c r="L114" s="114">
        <v>567922183</v>
      </c>
      <c r="M114" s="114">
        <v>50966867</v>
      </c>
      <c r="N114" s="114">
        <v>1338</v>
      </c>
      <c r="O114" s="114">
        <v>238</v>
      </c>
      <c r="P114" s="114">
        <v>2026529</v>
      </c>
      <c r="Q114" s="114">
        <v>618714</v>
      </c>
      <c r="R114" s="114">
        <v>2446765</v>
      </c>
      <c r="S114" s="114">
        <v>508059</v>
      </c>
      <c r="T114" s="114">
        <v>412506</v>
      </c>
      <c r="U114" s="114">
        <v>312270</v>
      </c>
      <c r="V114" s="114">
        <v>2026529</v>
      </c>
      <c r="W114" s="114">
        <v>618714</v>
      </c>
      <c r="X114" s="114">
        <v>2446765</v>
      </c>
      <c r="Y114" s="114">
        <v>508059</v>
      </c>
      <c r="Z114" s="114">
        <v>471696</v>
      </c>
      <c r="AA114" s="114">
        <v>312270</v>
      </c>
      <c r="AB114" s="114">
        <v>-183093</v>
      </c>
      <c r="AC114" s="114">
        <v>-5753</v>
      </c>
      <c r="AD114" s="114">
        <v>7984</v>
      </c>
      <c r="AE114" s="114">
        <v>13263</v>
      </c>
      <c r="AF114" s="114">
        <v>40846495</v>
      </c>
      <c r="AG114" s="114">
        <v>204256</v>
      </c>
      <c r="AH114" s="116">
        <v>31221713.114754099</v>
      </c>
      <c r="AI114" s="114">
        <v>0</v>
      </c>
      <c r="AJ114" s="120">
        <v>122530826</v>
      </c>
      <c r="AK114" s="82">
        <v>121426190</v>
      </c>
      <c r="AL114" s="83">
        <v>4622000</v>
      </c>
      <c r="AM114" s="114">
        <v>8000</v>
      </c>
      <c r="AN114" s="114">
        <v>140461003</v>
      </c>
      <c r="AO114" s="114">
        <v>7938594</v>
      </c>
      <c r="AP114" s="114">
        <v>95569901</v>
      </c>
      <c r="AQ114" s="114">
        <v>40690229</v>
      </c>
      <c r="AR114" s="114">
        <v>21267530</v>
      </c>
      <c r="AS114" s="114">
        <v>28397312</v>
      </c>
      <c r="AT114" s="114">
        <f>7116422+120</f>
        <v>7116542</v>
      </c>
      <c r="AU114" s="114">
        <v>0</v>
      </c>
      <c r="AV114" s="114">
        <v>64251</v>
      </c>
      <c r="AW114" s="114">
        <v>10071070</v>
      </c>
      <c r="AX114" s="114">
        <v>1061266</v>
      </c>
      <c r="AY114" s="114">
        <v>2657971</v>
      </c>
      <c r="AZ114" s="114"/>
      <c r="BA114" s="114"/>
      <c r="BB114" s="114"/>
      <c r="BC114" s="114"/>
      <c r="BD114" s="82">
        <v>6533621.9299999997</v>
      </c>
      <c r="BE114" s="82">
        <v>3332147</v>
      </c>
      <c r="BF114" s="117">
        <v>43428497</v>
      </c>
      <c r="BG114" s="118">
        <v>0</v>
      </c>
      <c r="BH114" s="118">
        <v>0</v>
      </c>
      <c r="BI114" s="117">
        <v>4294429</v>
      </c>
      <c r="BJ114" s="117">
        <v>4294429</v>
      </c>
      <c r="BK114" s="117">
        <v>30754931</v>
      </c>
      <c r="BL114" s="117">
        <v>30733184</v>
      </c>
      <c r="BM114" s="117">
        <v>0</v>
      </c>
      <c r="BN114" s="117">
        <v>0</v>
      </c>
      <c r="BO114" s="119"/>
      <c r="BP114" s="86">
        <v>1051248297.1147541</v>
      </c>
      <c r="BQ114" s="86">
        <v>886840347.11475408</v>
      </c>
      <c r="BR114" s="87">
        <v>846618</v>
      </c>
      <c r="BT114" s="114">
        <v>5797</v>
      </c>
      <c r="BU114" s="114">
        <v>1798</v>
      </c>
      <c r="BV114" s="114">
        <v>578</v>
      </c>
      <c r="BW114" s="114">
        <f t="shared" si="10"/>
        <v>8173</v>
      </c>
      <c r="BX114" s="89">
        <v>543997982</v>
      </c>
      <c r="BY114" s="90">
        <f t="shared" si="7"/>
        <v>121426190</v>
      </c>
      <c r="BZ114" s="90">
        <f t="shared" si="7"/>
        <v>4622000</v>
      </c>
      <c r="CA114" s="89">
        <f t="shared" si="8"/>
        <v>217487138</v>
      </c>
      <c r="CB114" s="89">
        <f t="shared" si="9"/>
        <v>887533310</v>
      </c>
    </row>
    <row r="115" spans="1:80" x14ac:dyDescent="0.25">
      <c r="A115" s="91" t="s">
        <v>169</v>
      </c>
      <c r="B115" s="114">
        <v>4645830923</v>
      </c>
      <c r="C115" s="114">
        <v>482106330</v>
      </c>
      <c r="D115" s="114">
        <v>2682808252</v>
      </c>
      <c r="E115" s="114">
        <v>60934000</v>
      </c>
      <c r="F115" s="114">
        <v>225953250</v>
      </c>
      <c r="G115" s="114">
        <v>21332250</v>
      </c>
      <c r="H115" s="114">
        <v>27968140</v>
      </c>
      <c r="I115" s="114">
        <v>1970120</v>
      </c>
      <c r="J115" s="114">
        <v>442800</v>
      </c>
      <c r="K115" s="114">
        <v>0</v>
      </c>
      <c r="L115" s="114">
        <v>917710510</v>
      </c>
      <c r="M115" s="114">
        <v>0</v>
      </c>
      <c r="N115" s="114">
        <v>6998</v>
      </c>
      <c r="O115" s="114">
        <v>697</v>
      </c>
      <c r="P115" s="114">
        <v>103496390</v>
      </c>
      <c r="Q115" s="114">
        <v>6580450</v>
      </c>
      <c r="R115" s="114">
        <v>75973700</v>
      </c>
      <c r="S115" s="114">
        <v>2900030</v>
      </c>
      <c r="T115" s="114">
        <v>156250</v>
      </c>
      <c r="U115" s="114">
        <v>3482120</v>
      </c>
      <c r="V115" s="114">
        <v>103496390</v>
      </c>
      <c r="W115" s="114">
        <v>6580450</v>
      </c>
      <c r="X115" s="114">
        <v>75973700</v>
      </c>
      <c r="Y115" s="114">
        <v>2900030</v>
      </c>
      <c r="Z115" s="114">
        <v>156250</v>
      </c>
      <c r="AA115" s="114">
        <v>3482120</v>
      </c>
      <c r="AB115" s="114">
        <v>-15059890</v>
      </c>
      <c r="AC115" s="114">
        <v>-4096017</v>
      </c>
      <c r="AD115" s="114">
        <v>71368</v>
      </c>
      <c r="AE115" s="114">
        <v>0</v>
      </c>
      <c r="AF115" s="114">
        <v>0</v>
      </c>
      <c r="AG115" s="114">
        <v>0</v>
      </c>
      <c r="AH115" s="116">
        <v>7900983.6065573776</v>
      </c>
      <c r="AI115" s="114">
        <v>867163.93442622956</v>
      </c>
      <c r="AJ115" s="120">
        <v>0</v>
      </c>
      <c r="AK115" s="82">
        <v>765366834</v>
      </c>
      <c r="AL115" s="83">
        <f>139554436+1473366</f>
        <v>141027802</v>
      </c>
      <c r="AM115" s="114">
        <v>0</v>
      </c>
      <c r="AN115" s="114">
        <v>405348565</v>
      </c>
      <c r="AO115" s="114">
        <v>82651317</v>
      </c>
      <c r="AP115" s="114">
        <v>978578565</v>
      </c>
      <c r="AQ115" s="114">
        <v>372289610</v>
      </c>
      <c r="AR115" s="114">
        <v>310932719</v>
      </c>
      <c r="AS115" s="114">
        <v>137139274</v>
      </c>
      <c r="AT115" s="114">
        <f>4996029+14187</f>
        <v>5010216</v>
      </c>
      <c r="AU115" s="114">
        <v>0</v>
      </c>
      <c r="AV115" s="114">
        <v>498360</v>
      </c>
      <c r="AW115" s="114">
        <v>167322171</v>
      </c>
      <c r="AX115" s="114">
        <v>4242210</v>
      </c>
      <c r="AY115" s="114">
        <v>27073077</v>
      </c>
      <c r="AZ115" s="114"/>
      <c r="BA115" s="114"/>
      <c r="BB115" s="114"/>
      <c r="BC115" s="114"/>
      <c r="BD115" s="82">
        <v>41182363.780000001</v>
      </c>
      <c r="BE115" s="82">
        <v>21003006</v>
      </c>
      <c r="BF115" s="117"/>
      <c r="BG115" s="118">
        <v>3016480</v>
      </c>
      <c r="BH115" s="118">
        <v>5914666</v>
      </c>
      <c r="BI115" s="117">
        <v>49756266</v>
      </c>
      <c r="BJ115" s="117">
        <v>49756266</v>
      </c>
      <c r="BK115" s="117">
        <v>128351295</v>
      </c>
      <c r="BL115" s="117">
        <v>121073114</v>
      </c>
      <c r="BM115" s="117">
        <v>434310</v>
      </c>
      <c r="BN115" s="117">
        <v>36174802</v>
      </c>
      <c r="BO115" s="119"/>
      <c r="BP115" s="86">
        <v>9817655758.5409851</v>
      </c>
      <c r="BQ115" s="86">
        <v>8679803144.5409851</v>
      </c>
      <c r="BR115" s="87">
        <v>2911241</v>
      </c>
      <c r="BT115" s="114">
        <v>37807</v>
      </c>
      <c r="BU115" s="114">
        <v>5153</v>
      </c>
      <c r="BV115" s="114">
        <v>3801</v>
      </c>
      <c r="BW115" s="114">
        <f t="shared" si="10"/>
        <v>46761</v>
      </c>
      <c r="BX115" s="89">
        <v>7810745505</v>
      </c>
      <c r="BY115" s="90">
        <f t="shared" si="7"/>
        <v>765366834</v>
      </c>
      <c r="BZ115" s="90">
        <f t="shared" si="7"/>
        <v>141027802</v>
      </c>
      <c r="CA115" s="89">
        <f t="shared" si="8"/>
        <v>997428766</v>
      </c>
      <c r="CB115" s="89">
        <f t="shared" si="9"/>
        <v>9714568907</v>
      </c>
    </row>
    <row r="116" spans="1:80" x14ac:dyDescent="0.25">
      <c r="A116" s="91" t="s">
        <v>170</v>
      </c>
      <c r="B116" s="114">
        <v>250092647</v>
      </c>
      <c r="C116" s="114">
        <v>165081998</v>
      </c>
      <c r="D116" s="114">
        <v>80166197</v>
      </c>
      <c r="E116" s="114">
        <v>0</v>
      </c>
      <c r="F116" s="114">
        <v>30510800</v>
      </c>
      <c r="G116" s="114">
        <v>4997800</v>
      </c>
      <c r="H116" s="114">
        <v>15245200</v>
      </c>
      <c r="I116" s="114">
        <v>2118000</v>
      </c>
      <c r="J116" s="114">
        <v>64900</v>
      </c>
      <c r="K116" s="114">
        <v>0</v>
      </c>
      <c r="L116" s="114">
        <v>292535677</v>
      </c>
      <c r="M116" s="114">
        <v>114373020</v>
      </c>
      <c r="N116" s="114">
        <v>1278</v>
      </c>
      <c r="O116" s="114">
        <v>215</v>
      </c>
      <c r="P116" s="114">
        <v>3557085</v>
      </c>
      <c r="Q116" s="114">
        <v>3894175</v>
      </c>
      <c r="R116" s="114">
        <v>670822</v>
      </c>
      <c r="S116" s="114">
        <v>2988689</v>
      </c>
      <c r="T116" s="114">
        <v>1331220</v>
      </c>
      <c r="U116" s="114">
        <v>866600</v>
      </c>
      <c r="V116" s="114">
        <v>3557085</v>
      </c>
      <c r="W116" s="114">
        <v>5161290</v>
      </c>
      <c r="X116" s="114">
        <v>670822</v>
      </c>
      <c r="Y116" s="114">
        <v>2882839</v>
      </c>
      <c r="Z116" s="114">
        <v>1471277</v>
      </c>
      <c r="AA116" s="114">
        <v>866600</v>
      </c>
      <c r="AB116" s="114">
        <v>-698100</v>
      </c>
      <c r="AC116" s="114">
        <v>-2911</v>
      </c>
      <c r="AD116" s="114">
        <v>45068</v>
      </c>
      <c r="AE116" s="114">
        <v>0</v>
      </c>
      <c r="AF116" s="114">
        <v>0</v>
      </c>
      <c r="AG116" s="114">
        <v>179412</v>
      </c>
      <c r="AH116" s="116">
        <v>0</v>
      </c>
      <c r="AI116" s="114">
        <v>0</v>
      </c>
      <c r="AJ116" s="120">
        <v>0</v>
      </c>
      <c r="AK116" s="82">
        <v>77021065</v>
      </c>
      <c r="AL116" s="83">
        <v>1390537</v>
      </c>
      <c r="AM116" s="114">
        <v>0</v>
      </c>
      <c r="AN116" s="114">
        <v>19875290</v>
      </c>
      <c r="AO116" s="114">
        <v>604964</v>
      </c>
      <c r="AP116" s="114">
        <v>100179487</v>
      </c>
      <c r="AQ116" s="114">
        <v>23716056</v>
      </c>
      <c r="AR116" s="114">
        <v>34993929</v>
      </c>
      <c r="AS116" s="114">
        <v>1738258</v>
      </c>
      <c r="AT116" s="114">
        <v>221477</v>
      </c>
      <c r="AU116" s="114">
        <v>0</v>
      </c>
      <c r="AV116" s="114">
        <v>0</v>
      </c>
      <c r="AW116" s="114">
        <v>1569989</v>
      </c>
      <c r="AX116" s="114">
        <v>10181</v>
      </c>
      <c r="AY116" s="114">
        <v>155625</v>
      </c>
      <c r="AZ116" s="114"/>
      <c r="BA116" s="114"/>
      <c r="BB116" s="114"/>
      <c r="BC116" s="114"/>
      <c r="BD116" s="82">
        <v>4144299.67</v>
      </c>
      <c r="BE116" s="82">
        <v>2113593</v>
      </c>
      <c r="BF116" s="117"/>
      <c r="BG116" s="118">
        <v>0</v>
      </c>
      <c r="BH116" s="118">
        <v>0</v>
      </c>
      <c r="BI116" s="117">
        <v>1937923</v>
      </c>
      <c r="BJ116" s="117">
        <v>1937923</v>
      </c>
      <c r="BK116" s="117">
        <v>25264722</v>
      </c>
      <c r="BL116" s="117">
        <v>24666571</v>
      </c>
      <c r="BM116" s="117">
        <v>0</v>
      </c>
      <c r="BN116" s="117">
        <v>0</v>
      </c>
      <c r="BO116" s="119"/>
      <c r="BP116" s="86">
        <v>646666841</v>
      </c>
      <c r="BQ116" s="86">
        <v>539537152</v>
      </c>
      <c r="BR116" s="87">
        <v>359500</v>
      </c>
      <c r="BT116" s="114">
        <v>3891</v>
      </c>
      <c r="BU116" s="114">
        <v>2671</v>
      </c>
      <c r="BV116" s="114">
        <v>287</v>
      </c>
      <c r="BW116" s="114">
        <f t="shared" si="10"/>
        <v>6849</v>
      </c>
      <c r="BX116" s="89">
        <v>495340842</v>
      </c>
      <c r="BY116" s="90">
        <f t="shared" si="7"/>
        <v>77021065</v>
      </c>
      <c r="BZ116" s="90">
        <f t="shared" si="7"/>
        <v>1390537</v>
      </c>
      <c r="CA116" s="89">
        <f t="shared" si="8"/>
        <v>45934568</v>
      </c>
      <c r="CB116" s="89">
        <f t="shared" si="9"/>
        <v>619687012</v>
      </c>
    </row>
    <row r="117" spans="1:80" x14ac:dyDescent="0.25">
      <c r="A117" s="91" t="s">
        <v>171</v>
      </c>
      <c r="B117" s="114">
        <v>465190762</v>
      </c>
      <c r="C117" s="114">
        <v>129362947</v>
      </c>
      <c r="D117" s="114">
        <v>105816990</v>
      </c>
      <c r="E117" s="114">
        <v>0</v>
      </c>
      <c r="F117" s="114">
        <v>58965843</v>
      </c>
      <c r="G117" s="114">
        <v>16090375</v>
      </c>
      <c r="H117" s="114">
        <v>16341893</v>
      </c>
      <c r="I117" s="114">
        <v>2219870</v>
      </c>
      <c r="J117" s="114">
        <v>177100</v>
      </c>
      <c r="K117" s="114">
        <v>110700</v>
      </c>
      <c r="L117" s="114">
        <v>280832589</v>
      </c>
      <c r="M117" s="114">
        <v>83263924</v>
      </c>
      <c r="N117" s="114">
        <v>2289</v>
      </c>
      <c r="O117" s="114">
        <v>632</v>
      </c>
      <c r="P117" s="114">
        <v>4857173</v>
      </c>
      <c r="Q117" s="114">
        <v>1838221</v>
      </c>
      <c r="R117" s="114">
        <v>1971851</v>
      </c>
      <c r="S117" s="114">
        <v>3785558</v>
      </c>
      <c r="T117" s="114">
        <v>556829</v>
      </c>
      <c r="U117" s="114">
        <v>1286740</v>
      </c>
      <c r="V117" s="114">
        <v>4857173</v>
      </c>
      <c r="W117" s="114">
        <v>2026030</v>
      </c>
      <c r="X117" s="114">
        <v>1971851</v>
      </c>
      <c r="Y117" s="114">
        <v>3785558</v>
      </c>
      <c r="Z117" s="114">
        <v>831205</v>
      </c>
      <c r="AA117" s="114">
        <v>1286740</v>
      </c>
      <c r="AB117" s="114">
        <v>-1783800</v>
      </c>
      <c r="AC117" s="114">
        <v>-48331</v>
      </c>
      <c r="AD117" s="114">
        <v>175163</v>
      </c>
      <c r="AE117" s="114">
        <v>8205</v>
      </c>
      <c r="AF117" s="114">
        <v>10280459</v>
      </c>
      <c r="AG117" s="114">
        <v>243957</v>
      </c>
      <c r="AH117" s="116">
        <v>688975.40983606561</v>
      </c>
      <c r="AI117" s="114">
        <v>64131.147540983606</v>
      </c>
      <c r="AJ117" s="120">
        <v>0</v>
      </c>
      <c r="AK117" s="82">
        <v>101656975</v>
      </c>
      <c r="AL117" s="83">
        <v>13162852</v>
      </c>
      <c r="AM117" s="114">
        <v>12320694</v>
      </c>
      <c r="AN117" s="114">
        <v>20109129</v>
      </c>
      <c r="AO117" s="114">
        <v>2191448</v>
      </c>
      <c r="AP117" s="114">
        <v>34869847</v>
      </c>
      <c r="AQ117" s="114">
        <v>19545384</v>
      </c>
      <c r="AR117" s="114">
        <v>20640685</v>
      </c>
      <c r="AS117" s="114">
        <v>1328517</v>
      </c>
      <c r="AT117" s="114">
        <v>7448452</v>
      </c>
      <c r="AU117" s="114">
        <v>0</v>
      </c>
      <c r="AV117" s="114">
        <v>0</v>
      </c>
      <c r="AW117" s="114">
        <v>0</v>
      </c>
      <c r="AX117" s="114">
        <v>0</v>
      </c>
      <c r="AY117" s="114">
        <v>56696</v>
      </c>
      <c r="AZ117" s="114"/>
      <c r="BA117" s="114"/>
      <c r="BB117" s="114"/>
      <c r="BC117" s="114"/>
      <c r="BD117" s="82">
        <v>5470561.2400000002</v>
      </c>
      <c r="BE117" s="82">
        <v>2789986</v>
      </c>
      <c r="BF117" s="117"/>
      <c r="BG117" s="118">
        <v>0</v>
      </c>
      <c r="BH117" s="118">
        <v>0</v>
      </c>
      <c r="BI117" s="117">
        <v>1229484</v>
      </c>
      <c r="BJ117" s="117">
        <v>1229484</v>
      </c>
      <c r="BK117" s="117">
        <v>35387802</v>
      </c>
      <c r="BL117" s="117">
        <v>34800518</v>
      </c>
      <c r="BM117" s="117">
        <v>0</v>
      </c>
      <c r="BN117" s="117">
        <v>0</v>
      </c>
      <c r="BO117" s="119"/>
      <c r="BP117" s="86">
        <v>896609581.55737698</v>
      </c>
      <c r="BQ117" s="86">
        <v>742969766.55737698</v>
      </c>
      <c r="BR117" s="87">
        <v>798000</v>
      </c>
      <c r="BT117" s="114">
        <v>11131</v>
      </c>
      <c r="BU117" s="114">
        <v>3111</v>
      </c>
      <c r="BV117" s="114">
        <v>597</v>
      </c>
      <c r="BW117" s="114">
        <f t="shared" si="10"/>
        <v>14839</v>
      </c>
      <c r="BX117" s="89">
        <v>700370699</v>
      </c>
      <c r="BY117" s="90">
        <f t="shared" si="7"/>
        <v>101656975</v>
      </c>
      <c r="BZ117" s="90">
        <f t="shared" si="7"/>
        <v>13162852</v>
      </c>
      <c r="CA117" s="89">
        <f t="shared" si="8"/>
        <v>43174478</v>
      </c>
      <c r="CB117" s="89">
        <f t="shared" si="9"/>
        <v>858365004</v>
      </c>
    </row>
    <row r="118" spans="1:80" x14ac:dyDescent="0.25">
      <c r="A118" s="91" t="s">
        <v>172</v>
      </c>
      <c r="B118" s="114">
        <v>213167677</v>
      </c>
      <c r="C118" s="114">
        <v>155751474</v>
      </c>
      <c r="D118" s="114">
        <v>56591087</v>
      </c>
      <c r="E118" s="114">
        <v>14400000</v>
      </c>
      <c r="F118" s="114">
        <v>34430067</v>
      </c>
      <c r="G118" s="114">
        <v>6365450</v>
      </c>
      <c r="H118" s="114">
        <v>8825407</v>
      </c>
      <c r="I118" s="114">
        <v>671400</v>
      </c>
      <c r="J118" s="114">
        <v>5000</v>
      </c>
      <c r="K118" s="114">
        <v>0</v>
      </c>
      <c r="L118" s="114">
        <v>385478290</v>
      </c>
      <c r="M118" s="114">
        <v>60618600</v>
      </c>
      <c r="N118" s="114">
        <v>1333</v>
      </c>
      <c r="O118" s="114">
        <v>247</v>
      </c>
      <c r="P118" s="114">
        <v>1268200</v>
      </c>
      <c r="Q118" s="114">
        <v>676100</v>
      </c>
      <c r="R118" s="114">
        <v>1171700</v>
      </c>
      <c r="S118" s="114">
        <v>96500</v>
      </c>
      <c r="T118" s="114">
        <v>43700</v>
      </c>
      <c r="U118" s="114">
        <v>0</v>
      </c>
      <c r="V118" s="114">
        <v>1268200</v>
      </c>
      <c r="W118" s="114">
        <v>676100</v>
      </c>
      <c r="X118" s="114">
        <v>1171700</v>
      </c>
      <c r="Y118" s="114">
        <v>96500</v>
      </c>
      <c r="Z118" s="114">
        <v>43700</v>
      </c>
      <c r="AA118" s="114">
        <v>0</v>
      </c>
      <c r="AB118" s="114">
        <v>-803500</v>
      </c>
      <c r="AC118" s="114">
        <v>0</v>
      </c>
      <c r="AD118" s="114">
        <v>60811</v>
      </c>
      <c r="AE118" s="114">
        <v>11901</v>
      </c>
      <c r="AF118" s="114">
        <v>4932481</v>
      </c>
      <c r="AG118" s="114">
        <v>198842</v>
      </c>
      <c r="AH118" s="116">
        <v>21987639.344262294</v>
      </c>
      <c r="AI118" s="114">
        <v>0</v>
      </c>
      <c r="AJ118" s="120">
        <v>26295496</v>
      </c>
      <c r="AK118" s="82">
        <v>104907929</v>
      </c>
      <c r="AL118" s="83">
        <v>3491528</v>
      </c>
      <c r="AM118" s="114">
        <v>46250</v>
      </c>
      <c r="AN118" s="114">
        <v>58654067</v>
      </c>
      <c r="AO118" s="114">
        <v>4241880</v>
      </c>
      <c r="AP118" s="114">
        <v>48974156</v>
      </c>
      <c r="AQ118" s="114">
        <v>14488805</v>
      </c>
      <c r="AR118" s="114">
        <v>9001664</v>
      </c>
      <c r="AS118" s="114">
        <v>0</v>
      </c>
      <c r="AT118" s="114">
        <v>3405838</v>
      </c>
      <c r="AU118" s="114">
        <v>0</v>
      </c>
      <c r="AV118" s="114">
        <v>0</v>
      </c>
      <c r="AW118" s="114">
        <v>3281576</v>
      </c>
      <c r="AX118" s="114">
        <v>1320723</v>
      </c>
      <c r="AY118" s="114">
        <v>131500</v>
      </c>
      <c r="AZ118" s="114"/>
      <c r="BA118" s="114"/>
      <c r="BB118" s="114"/>
      <c r="BC118" s="114"/>
      <c r="BD118" s="82">
        <v>5644818.0199999996</v>
      </c>
      <c r="BE118" s="82">
        <v>2878857</v>
      </c>
      <c r="BF118" s="117">
        <v>2681736</v>
      </c>
      <c r="BG118" s="118">
        <v>1335730</v>
      </c>
      <c r="BH118" s="118">
        <v>2619078</v>
      </c>
      <c r="BI118" s="117">
        <v>24371641</v>
      </c>
      <c r="BJ118" s="117">
        <v>24206580</v>
      </c>
      <c r="BK118" s="117">
        <v>61897209</v>
      </c>
      <c r="BL118" s="117">
        <v>60095061</v>
      </c>
      <c r="BM118" s="117">
        <v>0</v>
      </c>
      <c r="BN118" s="117">
        <v>0</v>
      </c>
      <c r="BO118" s="119"/>
      <c r="BP118" s="86">
        <v>748093810.34426236</v>
      </c>
      <c r="BQ118" s="86">
        <v>551178125.34426236</v>
      </c>
      <c r="BR118" s="87">
        <v>753522</v>
      </c>
      <c r="BT118" s="114">
        <v>7280</v>
      </c>
      <c r="BU118" s="114">
        <v>2898</v>
      </c>
      <c r="BV118" s="114">
        <v>604</v>
      </c>
      <c r="BW118" s="114">
        <f t="shared" si="10"/>
        <v>10782</v>
      </c>
      <c r="BX118" s="89">
        <v>425510238</v>
      </c>
      <c r="BY118" s="90">
        <f t="shared" si="7"/>
        <v>104907929</v>
      </c>
      <c r="BZ118" s="90">
        <f t="shared" si="7"/>
        <v>3491528</v>
      </c>
      <c r="CA118" s="89">
        <f t="shared" si="8"/>
        <v>77384752</v>
      </c>
      <c r="CB118" s="89">
        <f t="shared" si="9"/>
        <v>611294447</v>
      </c>
    </row>
    <row r="119" spans="1:80" x14ac:dyDescent="0.25">
      <c r="A119" s="91" t="s">
        <v>173</v>
      </c>
      <c r="B119" s="114">
        <v>679457863</v>
      </c>
      <c r="C119" s="114">
        <v>137811590</v>
      </c>
      <c r="D119" s="114">
        <v>216019479</v>
      </c>
      <c r="E119" s="114">
        <v>2100000</v>
      </c>
      <c r="F119" s="114">
        <v>89511840</v>
      </c>
      <c r="G119" s="114">
        <v>28525980</v>
      </c>
      <c r="H119" s="114">
        <v>16300110</v>
      </c>
      <c r="I119" s="114">
        <v>2792637</v>
      </c>
      <c r="J119" s="114">
        <v>36000</v>
      </c>
      <c r="K119" s="114">
        <v>0</v>
      </c>
      <c r="L119" s="114">
        <v>474093620</v>
      </c>
      <c r="M119" s="114">
        <v>51367616</v>
      </c>
      <c r="N119" s="114">
        <v>3337</v>
      </c>
      <c r="O119" s="114">
        <v>1063</v>
      </c>
      <c r="P119" s="114">
        <v>152884</v>
      </c>
      <c r="Q119" s="114">
        <v>0</v>
      </c>
      <c r="R119" s="114">
        <v>24000</v>
      </c>
      <c r="S119" s="114">
        <v>6408436</v>
      </c>
      <c r="T119" s="114">
        <v>944780</v>
      </c>
      <c r="U119" s="114">
        <v>3076260</v>
      </c>
      <c r="V119" s="114">
        <v>152884</v>
      </c>
      <c r="W119" s="114">
        <v>0</v>
      </c>
      <c r="X119" s="114">
        <v>24000</v>
      </c>
      <c r="Y119" s="114">
        <v>6408436</v>
      </c>
      <c r="Z119" s="114">
        <v>2551810</v>
      </c>
      <c r="AA119" s="114">
        <v>3076260</v>
      </c>
      <c r="AB119" s="114">
        <v>-7827175</v>
      </c>
      <c r="AC119" s="114">
        <v>-451222</v>
      </c>
      <c r="AD119" s="114">
        <v>203516</v>
      </c>
      <c r="AE119" s="114">
        <v>0</v>
      </c>
      <c r="AF119" s="114">
        <v>0</v>
      </c>
      <c r="AG119" s="114">
        <v>205384</v>
      </c>
      <c r="AH119" s="116">
        <v>1570122.9508196721</v>
      </c>
      <c r="AI119" s="114">
        <v>11577917.213114755</v>
      </c>
      <c r="AJ119" s="120">
        <v>6888909.8360655736</v>
      </c>
      <c r="AK119" s="82">
        <f>130722301+15983788+57561146</f>
        <v>204267235</v>
      </c>
      <c r="AL119" s="83">
        <f>4871698+215406+1211035</f>
        <v>6298139</v>
      </c>
      <c r="AM119" s="114">
        <v>2570351</v>
      </c>
      <c r="AN119" s="114">
        <v>65435652</v>
      </c>
      <c r="AO119" s="114">
        <v>3123797</v>
      </c>
      <c r="AP119" s="114">
        <v>59092447</v>
      </c>
      <c r="AQ119" s="114">
        <v>63470893</v>
      </c>
      <c r="AR119" s="114">
        <v>18051603</v>
      </c>
      <c r="AS119" s="114">
        <v>12398745</v>
      </c>
      <c r="AT119" s="114">
        <v>400910</v>
      </c>
      <c r="AU119" s="114">
        <v>0</v>
      </c>
      <c r="AV119" s="114">
        <v>0</v>
      </c>
      <c r="AW119" s="114">
        <v>0</v>
      </c>
      <c r="AX119" s="114">
        <v>19584</v>
      </c>
      <c r="AY119" s="114">
        <v>0</v>
      </c>
      <c r="AZ119" s="114"/>
      <c r="BA119" s="114"/>
      <c r="BB119" s="114"/>
      <c r="BC119" s="114"/>
      <c r="BD119" s="82">
        <v>10991079.32</v>
      </c>
      <c r="BE119" s="82">
        <v>5605450</v>
      </c>
      <c r="BF119" s="117"/>
      <c r="BG119" s="118">
        <v>13045541</v>
      </c>
      <c r="BH119" s="118">
        <v>25579493</v>
      </c>
      <c r="BI119" s="117">
        <v>53505822</v>
      </c>
      <c r="BJ119" s="117">
        <v>53505822</v>
      </c>
      <c r="BK119" s="117">
        <v>79800876</v>
      </c>
      <c r="BL119" s="117">
        <v>66402058</v>
      </c>
      <c r="BM119" s="117">
        <v>0</v>
      </c>
      <c r="BN119" s="117">
        <v>0</v>
      </c>
      <c r="BO119" s="119"/>
      <c r="BP119" s="86">
        <v>1534480469</v>
      </c>
      <c r="BQ119" s="86">
        <v>1185356224</v>
      </c>
      <c r="BR119" s="87">
        <v>1460926</v>
      </c>
      <c r="BT119" s="114">
        <v>18489</v>
      </c>
      <c r="BU119" s="114">
        <v>3550</v>
      </c>
      <c r="BV119" s="114">
        <v>947</v>
      </c>
      <c r="BW119" s="114">
        <f t="shared" si="10"/>
        <v>22986</v>
      </c>
      <c r="BX119" s="89">
        <v>1033288932</v>
      </c>
      <c r="BY119" s="90">
        <f t="shared" si="7"/>
        <v>204267235</v>
      </c>
      <c r="BZ119" s="90">
        <f t="shared" si="7"/>
        <v>6298139</v>
      </c>
      <c r="CA119" s="89">
        <f t="shared" si="8"/>
        <v>144429087</v>
      </c>
      <c r="CB119" s="89">
        <f t="shared" si="9"/>
        <v>1388283393</v>
      </c>
    </row>
    <row r="120" spans="1:80" x14ac:dyDescent="0.25">
      <c r="A120" s="111" t="s">
        <v>174</v>
      </c>
      <c r="B120" s="114">
        <v>58598950</v>
      </c>
      <c r="C120" s="114">
        <v>62122650</v>
      </c>
      <c r="D120" s="114">
        <v>35791500</v>
      </c>
      <c r="E120" s="114">
        <v>0</v>
      </c>
      <c r="F120" s="114">
        <v>10502400</v>
      </c>
      <c r="G120" s="114">
        <v>9292700</v>
      </c>
      <c r="H120" s="114">
        <v>9604700</v>
      </c>
      <c r="I120" s="114">
        <v>4378000</v>
      </c>
      <c r="J120" s="114">
        <v>0</v>
      </c>
      <c r="K120" s="114">
        <v>0</v>
      </c>
      <c r="L120" s="114">
        <v>66128100</v>
      </c>
      <c r="M120" s="114">
        <v>0</v>
      </c>
      <c r="N120" s="114">
        <v>635</v>
      </c>
      <c r="O120" s="114">
        <v>507</v>
      </c>
      <c r="P120" s="114">
        <v>1201200</v>
      </c>
      <c r="Q120" s="114">
        <v>207000</v>
      </c>
      <c r="R120" s="114">
        <v>8000</v>
      </c>
      <c r="S120" s="114">
        <v>909200</v>
      </c>
      <c r="T120" s="114">
        <v>940400</v>
      </c>
      <c r="U120" s="114">
        <v>266000</v>
      </c>
      <c r="V120" s="114">
        <v>1201200</v>
      </c>
      <c r="W120" s="114">
        <v>320000</v>
      </c>
      <c r="X120" s="114">
        <v>8000</v>
      </c>
      <c r="Y120" s="114">
        <v>909200</v>
      </c>
      <c r="Z120" s="114">
        <v>882000</v>
      </c>
      <c r="AA120" s="114">
        <v>266000</v>
      </c>
      <c r="AB120" s="114">
        <v>-1425900</v>
      </c>
      <c r="AC120" s="114">
        <v>0</v>
      </c>
      <c r="AD120" s="114">
        <v>87360</v>
      </c>
      <c r="AE120" s="114">
        <v>0</v>
      </c>
      <c r="AF120" s="114">
        <v>0</v>
      </c>
      <c r="AG120" s="114">
        <v>115778</v>
      </c>
      <c r="AH120" s="116">
        <v>9036360.6557377055</v>
      </c>
      <c r="AI120" s="114">
        <v>4367.2131147540986</v>
      </c>
      <c r="AJ120" s="120">
        <v>0</v>
      </c>
      <c r="AK120" s="82">
        <v>42441556</v>
      </c>
      <c r="AL120" s="83">
        <v>490765</v>
      </c>
      <c r="AM120" s="114">
        <v>0</v>
      </c>
      <c r="AN120" s="114">
        <v>4358312</v>
      </c>
      <c r="AO120" s="114">
        <v>66366</v>
      </c>
      <c r="AP120" s="114">
        <v>123573</v>
      </c>
      <c r="AQ120" s="114">
        <v>8480995</v>
      </c>
      <c r="AR120" s="114">
        <v>3636524</v>
      </c>
      <c r="AS120" s="114">
        <v>0</v>
      </c>
      <c r="AT120" s="114">
        <v>159289</v>
      </c>
      <c r="AU120" s="114">
        <v>0</v>
      </c>
      <c r="AV120" s="114">
        <v>0</v>
      </c>
      <c r="AW120" s="114">
        <v>0</v>
      </c>
      <c r="AX120" s="114">
        <v>0</v>
      </c>
      <c r="AY120" s="114">
        <v>0</v>
      </c>
      <c r="AZ120" s="114"/>
      <c r="BA120" s="114"/>
      <c r="BB120" s="114"/>
      <c r="BC120" s="114"/>
      <c r="BD120" s="82">
        <v>2283667.81</v>
      </c>
      <c r="BE120" s="82">
        <v>1164671</v>
      </c>
      <c r="BF120" s="117"/>
      <c r="BG120" s="118">
        <v>0</v>
      </c>
      <c r="BH120" s="118">
        <v>0</v>
      </c>
      <c r="BI120" s="117">
        <v>817540</v>
      </c>
      <c r="BJ120" s="117">
        <v>817540</v>
      </c>
      <c r="BK120" s="117">
        <v>31712083</v>
      </c>
      <c r="BL120" s="117">
        <v>31657431</v>
      </c>
      <c r="BM120" s="117">
        <v>0</v>
      </c>
      <c r="BN120" s="117">
        <v>0</v>
      </c>
      <c r="BO120" s="119"/>
      <c r="BP120" s="86">
        <v>255031463.86885247</v>
      </c>
      <c r="BQ120" s="86">
        <v>178459500.86885247</v>
      </c>
      <c r="BR120" s="87">
        <v>362000</v>
      </c>
      <c r="BT120" s="114">
        <v>2413</v>
      </c>
      <c r="BU120" s="114">
        <v>1829</v>
      </c>
      <c r="BV120" s="114">
        <v>222</v>
      </c>
      <c r="BW120" s="114">
        <f t="shared" si="10"/>
        <v>4464</v>
      </c>
      <c r="BX120" s="89">
        <v>156513100</v>
      </c>
      <c r="BY120" s="90">
        <f t="shared" si="7"/>
        <v>42441556</v>
      </c>
      <c r="BZ120" s="90">
        <f t="shared" si="7"/>
        <v>490765</v>
      </c>
      <c r="CA120" s="89">
        <f t="shared" si="8"/>
        <v>12905673</v>
      </c>
      <c r="CB120" s="89">
        <f t="shared" si="9"/>
        <v>212351094</v>
      </c>
    </row>
    <row r="121" spans="1:80" ht="15.75" thickBot="1" x14ac:dyDescent="0.3">
      <c r="A121" s="104" t="s">
        <v>175</v>
      </c>
      <c r="B121" s="124">
        <v>1345658320</v>
      </c>
      <c r="C121" s="124">
        <v>517890152</v>
      </c>
      <c r="D121" s="124">
        <v>268087195</v>
      </c>
      <c r="E121" s="124">
        <v>2594100</v>
      </c>
      <c r="F121" s="124">
        <v>71115200</v>
      </c>
      <c r="G121" s="124">
        <v>7586300</v>
      </c>
      <c r="H121" s="124">
        <v>8888200</v>
      </c>
      <c r="I121" s="124">
        <v>405900</v>
      </c>
      <c r="J121" s="124">
        <v>110700</v>
      </c>
      <c r="K121" s="124">
        <v>36900</v>
      </c>
      <c r="L121" s="124">
        <v>856760058</v>
      </c>
      <c r="M121" s="124">
        <v>263896100</v>
      </c>
      <c r="N121" s="124">
        <v>2187</v>
      </c>
      <c r="O121" s="124">
        <v>219</v>
      </c>
      <c r="P121" s="124">
        <v>20441450</v>
      </c>
      <c r="Q121" s="124">
        <v>3495200</v>
      </c>
      <c r="R121" s="124">
        <v>15458200</v>
      </c>
      <c r="S121" s="124">
        <v>0</v>
      </c>
      <c r="T121" s="124">
        <v>45000</v>
      </c>
      <c r="U121" s="124">
        <v>483300</v>
      </c>
      <c r="V121" s="124">
        <v>20441450</v>
      </c>
      <c r="W121" s="124">
        <v>3495200</v>
      </c>
      <c r="X121" s="124">
        <v>15458200</v>
      </c>
      <c r="Y121" s="124">
        <v>0</v>
      </c>
      <c r="Z121" s="124">
        <v>45000</v>
      </c>
      <c r="AA121" s="124">
        <v>483300</v>
      </c>
      <c r="AB121" s="124">
        <v>-2422500</v>
      </c>
      <c r="AC121" s="124">
        <v>-45703</v>
      </c>
      <c r="AD121" s="124">
        <v>0</v>
      </c>
      <c r="AE121" s="124">
        <v>0</v>
      </c>
      <c r="AF121" s="124">
        <v>0</v>
      </c>
      <c r="AG121" s="124">
        <v>107023</v>
      </c>
      <c r="AH121" s="124">
        <v>0</v>
      </c>
      <c r="AI121" s="124">
        <v>0</v>
      </c>
      <c r="AJ121" s="124">
        <v>0</v>
      </c>
      <c r="AK121" s="101">
        <v>210164934</v>
      </c>
      <c r="AL121" s="102">
        <v>4976818</v>
      </c>
      <c r="AM121" s="124">
        <v>12000</v>
      </c>
      <c r="AN121" s="124">
        <v>54999653</v>
      </c>
      <c r="AO121" s="124">
        <v>8476834</v>
      </c>
      <c r="AP121" s="124">
        <v>212635497</v>
      </c>
      <c r="AQ121" s="124">
        <v>31927015</v>
      </c>
      <c r="AR121" s="124">
        <v>45643052</v>
      </c>
      <c r="AS121" s="124">
        <v>81934236</v>
      </c>
      <c r="AT121" s="124">
        <v>229905335</v>
      </c>
      <c r="AU121" s="124">
        <v>0</v>
      </c>
      <c r="AV121" s="124">
        <v>0</v>
      </c>
      <c r="AW121" s="124">
        <v>373094</v>
      </c>
      <c r="AX121" s="124">
        <v>1312369</v>
      </c>
      <c r="AY121" s="124">
        <v>29200</v>
      </c>
      <c r="AZ121" s="124"/>
      <c r="BA121" s="124"/>
      <c r="BB121" s="124"/>
      <c r="BC121" s="124"/>
      <c r="BD121" s="101">
        <v>11308418.890000001</v>
      </c>
      <c r="BE121" s="101">
        <v>5767294</v>
      </c>
      <c r="BF121" s="125"/>
      <c r="BG121" s="126">
        <v>1066366</v>
      </c>
      <c r="BH121" s="126">
        <v>2090914</v>
      </c>
      <c r="BI121" s="127">
        <v>17271595</v>
      </c>
      <c r="BJ121" s="125">
        <v>15872719</v>
      </c>
      <c r="BK121" s="125">
        <v>47895068</v>
      </c>
      <c r="BL121" s="125">
        <v>47261635</v>
      </c>
      <c r="BM121" s="125">
        <v>50471927</v>
      </c>
      <c r="BN121" s="125">
        <v>0</v>
      </c>
      <c r="BO121" s="128"/>
      <c r="BP121" s="106">
        <v>2562620862</v>
      </c>
      <c r="BQ121" s="106">
        <v>2227039169</v>
      </c>
      <c r="BR121" s="107">
        <v>1934445</v>
      </c>
      <c r="BS121" s="108"/>
      <c r="BT121" s="124">
        <v>9233</v>
      </c>
      <c r="BU121" s="124">
        <v>1532</v>
      </c>
      <c r="BV121" s="124">
        <v>534</v>
      </c>
      <c r="BW121" s="124">
        <f t="shared" si="10"/>
        <v>11299</v>
      </c>
      <c r="BX121" s="89">
        <v>2131635667</v>
      </c>
      <c r="BY121" s="90">
        <f t="shared" si="7"/>
        <v>210164934</v>
      </c>
      <c r="BZ121" s="90">
        <f t="shared" si="7"/>
        <v>4976818</v>
      </c>
      <c r="CA121" s="89">
        <f t="shared" si="8"/>
        <v>177337738</v>
      </c>
      <c r="CB121" s="89">
        <f t="shared" si="9"/>
        <v>2524115157</v>
      </c>
    </row>
    <row r="122" spans="1:80" ht="15.75" thickTop="1" x14ac:dyDescent="0.25">
      <c r="A122" s="129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109"/>
      <c r="BE122" s="109"/>
      <c r="BF122" s="40"/>
      <c r="BI122" s="110"/>
      <c r="BJ122" s="110"/>
      <c r="BK122" s="110"/>
      <c r="BL122" s="110"/>
      <c r="BM122" s="40"/>
      <c r="BN122" s="40"/>
    </row>
    <row r="123" spans="1:80" x14ac:dyDescent="0.25">
      <c r="A123" s="129" t="s">
        <v>332</v>
      </c>
      <c r="B123" s="52">
        <v>158535542444</v>
      </c>
      <c r="C123" s="122">
        <v>20035721769</v>
      </c>
      <c r="D123" s="52">
        <v>63251627303</v>
      </c>
      <c r="E123" s="52">
        <v>1713805559</v>
      </c>
      <c r="F123" s="52">
        <f t="shared" ref="F123:BC123" si="11">SUM(F2:F121)</f>
        <v>10965835254</v>
      </c>
      <c r="G123" s="52">
        <f t="shared" si="11"/>
        <v>2265449799</v>
      </c>
      <c r="H123" s="52">
        <f t="shared" si="11"/>
        <v>1610712965</v>
      </c>
      <c r="I123" s="52">
        <f t="shared" si="11"/>
        <v>295275405</v>
      </c>
      <c r="J123" s="52">
        <f t="shared" si="11"/>
        <v>24887830</v>
      </c>
      <c r="K123" s="52">
        <f t="shared" si="11"/>
        <v>4044384</v>
      </c>
      <c r="L123" s="52">
        <f t="shared" si="11"/>
        <v>37703503099</v>
      </c>
      <c r="M123" s="52">
        <f t="shared" si="11"/>
        <v>13323324435</v>
      </c>
      <c r="N123" s="52">
        <f t="shared" si="11"/>
        <v>358456</v>
      </c>
      <c r="O123" s="52">
        <f t="shared" si="11"/>
        <v>81619</v>
      </c>
      <c r="P123" s="52">
        <f t="shared" si="11"/>
        <v>1922226282</v>
      </c>
      <c r="Q123" s="52">
        <f t="shared" si="11"/>
        <v>351785759</v>
      </c>
      <c r="R123" s="52">
        <f t="shared" si="11"/>
        <v>2013143163</v>
      </c>
      <c r="S123" s="52">
        <f t="shared" si="11"/>
        <v>1121618380</v>
      </c>
      <c r="T123" s="52">
        <f t="shared" si="11"/>
        <v>189893386</v>
      </c>
      <c r="U123" s="52">
        <f t="shared" si="11"/>
        <v>781237497</v>
      </c>
      <c r="V123" s="52">
        <f t="shared" si="11"/>
        <v>1922857882</v>
      </c>
      <c r="W123" s="52">
        <f t="shared" si="11"/>
        <v>698555126</v>
      </c>
      <c r="X123" s="52">
        <f t="shared" si="11"/>
        <v>2013132163</v>
      </c>
      <c r="Y123" s="52">
        <f t="shared" si="11"/>
        <v>1121713750</v>
      </c>
      <c r="Z123" s="52">
        <f t="shared" si="11"/>
        <v>353147664</v>
      </c>
      <c r="AA123" s="52">
        <f t="shared" si="11"/>
        <v>785058037</v>
      </c>
      <c r="AB123" s="52">
        <f t="shared" si="11"/>
        <v>-641397772</v>
      </c>
      <c r="AC123" s="52">
        <f t="shared" si="11"/>
        <v>-169937562</v>
      </c>
      <c r="AD123" s="52">
        <f t="shared" si="11"/>
        <v>7825228</v>
      </c>
      <c r="AE123" s="52">
        <f t="shared" si="11"/>
        <v>11162752</v>
      </c>
      <c r="AF123" s="52">
        <f t="shared" si="11"/>
        <v>2295246653</v>
      </c>
      <c r="AG123" s="52">
        <f t="shared" si="11"/>
        <v>344895333</v>
      </c>
      <c r="AH123" s="52">
        <f t="shared" si="11"/>
        <v>562097057.37704921</v>
      </c>
      <c r="AI123" s="52">
        <f t="shared" si="11"/>
        <v>1123299826.2295079</v>
      </c>
      <c r="AJ123" s="52">
        <f t="shared" si="11"/>
        <v>1963427487.6229506</v>
      </c>
      <c r="AK123" s="52">
        <f t="shared" si="11"/>
        <v>29169534762</v>
      </c>
      <c r="AL123" s="52">
        <f t="shared" si="11"/>
        <v>909414674</v>
      </c>
      <c r="AM123" s="52">
        <f t="shared" si="11"/>
        <v>127015422</v>
      </c>
      <c r="AN123" s="52">
        <f t="shared" si="11"/>
        <v>11257613842</v>
      </c>
      <c r="AO123" s="52">
        <f t="shared" si="11"/>
        <v>964293984</v>
      </c>
      <c r="AP123" s="52">
        <f t="shared" si="11"/>
        <v>19667555085</v>
      </c>
      <c r="AQ123" s="52">
        <f t="shared" si="11"/>
        <v>9610923904</v>
      </c>
      <c r="AR123" s="52">
        <f t="shared" si="11"/>
        <v>8980855112</v>
      </c>
      <c r="AS123" s="52">
        <f t="shared" si="11"/>
        <v>9251707503</v>
      </c>
      <c r="AT123" s="52">
        <f t="shared" si="11"/>
        <v>9522450472</v>
      </c>
      <c r="AU123" s="52">
        <f t="shared" si="11"/>
        <v>63035933</v>
      </c>
      <c r="AV123" s="52">
        <f t="shared" si="11"/>
        <v>51289838</v>
      </c>
      <c r="AW123" s="52">
        <f t="shared" si="11"/>
        <v>1032843761</v>
      </c>
      <c r="AX123" s="52">
        <f t="shared" si="11"/>
        <v>106804051</v>
      </c>
      <c r="AY123" s="52">
        <f t="shared" si="11"/>
        <v>365298838</v>
      </c>
      <c r="AZ123" s="52">
        <f t="shared" si="11"/>
        <v>0</v>
      </c>
      <c r="BA123" s="52">
        <f t="shared" si="11"/>
        <v>0</v>
      </c>
      <c r="BB123" s="52">
        <f t="shared" si="11"/>
        <v>0</v>
      </c>
      <c r="BC123" s="52">
        <f t="shared" si="11"/>
        <v>0</v>
      </c>
      <c r="BD123" s="52">
        <f>SUM(BD2:BD121)</f>
        <v>1569536135.99</v>
      </c>
      <c r="BE123" s="52">
        <f>SUM(BE2:BE121)</f>
        <v>800463426</v>
      </c>
      <c r="BF123" s="53">
        <f>SUM(BF2:BF122)</f>
        <v>1005000000</v>
      </c>
      <c r="BG123" s="53">
        <f>SUM(BG2:BG121)</f>
        <v>287181269</v>
      </c>
      <c r="BH123" s="53">
        <f>SUM(BH2:BH121)</f>
        <v>563100531</v>
      </c>
      <c r="BI123" s="111">
        <f t="shared" ref="BI123:BO123" si="12">SUM(BI2:BI122)</f>
        <v>5554714326</v>
      </c>
      <c r="BJ123" s="111">
        <f t="shared" si="12"/>
        <v>5497360358</v>
      </c>
      <c r="BK123" s="111">
        <f t="shared" si="12"/>
        <v>11336518235</v>
      </c>
      <c r="BL123" s="111">
        <f t="shared" si="12"/>
        <v>10476530879</v>
      </c>
      <c r="BM123" s="53">
        <f t="shared" si="12"/>
        <v>1500153790</v>
      </c>
      <c r="BN123" s="53">
        <f t="shared" si="12"/>
        <v>196073546</v>
      </c>
      <c r="BO123" s="53">
        <f t="shared" si="12"/>
        <v>0</v>
      </c>
      <c r="BP123" s="112">
        <v>316141260321.22943</v>
      </c>
      <c r="BQ123" s="112">
        <v>267304547617.22955</v>
      </c>
      <c r="BR123" s="112">
        <f>SUM(BR2:BR121)</f>
        <v>409207609</v>
      </c>
      <c r="BS123" s="113"/>
      <c r="BT123" s="52">
        <f>SUM(BT2:BT122)</f>
        <v>1783876</v>
      </c>
      <c r="BU123" s="52">
        <f>SUM(BU2:BU122)</f>
        <v>324350</v>
      </c>
      <c r="BV123" s="52">
        <f>SUM(BV2:BV122)</f>
        <v>132549</v>
      </c>
      <c r="BW123" s="52">
        <f>SUM(BW2:BW121)</f>
        <v>2240775</v>
      </c>
    </row>
    <row r="124" spans="1:80" x14ac:dyDescent="0.25">
      <c r="BD124" s="131"/>
    </row>
    <row r="125" spans="1:80" x14ac:dyDescent="0.25">
      <c r="BD125" s="131"/>
    </row>
    <row r="126" spans="1:80" x14ac:dyDescent="0.25">
      <c r="BD126" s="131"/>
    </row>
    <row r="128" spans="1:80" x14ac:dyDescent="0.25">
      <c r="B128" s="122">
        <v>250969076245.22952</v>
      </c>
    </row>
    <row r="129" spans="2:35" x14ac:dyDescent="0.25">
      <c r="B129" s="122">
        <v>85267090655</v>
      </c>
      <c r="P129" s="122">
        <f>P123+Q123+R123-S123-T123-U123</f>
        <v>2194405941</v>
      </c>
      <c r="AI129" s="122">
        <f>AH123+AI123</f>
        <v>1685396883.6065571</v>
      </c>
    </row>
    <row r="130" spans="2:35" x14ac:dyDescent="0.25">
      <c r="B130" s="122">
        <v>30078949436</v>
      </c>
    </row>
  </sheetData>
  <pageMargins left="0.75" right="0.75" top="1" bottom="1" header="0.5" footer="0.5"/>
  <pageSetup orientation="landscape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X14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H18" sqref="H18"/>
    </sheetView>
  </sheetViews>
  <sheetFormatPr defaultColWidth="9.140625" defaultRowHeight="15" x14ac:dyDescent="0.25"/>
  <cols>
    <col min="1" max="1" width="15.42578125" style="113" customWidth="1"/>
    <col min="2" max="2" width="17.42578125" style="114" customWidth="1"/>
    <col min="3" max="3" width="16" style="114" bestFit="1" customWidth="1"/>
    <col min="4" max="4" width="16.42578125" style="114" customWidth="1"/>
    <col min="5" max="5" width="14.85546875" style="114" customWidth="1"/>
    <col min="6" max="6" width="16.42578125" style="114" customWidth="1"/>
    <col min="7" max="8" width="13.85546875" style="114" customWidth="1"/>
    <col min="9" max="9" width="12.85546875" style="114" customWidth="1"/>
    <col min="10" max="11" width="14.28515625" style="114" customWidth="1"/>
    <col min="12" max="13" width="14.85546875" style="114" customWidth="1"/>
    <col min="14" max="14" width="13.28515625" style="114" bestFit="1" customWidth="1"/>
    <col min="15" max="15" width="13.7109375" style="114" customWidth="1"/>
    <col min="16" max="16" width="14.85546875" style="114" customWidth="1"/>
    <col min="17" max="17" width="13.85546875" style="114" customWidth="1"/>
    <col min="18" max="18" width="14.85546875" style="114" customWidth="1"/>
    <col min="19" max="20" width="13.85546875" style="114" customWidth="1"/>
    <col min="21" max="22" width="14.85546875" style="114" customWidth="1"/>
    <col min="23" max="23" width="13.85546875" style="114" customWidth="1"/>
    <col min="24" max="24" width="14.85546875" style="114" customWidth="1"/>
    <col min="25" max="25" width="18.7109375" style="114" bestFit="1" customWidth="1"/>
    <col min="26" max="26" width="13.85546875" style="114" customWidth="1"/>
    <col min="27" max="27" width="14.85546875" style="114" customWidth="1"/>
    <col min="28" max="28" width="16.5703125" style="114" customWidth="1"/>
    <col min="29" max="29" width="16.28515625" style="114" customWidth="1"/>
    <col min="30" max="30" width="11.28515625" style="114" customWidth="1"/>
    <col min="31" max="32" width="13.85546875" style="114" customWidth="1"/>
    <col min="33" max="33" width="12.28515625" style="114" bestFit="1" customWidth="1"/>
    <col min="34" max="34" width="13.85546875" style="114" customWidth="1"/>
    <col min="35" max="36" width="14.85546875" style="114" customWidth="1"/>
    <col min="37" max="37" width="16.42578125" style="114" customWidth="1"/>
    <col min="38" max="38" width="15.42578125" style="114" customWidth="1"/>
    <col min="39" max="39" width="15.140625" style="114" customWidth="1"/>
    <col min="40" max="40" width="16.42578125" style="114" customWidth="1"/>
    <col min="41" max="41" width="13.85546875" style="114" customWidth="1"/>
    <col min="42" max="42" width="16.85546875" style="114" customWidth="1"/>
    <col min="43" max="43" width="16.42578125" style="114" customWidth="1"/>
    <col min="44" max="44" width="14.85546875" style="114" customWidth="1"/>
    <col min="45" max="45" width="16.42578125" style="114" customWidth="1"/>
    <col min="46" max="46" width="14.85546875" style="114" customWidth="1"/>
    <col min="47" max="47" width="13.85546875" style="114" customWidth="1"/>
    <col min="48" max="48" width="12.85546875" style="114" customWidth="1"/>
    <col min="49" max="49" width="14.85546875" style="114" customWidth="1"/>
    <col min="50" max="50" width="13.85546875" style="114" customWidth="1"/>
    <col min="51" max="51" width="16.5703125" style="114" customWidth="1"/>
    <col min="52" max="52" width="18" style="114" hidden="1" customWidth="1"/>
    <col min="53" max="53" width="16.42578125" style="114" hidden="1" customWidth="1"/>
    <col min="54" max="55" width="14.85546875" style="114" hidden="1" customWidth="1"/>
    <col min="56" max="56" width="16.85546875" style="114" customWidth="1"/>
    <col min="57" max="57" width="14.85546875" style="114" customWidth="1"/>
    <col min="58" max="58" width="14.42578125" style="114" customWidth="1"/>
    <col min="59" max="59" width="15.5703125" style="114" customWidth="1"/>
    <col min="60" max="60" width="15.42578125" style="114" customWidth="1"/>
    <col min="61" max="61" width="17.85546875" style="114" customWidth="1"/>
    <col min="62" max="62" width="18.28515625" style="114" customWidth="1"/>
    <col min="63" max="63" width="18.42578125" style="114" customWidth="1"/>
    <col min="64" max="64" width="17.28515625" style="114" customWidth="1"/>
    <col min="65" max="65" width="14.85546875" style="114" customWidth="1"/>
    <col min="66" max="67" width="13.85546875" style="114" customWidth="1"/>
    <col min="68" max="68" width="16.28515625" style="88" customWidth="1"/>
    <col min="69" max="69" width="16.5703125" style="88" customWidth="1"/>
    <col min="70" max="70" width="12.140625" style="88" customWidth="1"/>
    <col min="71" max="71" width="9.140625" style="88"/>
    <col min="72" max="72" width="15" style="88" bestFit="1" customWidth="1"/>
    <col min="73" max="73" width="13.42578125" style="88" bestFit="1" customWidth="1"/>
    <col min="74" max="74" width="11.7109375" style="88" bestFit="1" customWidth="1"/>
    <col min="75" max="75" width="14" style="88" bestFit="1" customWidth="1"/>
    <col min="76" max="76" width="15" style="88" bestFit="1" customWidth="1"/>
    <col min="77" max="16384" width="9.140625" style="88"/>
  </cols>
  <sheetData>
    <row r="1" spans="1:76" s="115" customFormat="1" ht="64.5" thickBot="1" x14ac:dyDescent="0.25">
      <c r="A1" s="75" t="str">
        <f>'[2]CO CODE'!E1&amp;" "&amp;"COUNTY"</f>
        <v>2017 COUNTY</v>
      </c>
      <c r="B1" s="62" t="s">
        <v>0</v>
      </c>
      <c r="C1" s="62" t="s">
        <v>1</v>
      </c>
      <c r="D1" s="62" t="s">
        <v>2</v>
      </c>
      <c r="E1" s="62" t="s">
        <v>3</v>
      </c>
      <c r="F1" s="62" t="s">
        <v>4</v>
      </c>
      <c r="G1" s="62" t="s">
        <v>5</v>
      </c>
      <c r="H1" s="62" t="s">
        <v>6</v>
      </c>
      <c r="I1" s="132" t="s">
        <v>7</v>
      </c>
      <c r="J1" s="62" t="s">
        <v>8</v>
      </c>
      <c r="K1" s="62" t="s">
        <v>9</v>
      </c>
      <c r="L1" s="62" t="s">
        <v>10</v>
      </c>
      <c r="M1" s="62" t="s">
        <v>11</v>
      </c>
      <c r="N1" s="62" t="s">
        <v>12</v>
      </c>
      <c r="O1" s="62" t="s">
        <v>13</v>
      </c>
      <c r="P1" s="62" t="str">
        <f>'[2]CO CODE'!$E$1&amp;" "&amp;"RES ADD TAX"</f>
        <v>2017 RES ADD TAX</v>
      </c>
      <c r="Q1" s="62" t="str">
        <f>'[2]CO CODE'!$E$1&amp;" "&amp;"FARM ADD TAX"</f>
        <v>2017 FARM ADD TAX</v>
      </c>
      <c r="R1" s="62" t="str">
        <f>'[2]CO CODE'!$E$1&amp;" "&amp;"COMM ADD TAX"</f>
        <v>2017 COMM ADD TAX</v>
      </c>
      <c r="S1" s="62" t="str">
        <f>'[2]CO CODE'!$E$1-1&amp;" "&amp;"RES.DEL TAX"</f>
        <v>2016 RES.DEL TAX</v>
      </c>
      <c r="T1" s="62" t="str">
        <f>'[2]CO CODE'!$E$1-1&amp;" "&amp;"FARM DEL TAX"</f>
        <v>2016 FARM DEL TAX</v>
      </c>
      <c r="U1" s="62" t="str">
        <f>'[2]CO CODE'!$E$1-1&amp;" "&amp;"COMM.DEL. TAX"</f>
        <v>2016 COMM.DEL. TAX</v>
      </c>
      <c r="V1" s="62" t="str">
        <f>'[2]CO CODE'!$E$1&amp;" "&amp;"RES ADD FAIR CASH"</f>
        <v>2017 RES ADD FAIR CASH</v>
      </c>
      <c r="W1" s="62" t="str">
        <f>'[2]CO CODE'!$E$1&amp;" "&amp;"FARM ADD FAIR CASH"</f>
        <v>2017 FARM ADD FAIR CASH</v>
      </c>
      <c r="X1" s="62" t="str">
        <f>'[2]CO CODE'!$E$1&amp;" "&amp;"COMM ADD FAIR CASH"</f>
        <v>2017 COMM ADD FAIR CASH</v>
      </c>
      <c r="Y1" s="62" t="str">
        <f>'[2]CO CODE'!$E$1-1&amp;" "&amp;"RES DEL FAIR CASH"</f>
        <v>2016 RES DEL FAIR CASH</v>
      </c>
      <c r="Z1" s="62" t="str">
        <f>'[2]CO CODE'!$E$1-1&amp;" "&amp;"FARM DEL FAIR CASH"</f>
        <v>2016 FARM DEL FAIR CASH</v>
      </c>
      <c r="AA1" s="62" t="str">
        <f>'[2]CO CODE'!$E$1-1&amp;" "&amp;"COMM DEL FAIR CASH"</f>
        <v>2016 COMM DEL FAIR CASH</v>
      </c>
      <c r="AB1" s="62" t="str">
        <f>'[2]CO CODE'!$E$1-1&amp;" "&amp;"AMT. REAL EXONERATIONS"</f>
        <v>2016 AMT. REAL EXONERATIONS</v>
      </c>
      <c r="AC1" s="62" t="str">
        <f>'[2]CO CODE'!$E$1-1&amp;" "&amp;"AMT. TANG. EXONERATIONS"</f>
        <v>2016 AMT. TANG. EXONERATIONS</v>
      </c>
      <c r="AD1" s="62" t="s">
        <v>14</v>
      </c>
      <c r="AE1" s="62" t="s">
        <v>15</v>
      </c>
      <c r="AF1" s="62" t="s">
        <v>16</v>
      </c>
      <c r="AG1" s="62" t="s">
        <v>17</v>
      </c>
      <c r="AH1" s="62" t="s">
        <v>18</v>
      </c>
      <c r="AI1" s="62" t="s">
        <v>19</v>
      </c>
      <c r="AJ1" s="62" t="str">
        <f>'[2]CO CODE'!$E$1&amp;" "&amp;"TOTAL UNMINED C0AL"</f>
        <v>2017 TOTAL UNMINED C0AL</v>
      </c>
      <c r="AK1" s="62" t="s">
        <v>21</v>
      </c>
      <c r="AL1" s="62" t="s">
        <v>22</v>
      </c>
      <c r="AM1" s="62" t="s">
        <v>23</v>
      </c>
      <c r="AN1" s="62" t="s">
        <v>24</v>
      </c>
      <c r="AO1" s="62" t="s">
        <v>25</v>
      </c>
      <c r="AP1" s="62" t="s">
        <v>26</v>
      </c>
      <c r="AQ1" s="62" t="s">
        <v>27</v>
      </c>
      <c r="AR1" s="62" t="s">
        <v>28</v>
      </c>
      <c r="AS1" s="62" t="s">
        <v>29</v>
      </c>
      <c r="AT1" s="62" t="s">
        <v>30</v>
      </c>
      <c r="AU1" s="62" t="s">
        <v>31</v>
      </c>
      <c r="AV1" s="62" t="s">
        <v>32</v>
      </c>
      <c r="AW1" s="62" t="s">
        <v>33</v>
      </c>
      <c r="AX1" s="62" t="s">
        <v>34</v>
      </c>
      <c r="AY1" s="62" t="s">
        <v>35</v>
      </c>
      <c r="AZ1" s="62" t="s">
        <v>36</v>
      </c>
      <c r="BA1" s="62" t="s">
        <v>37</v>
      </c>
      <c r="BB1" s="62" t="s">
        <v>38</v>
      </c>
      <c r="BC1" s="62" t="s">
        <v>39</v>
      </c>
      <c r="BD1" s="62" t="s">
        <v>40</v>
      </c>
      <c r="BE1" s="62" t="s">
        <v>41</v>
      </c>
      <c r="BF1" s="62" t="s">
        <v>42</v>
      </c>
      <c r="BG1" s="62" t="s">
        <v>333</v>
      </c>
      <c r="BH1" s="62" t="s">
        <v>43</v>
      </c>
      <c r="BI1" s="62" t="s">
        <v>44</v>
      </c>
      <c r="BJ1" s="62" t="s">
        <v>334</v>
      </c>
      <c r="BK1" s="62" t="s">
        <v>45</v>
      </c>
      <c r="BL1" s="62" t="s">
        <v>335</v>
      </c>
      <c r="BM1" s="62" t="s">
        <v>46</v>
      </c>
      <c r="BN1" s="62" t="s">
        <v>47</v>
      </c>
      <c r="BO1" s="62" t="s">
        <v>48</v>
      </c>
      <c r="BP1" s="76" t="s">
        <v>49</v>
      </c>
      <c r="BQ1" s="76" t="s">
        <v>50</v>
      </c>
      <c r="BR1" s="76" t="s">
        <v>51</v>
      </c>
      <c r="BS1" s="76"/>
      <c r="BT1" s="76" t="s">
        <v>326</v>
      </c>
      <c r="BU1" s="133" t="s">
        <v>327</v>
      </c>
      <c r="BV1" s="133" t="s">
        <v>328</v>
      </c>
      <c r="BW1" s="133" t="s">
        <v>329</v>
      </c>
      <c r="BX1" s="133" t="s">
        <v>330</v>
      </c>
    </row>
    <row r="2" spans="1:76" x14ac:dyDescent="0.25">
      <c r="A2" s="79" t="s">
        <v>56</v>
      </c>
      <c r="B2" s="114">
        <v>297568000</v>
      </c>
      <c r="C2" s="114">
        <v>153360600</v>
      </c>
      <c r="D2" s="114">
        <v>113312490</v>
      </c>
      <c r="E2" s="114">
        <v>0</v>
      </c>
      <c r="F2" s="114">
        <v>43252600</v>
      </c>
      <c r="G2" s="114">
        <v>12062200</v>
      </c>
      <c r="H2" s="114">
        <v>21970400</v>
      </c>
      <c r="I2" s="114">
        <v>2804000</v>
      </c>
      <c r="J2" s="114">
        <v>0</v>
      </c>
      <c r="K2" s="114">
        <v>37600</v>
      </c>
      <c r="L2" s="114">
        <v>376636800</v>
      </c>
      <c r="M2" s="114">
        <v>49466875</v>
      </c>
      <c r="N2" s="114">
        <v>1852</v>
      </c>
      <c r="O2" s="114">
        <v>488</v>
      </c>
      <c r="P2" s="114">
        <v>4432000</v>
      </c>
      <c r="Q2" s="114">
        <v>3969000</v>
      </c>
      <c r="R2" s="114">
        <v>5448000</v>
      </c>
      <c r="S2" s="114">
        <v>209900</v>
      </c>
      <c r="T2" s="114">
        <v>478600</v>
      </c>
      <c r="U2" s="114">
        <v>3350000</v>
      </c>
      <c r="V2" s="114">
        <v>4432000</v>
      </c>
      <c r="W2" s="114">
        <v>3969000</v>
      </c>
      <c r="X2" s="114">
        <v>5448000</v>
      </c>
      <c r="Y2" s="114">
        <v>209900</v>
      </c>
      <c r="Z2" s="114">
        <v>478600</v>
      </c>
      <c r="AA2" s="114">
        <v>3350000</v>
      </c>
      <c r="AB2" s="114">
        <v>-5101700</v>
      </c>
      <c r="AC2" s="114">
        <v>-32566</v>
      </c>
      <c r="AD2" s="114">
        <v>109163</v>
      </c>
      <c r="AE2" s="114">
        <v>0</v>
      </c>
      <c r="AF2" s="114">
        <v>0</v>
      </c>
      <c r="AG2" s="114">
        <v>223938</v>
      </c>
      <c r="AH2" s="114">
        <v>2435401.6393442624</v>
      </c>
      <c r="AI2" s="114">
        <v>263418.03278688528</v>
      </c>
      <c r="AK2" s="82">
        <v>104748366</v>
      </c>
      <c r="AL2" s="83">
        <v>2958610</v>
      </c>
      <c r="AM2" s="114">
        <v>872094</v>
      </c>
      <c r="AN2" s="114">
        <v>17588268</v>
      </c>
      <c r="AO2" s="114">
        <v>187876</v>
      </c>
      <c r="AP2" s="114">
        <v>14269485</v>
      </c>
      <c r="AQ2" s="114">
        <v>19429684</v>
      </c>
      <c r="AR2" s="114">
        <v>16804619</v>
      </c>
      <c r="AS2" s="114">
        <v>0</v>
      </c>
      <c r="AT2" s="114">
        <v>1153146</v>
      </c>
      <c r="AU2" s="114">
        <v>0</v>
      </c>
      <c r="AV2" s="114">
        <v>0</v>
      </c>
      <c r="AW2" s="114">
        <v>0</v>
      </c>
      <c r="AX2" s="114">
        <v>422309</v>
      </c>
      <c r="AY2" s="114">
        <v>64300</v>
      </c>
      <c r="BD2" s="82">
        <v>5524702.3200000003</v>
      </c>
      <c r="BE2" s="82">
        <v>2762351</v>
      </c>
      <c r="BF2" s="117">
        <v>0</v>
      </c>
      <c r="BG2" s="118">
        <v>0</v>
      </c>
      <c r="BH2" s="118">
        <v>0</v>
      </c>
      <c r="BI2" s="117">
        <v>25069540</v>
      </c>
      <c r="BJ2" s="117">
        <v>25069540</v>
      </c>
      <c r="BK2" s="117">
        <v>41899787.5</v>
      </c>
      <c r="BL2" s="117">
        <v>41280021.5</v>
      </c>
      <c r="BM2" s="117">
        <v>0</v>
      </c>
      <c r="BN2" s="117">
        <v>0</v>
      </c>
      <c r="BO2" s="119"/>
      <c r="BP2" s="86">
        <f>B2+C2+D2+AH2+AI2+AJ2+AK2+AL2+AN2+AO2+AQ2+BE2+BG2+BJ2+BL2+BM2+BN2+BO2</f>
        <v>780964626.17213106</v>
      </c>
      <c r="BQ2" s="86">
        <f>B2+C2+D2+AH2+AI2+AJ2+AN2+AO2+AQ2</f>
        <v>604145737.67213106</v>
      </c>
      <c r="BR2" s="87">
        <v>272500</v>
      </c>
      <c r="BT2" s="86">
        <f t="shared" ref="BT2:BT33" si="0">B2+C2+D2</f>
        <v>564241090</v>
      </c>
      <c r="BU2" s="82">
        <f t="shared" ref="BU2:BU33" si="1">AK2</f>
        <v>104748366</v>
      </c>
      <c r="BV2" s="82">
        <f t="shared" ref="BV2:BV33" si="2">AL2</f>
        <v>2958610</v>
      </c>
      <c r="BW2" s="86">
        <f t="shared" ref="BW2:BW33" si="3">AN2+AO2+AQ2+AS2</f>
        <v>37205828</v>
      </c>
      <c r="BX2" s="86">
        <f>SUM(BT2:BW2)</f>
        <v>709153894</v>
      </c>
    </row>
    <row r="3" spans="1:76" x14ac:dyDescent="0.25">
      <c r="A3" s="91" t="s">
        <v>57</v>
      </c>
      <c r="B3" s="114">
        <v>445690678</v>
      </c>
      <c r="C3" s="114">
        <v>168903293</v>
      </c>
      <c r="D3" s="114">
        <v>120191762</v>
      </c>
      <c r="E3" s="114">
        <v>3150000</v>
      </c>
      <c r="F3" s="114">
        <v>47093041</v>
      </c>
      <c r="G3" s="114">
        <v>14560613</v>
      </c>
      <c r="H3" s="114">
        <v>19466810</v>
      </c>
      <c r="I3" s="114">
        <v>2506515</v>
      </c>
      <c r="J3" s="114">
        <v>37600</v>
      </c>
      <c r="K3" s="114">
        <v>0</v>
      </c>
      <c r="L3" s="114">
        <v>299380072</v>
      </c>
      <c r="M3" s="114">
        <v>114487910</v>
      </c>
      <c r="N3" s="114">
        <v>1878</v>
      </c>
      <c r="O3" s="114">
        <v>517</v>
      </c>
      <c r="P3" s="114">
        <v>12280610</v>
      </c>
      <c r="Q3" s="114">
        <v>5277830</v>
      </c>
      <c r="R3" s="114">
        <v>3557500</v>
      </c>
      <c r="S3" s="114">
        <v>5730663</v>
      </c>
      <c r="T3" s="114">
        <v>2285387</v>
      </c>
      <c r="U3" s="114">
        <v>1279700</v>
      </c>
      <c r="V3" s="114">
        <v>12280610</v>
      </c>
      <c r="W3" s="114">
        <v>5112732</v>
      </c>
      <c r="X3" s="114">
        <v>3557500</v>
      </c>
      <c r="Y3" s="114">
        <v>5730663</v>
      </c>
      <c r="Z3" s="114">
        <v>2866393</v>
      </c>
      <c r="AA3" s="114">
        <v>1279700</v>
      </c>
      <c r="AB3" s="114">
        <v>-2708746</v>
      </c>
      <c r="AC3" s="114">
        <v>-185830</v>
      </c>
      <c r="AD3" s="114">
        <v>188406</v>
      </c>
      <c r="AE3" s="114">
        <v>0</v>
      </c>
      <c r="AF3" s="114">
        <v>0</v>
      </c>
      <c r="AG3" s="114">
        <v>1023</v>
      </c>
      <c r="AH3" s="114">
        <v>539057.37704918033</v>
      </c>
      <c r="AI3" s="114">
        <v>263704.91803278693</v>
      </c>
      <c r="AJ3" s="121"/>
      <c r="AK3" s="82">
        <v>114009943</v>
      </c>
      <c r="AL3" s="83">
        <v>6247614</v>
      </c>
      <c r="AM3" s="114">
        <v>99275</v>
      </c>
      <c r="AN3" s="114">
        <v>27426157</v>
      </c>
      <c r="AO3" s="114">
        <v>1933686</v>
      </c>
      <c r="AP3" s="114">
        <v>131986819</v>
      </c>
      <c r="AQ3" s="114">
        <v>43725340</v>
      </c>
      <c r="AR3" s="114">
        <v>15339302</v>
      </c>
      <c r="AS3" s="114">
        <v>33766575</v>
      </c>
      <c r="AT3" s="114">
        <v>0</v>
      </c>
      <c r="AU3" s="114">
        <v>0</v>
      </c>
      <c r="AV3" s="114">
        <v>0</v>
      </c>
      <c r="AW3" s="114">
        <v>0</v>
      </c>
      <c r="AX3" s="114">
        <v>52965</v>
      </c>
      <c r="AY3" s="114">
        <v>0</v>
      </c>
      <c r="BD3" s="82">
        <v>6013182.0700000003</v>
      </c>
      <c r="BE3" s="82">
        <v>3006591</v>
      </c>
      <c r="BF3" s="117">
        <v>0</v>
      </c>
      <c r="BG3" s="118">
        <v>0</v>
      </c>
      <c r="BH3" s="118">
        <v>0</v>
      </c>
      <c r="BI3" s="117">
        <v>21701355</v>
      </c>
      <c r="BJ3" s="117">
        <v>21701355</v>
      </c>
      <c r="BK3" s="117">
        <v>42748862.5</v>
      </c>
      <c r="BL3" s="117">
        <v>42671299.5</v>
      </c>
      <c r="BM3" s="117">
        <v>0</v>
      </c>
      <c r="BN3" s="117">
        <v>0</v>
      </c>
      <c r="BO3" s="119"/>
      <c r="BP3" s="86">
        <f t="shared" ref="BP3:BP66" si="4">B3+C3+D3+AH3+AI3+AJ3+AK3+AL3+AN3+AO3+AQ3+BE3+BG3+BJ3+BL3+BM3+BN3+BO3</f>
        <v>996310480.79508197</v>
      </c>
      <c r="BQ3" s="86">
        <f t="shared" ref="BQ3:BQ66" si="5">B3+C3+D3+AH3+AI3+AJ3+AN3+AO3+AQ3</f>
        <v>808673678.29508197</v>
      </c>
      <c r="BR3" s="87">
        <v>1298043</v>
      </c>
      <c r="BT3" s="86">
        <f t="shared" si="0"/>
        <v>734785733</v>
      </c>
      <c r="BU3" s="82">
        <f t="shared" si="1"/>
        <v>114009943</v>
      </c>
      <c r="BV3" s="82">
        <f t="shared" si="2"/>
        <v>6247614</v>
      </c>
      <c r="BW3" s="86">
        <f t="shared" si="3"/>
        <v>106851758</v>
      </c>
      <c r="BX3" s="86">
        <f t="shared" ref="BX3:BX66" si="6">SUM(BT3:BW3)</f>
        <v>961895048</v>
      </c>
    </row>
    <row r="4" spans="1:76" x14ac:dyDescent="0.25">
      <c r="A4" s="91" t="s">
        <v>58</v>
      </c>
      <c r="B4" s="114">
        <v>879039011</v>
      </c>
      <c r="C4" s="114">
        <v>203961945</v>
      </c>
      <c r="D4" s="114">
        <v>229885301</v>
      </c>
      <c r="E4" s="114">
        <v>0</v>
      </c>
      <c r="F4" s="114">
        <v>59183800</v>
      </c>
      <c r="G4" s="114">
        <v>8752300</v>
      </c>
      <c r="H4" s="114">
        <v>12269400</v>
      </c>
      <c r="I4" s="114">
        <v>1387000</v>
      </c>
      <c r="J4" s="114">
        <v>300800</v>
      </c>
      <c r="K4" s="114">
        <v>0</v>
      </c>
      <c r="L4" s="114">
        <v>165290080</v>
      </c>
      <c r="M4" s="114">
        <v>132840600</v>
      </c>
      <c r="N4" s="114">
        <v>1932</v>
      </c>
      <c r="O4" s="114">
        <v>283</v>
      </c>
      <c r="P4" s="114">
        <v>7973430</v>
      </c>
      <c r="Q4" s="114">
        <v>720000</v>
      </c>
      <c r="R4" s="114">
        <v>0</v>
      </c>
      <c r="S4" s="114">
        <v>3783339</v>
      </c>
      <c r="T4" s="114">
        <v>446500</v>
      </c>
      <c r="U4" s="114">
        <v>871140</v>
      </c>
      <c r="V4" s="114">
        <v>7973430</v>
      </c>
      <c r="W4" s="114">
        <v>700000</v>
      </c>
      <c r="X4" s="114">
        <v>0</v>
      </c>
      <c r="Y4" s="114">
        <v>3783339</v>
      </c>
      <c r="Z4" s="114">
        <v>728000</v>
      </c>
      <c r="AA4" s="114">
        <v>871140</v>
      </c>
      <c r="AB4" s="114">
        <v>-3391800</v>
      </c>
      <c r="AC4" s="114">
        <v>0</v>
      </c>
      <c r="AD4" s="114">
        <v>0</v>
      </c>
      <c r="AE4" s="114">
        <v>0</v>
      </c>
      <c r="AF4" s="114">
        <v>0</v>
      </c>
      <c r="AG4" s="114">
        <v>111807</v>
      </c>
      <c r="AH4" s="114">
        <v>0</v>
      </c>
      <c r="AI4" s="114">
        <v>85549.18032786886</v>
      </c>
      <c r="AJ4" s="121"/>
      <c r="AK4" s="82">
        <v>166666391</v>
      </c>
      <c r="AL4" s="83">
        <v>4414644</v>
      </c>
      <c r="AM4" s="114">
        <v>0</v>
      </c>
      <c r="AN4" s="114">
        <v>22236067</v>
      </c>
      <c r="AO4" s="114">
        <v>5586902</v>
      </c>
      <c r="AP4" s="114">
        <v>125050685</v>
      </c>
      <c r="AQ4" s="114">
        <v>49235903</v>
      </c>
      <c r="AR4" s="114">
        <v>23744501</v>
      </c>
      <c r="AS4" s="114">
        <v>31665798</v>
      </c>
      <c r="AT4" s="114">
        <v>129866</v>
      </c>
      <c r="AU4" s="114">
        <v>0</v>
      </c>
      <c r="AV4" s="114">
        <v>0</v>
      </c>
      <c r="AW4" s="114">
        <v>12121907</v>
      </c>
      <c r="AX4" s="114">
        <v>8189</v>
      </c>
      <c r="AY4" s="114">
        <v>32500</v>
      </c>
      <c r="BD4" s="82">
        <v>8790420.6300000008</v>
      </c>
      <c r="BE4" s="82">
        <v>4395210</v>
      </c>
      <c r="BF4" s="117">
        <v>0</v>
      </c>
      <c r="BG4" s="118">
        <v>1797769</v>
      </c>
      <c r="BH4" s="118">
        <v>3457248</v>
      </c>
      <c r="BI4" s="117">
        <v>18089498</v>
      </c>
      <c r="BJ4" s="117">
        <v>18089498</v>
      </c>
      <c r="BK4" s="117">
        <v>37440033</v>
      </c>
      <c r="BL4" s="117">
        <v>35449819</v>
      </c>
      <c r="BM4" s="117">
        <v>127161711</v>
      </c>
      <c r="BN4" s="117">
        <v>0</v>
      </c>
      <c r="BO4" s="119"/>
      <c r="BP4" s="86">
        <f t="shared" si="4"/>
        <v>1748005720.1803279</v>
      </c>
      <c r="BQ4" s="86">
        <f t="shared" si="5"/>
        <v>1390030678.1803279</v>
      </c>
      <c r="BR4" s="87">
        <v>973848</v>
      </c>
      <c r="BT4" s="86">
        <f t="shared" si="0"/>
        <v>1312886257</v>
      </c>
      <c r="BU4" s="82">
        <f t="shared" si="1"/>
        <v>166666391</v>
      </c>
      <c r="BV4" s="82">
        <f t="shared" si="2"/>
        <v>4414644</v>
      </c>
      <c r="BW4" s="86">
        <f t="shared" si="3"/>
        <v>108724670</v>
      </c>
      <c r="BX4" s="86">
        <f t="shared" si="6"/>
        <v>1592691962</v>
      </c>
    </row>
    <row r="5" spans="1:76" x14ac:dyDescent="0.25">
      <c r="A5" s="91" t="s">
        <v>59</v>
      </c>
      <c r="B5" s="114">
        <v>174203107</v>
      </c>
      <c r="C5" s="114">
        <v>149276040</v>
      </c>
      <c r="D5" s="114">
        <v>66306751</v>
      </c>
      <c r="E5" s="114">
        <v>0</v>
      </c>
      <c r="F5" s="114">
        <v>25008180</v>
      </c>
      <c r="G5" s="114">
        <v>5865485</v>
      </c>
      <c r="H5" s="114">
        <v>6755830</v>
      </c>
      <c r="I5" s="114">
        <v>902400</v>
      </c>
      <c r="J5" s="114">
        <v>15000</v>
      </c>
      <c r="K5" s="114">
        <v>0</v>
      </c>
      <c r="L5" s="114">
        <v>284645726</v>
      </c>
      <c r="M5" s="114">
        <v>46064773</v>
      </c>
      <c r="N5" s="114">
        <v>886</v>
      </c>
      <c r="O5" s="114">
        <v>200</v>
      </c>
      <c r="P5" s="114">
        <v>2489500</v>
      </c>
      <c r="Q5" s="114">
        <v>1822511</v>
      </c>
      <c r="R5" s="114">
        <v>3086300</v>
      </c>
      <c r="S5" s="114">
        <v>630476</v>
      </c>
      <c r="T5" s="114">
        <v>536411</v>
      </c>
      <c r="U5" s="114">
        <v>24515169</v>
      </c>
      <c r="V5" s="114">
        <v>2489500</v>
      </c>
      <c r="W5" s="114">
        <v>2502478</v>
      </c>
      <c r="X5" s="114">
        <v>3086300</v>
      </c>
      <c r="Y5" s="114">
        <v>630476</v>
      </c>
      <c r="Z5" s="114">
        <v>511457</v>
      </c>
      <c r="AA5" s="114">
        <v>24515169</v>
      </c>
      <c r="AB5" s="114">
        <v>-1694600</v>
      </c>
      <c r="AC5" s="114">
        <v>-2454320</v>
      </c>
      <c r="AD5" s="114">
        <v>33042</v>
      </c>
      <c r="AE5" s="114">
        <v>4077</v>
      </c>
      <c r="AF5" s="114">
        <v>2152</v>
      </c>
      <c r="AG5" s="114">
        <v>142386</v>
      </c>
      <c r="AH5" s="114">
        <v>0</v>
      </c>
      <c r="AI5" s="114">
        <v>4295.0819672131147</v>
      </c>
      <c r="AJ5" s="121"/>
      <c r="AK5" s="82">
        <v>73289683</v>
      </c>
      <c r="AL5" s="83">
        <v>2696213</v>
      </c>
      <c r="AM5" s="114">
        <v>0</v>
      </c>
      <c r="AN5" s="114">
        <v>31841195</v>
      </c>
      <c r="AO5" s="114">
        <v>6304082</v>
      </c>
      <c r="AP5" s="114">
        <v>140596883</v>
      </c>
      <c r="AQ5" s="114">
        <v>9110505</v>
      </c>
      <c r="AR5" s="114">
        <v>3450016</v>
      </c>
      <c r="AS5" s="114">
        <v>1831121</v>
      </c>
      <c r="AT5" s="114">
        <v>389622</v>
      </c>
      <c r="AU5" s="114">
        <v>0</v>
      </c>
      <c r="AV5" s="114">
        <v>0</v>
      </c>
      <c r="AW5" s="114">
        <v>14639165</v>
      </c>
      <c r="AX5" s="114">
        <v>0</v>
      </c>
      <c r="AY5" s="114">
        <v>0</v>
      </c>
      <c r="BD5" s="82">
        <v>3865489.24</v>
      </c>
      <c r="BE5" s="82">
        <v>1932745</v>
      </c>
      <c r="BF5" s="117">
        <v>28943005</v>
      </c>
      <c r="BG5" s="118">
        <v>1069388</v>
      </c>
      <c r="BH5" s="118">
        <v>2056516</v>
      </c>
      <c r="BI5" s="117">
        <v>16053734</v>
      </c>
      <c r="BJ5" s="117">
        <v>16053734</v>
      </c>
      <c r="BK5" s="117">
        <v>51312208</v>
      </c>
      <c r="BL5" s="117">
        <v>44518765</v>
      </c>
      <c r="BM5" s="117">
        <v>0</v>
      </c>
      <c r="BN5" s="117">
        <v>0</v>
      </c>
      <c r="BO5" s="119"/>
      <c r="BP5" s="86">
        <f t="shared" si="4"/>
        <v>576606503.08196723</v>
      </c>
      <c r="BQ5" s="86">
        <f t="shared" si="5"/>
        <v>437045975.08196723</v>
      </c>
      <c r="BR5" s="87">
        <v>2187473</v>
      </c>
      <c r="BT5" s="86">
        <f t="shared" si="0"/>
        <v>389785898</v>
      </c>
      <c r="BU5" s="82">
        <f t="shared" si="1"/>
        <v>73289683</v>
      </c>
      <c r="BV5" s="82">
        <f t="shared" si="2"/>
        <v>2696213</v>
      </c>
      <c r="BW5" s="86">
        <f t="shared" si="3"/>
        <v>49086903</v>
      </c>
      <c r="BX5" s="86">
        <f t="shared" si="6"/>
        <v>514858697</v>
      </c>
    </row>
    <row r="6" spans="1:76" x14ac:dyDescent="0.25">
      <c r="A6" s="91" t="s">
        <v>60</v>
      </c>
      <c r="B6" s="114">
        <v>1112580542</v>
      </c>
      <c r="C6" s="114">
        <v>304277791</v>
      </c>
      <c r="D6" s="114">
        <v>473779192</v>
      </c>
      <c r="E6" s="114">
        <v>48500</v>
      </c>
      <c r="F6" s="114">
        <v>120092115</v>
      </c>
      <c r="G6" s="114">
        <v>17779899</v>
      </c>
      <c r="H6" s="114">
        <v>27982505</v>
      </c>
      <c r="I6" s="114">
        <v>1687100</v>
      </c>
      <c r="J6" s="114">
        <v>338400</v>
      </c>
      <c r="K6" s="114">
        <v>37600</v>
      </c>
      <c r="L6" s="114">
        <v>457676104</v>
      </c>
      <c r="M6" s="114">
        <v>227704100</v>
      </c>
      <c r="N6" s="114">
        <v>4098</v>
      </c>
      <c r="O6" s="114">
        <v>591</v>
      </c>
      <c r="P6" s="114">
        <v>17791900</v>
      </c>
      <c r="Q6" s="114">
        <v>8632375</v>
      </c>
      <c r="R6" s="114">
        <v>6753900</v>
      </c>
      <c r="S6" s="114">
        <v>10264400</v>
      </c>
      <c r="T6" s="114">
        <v>5816830</v>
      </c>
      <c r="U6" s="114">
        <v>9785300</v>
      </c>
      <c r="V6" s="114">
        <v>17791900</v>
      </c>
      <c r="W6" s="114">
        <v>12175600</v>
      </c>
      <c r="X6" s="114">
        <v>6753900</v>
      </c>
      <c r="Y6" s="114">
        <v>10264400</v>
      </c>
      <c r="Z6" s="114">
        <v>5922600</v>
      </c>
      <c r="AA6" s="114">
        <v>9785300</v>
      </c>
      <c r="AB6" s="114">
        <v>-6036306</v>
      </c>
      <c r="AC6" s="114">
        <v>-1873614</v>
      </c>
      <c r="AD6" s="114">
        <v>47</v>
      </c>
      <c r="AE6" s="114">
        <v>0</v>
      </c>
      <c r="AF6" s="114">
        <v>0</v>
      </c>
      <c r="AG6" s="114">
        <v>264850</v>
      </c>
      <c r="AH6" s="114">
        <v>350803.27868852462</v>
      </c>
      <c r="AI6" s="121">
        <v>695016.39344262297</v>
      </c>
      <c r="AJ6" s="121"/>
      <c r="AK6" s="82">
        <v>285165596</v>
      </c>
      <c r="AL6" s="83">
        <v>11884664</v>
      </c>
      <c r="AM6" s="114">
        <v>2644288</v>
      </c>
      <c r="AN6" s="114">
        <v>90382232</v>
      </c>
      <c r="AO6" s="114">
        <v>20303900</v>
      </c>
      <c r="AP6" s="114">
        <v>310881415</v>
      </c>
      <c r="AQ6" s="114">
        <v>108321201</v>
      </c>
      <c r="AR6" s="114">
        <v>82033610</v>
      </c>
      <c r="AS6" s="114">
        <v>63185531</v>
      </c>
      <c r="AT6" s="114">
        <v>2337501</v>
      </c>
      <c r="AU6" s="114">
        <v>0</v>
      </c>
      <c r="AV6" s="114">
        <v>965809</v>
      </c>
      <c r="AW6" s="114">
        <v>109773</v>
      </c>
      <c r="AX6" s="114">
        <v>11488917</v>
      </c>
      <c r="AY6" s="114">
        <v>683925</v>
      </c>
      <c r="BD6" s="82">
        <v>15040378.1</v>
      </c>
      <c r="BE6" s="82">
        <v>7520189</v>
      </c>
      <c r="BF6" s="117">
        <v>0</v>
      </c>
      <c r="BG6" s="118">
        <v>2133542</v>
      </c>
      <c r="BH6" s="118">
        <v>4102965</v>
      </c>
      <c r="BI6" s="117">
        <v>37264584</v>
      </c>
      <c r="BJ6" s="117">
        <v>36888935</v>
      </c>
      <c r="BK6" s="117">
        <v>91325402.75</v>
      </c>
      <c r="BL6" s="117">
        <v>88992148.75</v>
      </c>
      <c r="BM6" s="117">
        <v>0</v>
      </c>
      <c r="BN6" s="117">
        <v>16237262</v>
      </c>
      <c r="BO6" s="119"/>
      <c r="BP6" s="86">
        <f t="shared" si="4"/>
        <v>2559513014.4221311</v>
      </c>
      <c r="BQ6" s="86">
        <f t="shared" si="5"/>
        <v>2110690677.6721311</v>
      </c>
      <c r="BR6" s="87">
        <v>4428422</v>
      </c>
      <c r="BT6" s="86">
        <f t="shared" si="0"/>
        <v>1890637525</v>
      </c>
      <c r="BU6" s="82">
        <f t="shared" si="1"/>
        <v>285165596</v>
      </c>
      <c r="BV6" s="82">
        <f t="shared" si="2"/>
        <v>11884664</v>
      </c>
      <c r="BW6" s="86">
        <f t="shared" si="3"/>
        <v>282192864</v>
      </c>
      <c r="BX6" s="86">
        <f t="shared" si="6"/>
        <v>2469880649</v>
      </c>
    </row>
    <row r="7" spans="1:76" x14ac:dyDescent="0.25">
      <c r="A7" s="91" t="s">
        <v>61</v>
      </c>
      <c r="B7" s="114">
        <v>168771328</v>
      </c>
      <c r="C7" s="114">
        <v>85897800</v>
      </c>
      <c r="D7" s="114">
        <v>43739960</v>
      </c>
      <c r="E7" s="114">
        <v>5800002</v>
      </c>
      <c r="F7" s="114">
        <v>28823700</v>
      </c>
      <c r="G7" s="114">
        <v>12512900</v>
      </c>
      <c r="H7" s="114">
        <v>8896950</v>
      </c>
      <c r="I7" s="114">
        <v>2224700</v>
      </c>
      <c r="J7" s="114">
        <v>0</v>
      </c>
      <c r="K7" s="114">
        <v>37600</v>
      </c>
      <c r="L7" s="114">
        <v>158939561</v>
      </c>
      <c r="M7" s="114">
        <v>55437833</v>
      </c>
      <c r="N7" s="114">
        <v>1104</v>
      </c>
      <c r="O7" s="114">
        <v>488</v>
      </c>
      <c r="P7" s="114">
        <v>2130800</v>
      </c>
      <c r="Q7" s="114">
        <v>1803040</v>
      </c>
      <c r="R7" s="114">
        <v>1344860</v>
      </c>
      <c r="S7" s="114">
        <v>1135800</v>
      </c>
      <c r="T7" s="114">
        <v>636310</v>
      </c>
      <c r="U7" s="114">
        <v>0</v>
      </c>
      <c r="V7" s="114">
        <v>2130800</v>
      </c>
      <c r="W7" s="114">
        <v>3022240</v>
      </c>
      <c r="X7" s="114">
        <v>1344860</v>
      </c>
      <c r="Y7" s="114">
        <v>1135800</v>
      </c>
      <c r="Z7" s="114">
        <v>877940</v>
      </c>
      <c r="AA7" s="114">
        <v>0</v>
      </c>
      <c r="AB7" s="114">
        <v>-2905578</v>
      </c>
      <c r="AC7" s="114">
        <v>0</v>
      </c>
      <c r="AD7" s="114">
        <v>133</v>
      </c>
      <c r="AE7" s="114">
        <v>10188</v>
      </c>
      <c r="AF7" s="114">
        <v>11325200</v>
      </c>
      <c r="AG7" s="114">
        <v>144567</v>
      </c>
      <c r="AH7" s="114">
        <v>0</v>
      </c>
      <c r="AI7" s="121">
        <v>0</v>
      </c>
      <c r="AJ7" s="121"/>
      <c r="AK7" s="82">
        <v>65728755</v>
      </c>
      <c r="AL7" s="83">
        <v>1419282</v>
      </c>
      <c r="AM7" s="114">
        <v>0</v>
      </c>
      <c r="AN7" s="114">
        <v>23388910</v>
      </c>
      <c r="AO7" s="114">
        <v>1005188</v>
      </c>
      <c r="AP7" s="114">
        <v>8732181</v>
      </c>
      <c r="AQ7" s="114">
        <v>3933164</v>
      </c>
      <c r="AR7" s="114">
        <v>7595640</v>
      </c>
      <c r="AS7" s="114">
        <v>9386258</v>
      </c>
      <c r="AT7" s="114">
        <v>254633</v>
      </c>
      <c r="AU7" s="114">
        <v>0</v>
      </c>
      <c r="AV7" s="114">
        <v>0</v>
      </c>
      <c r="AW7" s="114">
        <v>2614323</v>
      </c>
      <c r="AX7" s="114">
        <v>1847</v>
      </c>
      <c r="AY7" s="114">
        <v>0</v>
      </c>
      <c r="BD7" s="82">
        <v>3466706.16</v>
      </c>
      <c r="BE7" s="82">
        <v>1733353</v>
      </c>
      <c r="BF7" s="117">
        <v>0</v>
      </c>
      <c r="BG7" s="118">
        <v>0</v>
      </c>
      <c r="BH7" s="118">
        <v>0</v>
      </c>
      <c r="BI7" s="117">
        <v>57593705</v>
      </c>
      <c r="BJ7" s="117">
        <v>57593705</v>
      </c>
      <c r="BK7" s="117">
        <v>61177787.25</v>
      </c>
      <c r="BL7" s="117">
        <v>61156183.25</v>
      </c>
      <c r="BM7" s="117">
        <v>0</v>
      </c>
      <c r="BN7" s="117">
        <v>0</v>
      </c>
      <c r="BO7" s="119"/>
      <c r="BP7" s="86">
        <f t="shared" si="4"/>
        <v>514367628.25</v>
      </c>
      <c r="BQ7" s="86">
        <f t="shared" si="5"/>
        <v>326736350</v>
      </c>
      <c r="BR7" s="87">
        <v>833500</v>
      </c>
      <c r="BT7" s="86">
        <f t="shared" si="0"/>
        <v>298409088</v>
      </c>
      <c r="BU7" s="82">
        <f t="shared" si="1"/>
        <v>65728755</v>
      </c>
      <c r="BV7" s="82">
        <f t="shared" si="2"/>
        <v>1419282</v>
      </c>
      <c r="BW7" s="86">
        <f t="shared" si="3"/>
        <v>37713520</v>
      </c>
      <c r="BX7" s="86">
        <f t="shared" si="6"/>
        <v>403270645</v>
      </c>
    </row>
    <row r="8" spans="1:76" x14ac:dyDescent="0.25">
      <c r="A8" s="91" t="s">
        <v>62</v>
      </c>
      <c r="B8" s="114">
        <v>435233000</v>
      </c>
      <c r="C8" s="114">
        <v>28206200</v>
      </c>
      <c r="D8" s="114">
        <v>193704233</v>
      </c>
      <c r="E8" s="114">
        <v>0</v>
      </c>
      <c r="F8" s="114">
        <v>75974800</v>
      </c>
      <c r="G8" s="114">
        <v>23006800</v>
      </c>
      <c r="H8" s="114">
        <v>4543300</v>
      </c>
      <c r="I8" s="114">
        <v>874500</v>
      </c>
      <c r="J8" s="114">
        <v>75200</v>
      </c>
      <c r="K8" s="114">
        <v>0</v>
      </c>
      <c r="L8" s="114">
        <v>37312250</v>
      </c>
      <c r="M8" s="114">
        <v>0</v>
      </c>
      <c r="N8" s="114">
        <v>2567</v>
      </c>
      <c r="O8" s="114">
        <v>819</v>
      </c>
      <c r="P8" s="114">
        <v>2686200</v>
      </c>
      <c r="Q8" s="114">
        <v>0</v>
      </c>
      <c r="R8" s="114">
        <v>300000</v>
      </c>
      <c r="S8" s="114">
        <v>5706500</v>
      </c>
      <c r="T8" s="114">
        <v>245800</v>
      </c>
      <c r="U8" s="114">
        <v>943600</v>
      </c>
      <c r="V8" s="114">
        <v>2686200</v>
      </c>
      <c r="W8" s="114">
        <v>0</v>
      </c>
      <c r="X8" s="114">
        <v>300000</v>
      </c>
      <c r="Y8" s="114">
        <v>5706500</v>
      </c>
      <c r="Z8" s="114">
        <v>386650</v>
      </c>
      <c r="AA8" s="114">
        <v>943600</v>
      </c>
      <c r="AB8" s="114">
        <v>-5575600</v>
      </c>
      <c r="AC8" s="114">
        <v>0</v>
      </c>
      <c r="AD8" s="114">
        <v>156031</v>
      </c>
      <c r="AE8" s="114">
        <v>0</v>
      </c>
      <c r="AF8" s="114">
        <v>0</v>
      </c>
      <c r="AG8" s="114">
        <v>0</v>
      </c>
      <c r="AH8" s="114">
        <v>12360901.639344262</v>
      </c>
      <c r="AI8" s="121">
        <v>13003418.032786885</v>
      </c>
      <c r="AJ8" s="121">
        <v>6171852.4590163939</v>
      </c>
      <c r="AK8" s="82">
        <v>124056885</v>
      </c>
      <c r="AL8" s="83">
        <v>918266</v>
      </c>
      <c r="AM8" s="114">
        <v>0</v>
      </c>
      <c r="AN8" s="114">
        <v>56306865</v>
      </c>
      <c r="AO8" s="114">
        <v>4845849</v>
      </c>
      <c r="AP8" s="114">
        <v>42577603</v>
      </c>
      <c r="AQ8" s="114">
        <v>38425530</v>
      </c>
      <c r="AR8" s="114">
        <v>16700611</v>
      </c>
      <c r="AS8" s="114">
        <v>117</v>
      </c>
      <c r="AT8" s="114">
        <v>28949</v>
      </c>
      <c r="AU8" s="114">
        <v>0</v>
      </c>
      <c r="AV8" s="114">
        <v>0</v>
      </c>
      <c r="AW8" s="114">
        <v>0</v>
      </c>
      <c r="AX8" s="114">
        <v>27130</v>
      </c>
      <c r="AY8" s="114">
        <v>258020</v>
      </c>
      <c r="BD8" s="82">
        <v>6543084.0300000003</v>
      </c>
      <c r="BE8" s="82">
        <v>3271542</v>
      </c>
      <c r="BF8" s="117">
        <v>0</v>
      </c>
      <c r="BG8" s="118">
        <v>8650079</v>
      </c>
      <c r="BH8" s="118">
        <v>16634768</v>
      </c>
      <c r="BI8" s="117">
        <v>49233926</v>
      </c>
      <c r="BJ8" s="117">
        <v>49233926</v>
      </c>
      <c r="BK8" s="117">
        <v>94510965.25</v>
      </c>
      <c r="BL8" s="117">
        <v>85959514.25</v>
      </c>
      <c r="BM8" s="117">
        <v>0</v>
      </c>
      <c r="BN8" s="117">
        <v>0</v>
      </c>
      <c r="BO8" s="119"/>
      <c r="BP8" s="86">
        <f t="shared" si="4"/>
        <v>1060348061.3811475</v>
      </c>
      <c r="BQ8" s="86">
        <f t="shared" si="5"/>
        <v>788257849.1311475</v>
      </c>
      <c r="BR8" s="87">
        <v>2466300</v>
      </c>
      <c r="BT8" s="86">
        <f t="shared" si="0"/>
        <v>657143433</v>
      </c>
      <c r="BU8" s="82">
        <f t="shared" si="1"/>
        <v>124056885</v>
      </c>
      <c r="BV8" s="82">
        <f t="shared" si="2"/>
        <v>918266</v>
      </c>
      <c r="BW8" s="86">
        <f t="shared" si="3"/>
        <v>99578361</v>
      </c>
      <c r="BX8" s="86">
        <f t="shared" si="6"/>
        <v>881696945</v>
      </c>
    </row>
    <row r="9" spans="1:76" x14ac:dyDescent="0.25">
      <c r="A9" s="91" t="s">
        <v>63</v>
      </c>
      <c r="B9" s="114">
        <v>6615101648</v>
      </c>
      <c r="C9" s="114">
        <v>282100617</v>
      </c>
      <c r="D9" s="114">
        <v>4241421991</v>
      </c>
      <c r="E9" s="114">
        <v>64712881</v>
      </c>
      <c r="F9" s="114">
        <v>284456960</v>
      </c>
      <c r="G9" s="114">
        <v>23907860</v>
      </c>
      <c r="H9" s="114">
        <v>15790710</v>
      </c>
      <c r="I9" s="114">
        <v>827200</v>
      </c>
      <c r="J9" s="114">
        <v>564000</v>
      </c>
      <c r="K9" s="114">
        <v>37600</v>
      </c>
      <c r="L9" s="114">
        <v>762830613</v>
      </c>
      <c r="M9" s="114">
        <v>0</v>
      </c>
      <c r="N9" s="114">
        <v>8125</v>
      </c>
      <c r="O9" s="114">
        <v>689</v>
      </c>
      <c r="P9" s="114">
        <v>137190574</v>
      </c>
      <c r="Q9" s="114">
        <v>4710350</v>
      </c>
      <c r="R9" s="114">
        <v>191497880</v>
      </c>
      <c r="S9" s="114">
        <v>12438137</v>
      </c>
      <c r="T9" s="114">
        <v>2658770</v>
      </c>
      <c r="U9" s="114">
        <v>5511010</v>
      </c>
      <c r="V9" s="114">
        <v>137190574</v>
      </c>
      <c r="W9" s="114">
        <v>5682550</v>
      </c>
      <c r="X9" s="114">
        <v>191497880</v>
      </c>
      <c r="Y9" s="114">
        <v>12438137</v>
      </c>
      <c r="Z9" s="114">
        <v>18042271</v>
      </c>
      <c r="AA9" s="114">
        <v>5511010</v>
      </c>
      <c r="AB9" s="114">
        <v>2713375</v>
      </c>
      <c r="AC9" s="114">
        <v>-36662996</v>
      </c>
      <c r="AD9" s="114">
        <v>0</v>
      </c>
      <c r="AE9" s="114">
        <v>0</v>
      </c>
      <c r="AF9" s="114">
        <v>0</v>
      </c>
      <c r="AG9" s="114">
        <v>0</v>
      </c>
      <c r="AH9" s="114">
        <v>0</v>
      </c>
      <c r="AI9" s="121">
        <v>246598.36065573772</v>
      </c>
      <c r="AJ9" s="121">
        <v>0</v>
      </c>
      <c r="AK9" s="82">
        <v>1102501100</v>
      </c>
      <c r="AL9" s="83">
        <v>17874070</v>
      </c>
      <c r="AM9" s="114">
        <v>20000</v>
      </c>
      <c r="AN9" s="114">
        <v>899538131</v>
      </c>
      <c r="AO9" s="114">
        <v>45119406</v>
      </c>
      <c r="AP9" s="114">
        <v>1059436847</v>
      </c>
      <c r="AQ9" s="114">
        <v>720402434</v>
      </c>
      <c r="AR9" s="114">
        <v>465625107</v>
      </c>
      <c r="AS9" s="114">
        <v>1559849666</v>
      </c>
      <c r="AT9" s="114">
        <f>2355379+766973474</f>
        <v>769328853</v>
      </c>
      <c r="AU9" s="114">
        <v>0</v>
      </c>
      <c r="AV9" s="114">
        <v>78678</v>
      </c>
      <c r="AW9" s="114">
        <v>41105392</v>
      </c>
      <c r="AX9" s="114">
        <v>7266206</v>
      </c>
      <c r="AY9" s="114">
        <v>30204421</v>
      </c>
      <c r="BD9" s="82">
        <v>58148786.630000003</v>
      </c>
      <c r="BE9" s="82">
        <v>29074393</v>
      </c>
      <c r="BF9" s="117">
        <v>38590674</v>
      </c>
      <c r="BG9" s="118">
        <v>1300466</v>
      </c>
      <c r="BH9" s="118">
        <v>2500896</v>
      </c>
      <c r="BI9" s="117">
        <v>129611991</v>
      </c>
      <c r="BJ9" s="117">
        <v>129611991</v>
      </c>
      <c r="BK9" s="117">
        <v>737786866.5</v>
      </c>
      <c r="BL9" s="117">
        <v>472193907.5</v>
      </c>
      <c r="BM9" s="117">
        <v>240524</v>
      </c>
      <c r="BN9" s="117">
        <v>0</v>
      </c>
      <c r="BO9" s="119"/>
      <c r="BP9" s="86">
        <f t="shared" si="4"/>
        <v>14556727276.860655</v>
      </c>
      <c r="BQ9" s="86">
        <f t="shared" si="5"/>
        <v>12803930825.360655</v>
      </c>
      <c r="BR9" s="87">
        <v>4524670</v>
      </c>
      <c r="BT9" s="86">
        <f t="shared" si="0"/>
        <v>11138624256</v>
      </c>
      <c r="BU9" s="82">
        <f t="shared" si="1"/>
        <v>1102501100</v>
      </c>
      <c r="BV9" s="82">
        <f t="shared" si="2"/>
        <v>17874070</v>
      </c>
      <c r="BW9" s="86">
        <f t="shared" si="3"/>
        <v>3224909637</v>
      </c>
      <c r="BX9" s="86">
        <f t="shared" si="6"/>
        <v>15483909063</v>
      </c>
    </row>
    <row r="10" spans="1:76" x14ac:dyDescent="0.25">
      <c r="A10" s="91" t="s">
        <v>64</v>
      </c>
      <c r="B10" s="114">
        <v>587878526</v>
      </c>
      <c r="C10" s="114">
        <v>335842676</v>
      </c>
      <c r="D10" s="114">
        <v>178972595</v>
      </c>
      <c r="E10" s="114">
        <v>0</v>
      </c>
      <c r="F10" s="114">
        <v>50987490</v>
      </c>
      <c r="G10" s="114">
        <v>9109100</v>
      </c>
      <c r="H10" s="114">
        <v>12031452</v>
      </c>
      <c r="I10" s="114">
        <v>1005000</v>
      </c>
      <c r="J10" s="114">
        <v>75200</v>
      </c>
      <c r="K10" s="114">
        <v>0</v>
      </c>
      <c r="L10" s="114">
        <v>834794112</v>
      </c>
      <c r="M10" s="114">
        <v>204755040</v>
      </c>
      <c r="N10" s="114">
        <v>1699</v>
      </c>
      <c r="O10" s="114">
        <v>278</v>
      </c>
      <c r="P10" s="114">
        <v>4060536</v>
      </c>
      <c r="Q10" s="114">
        <v>2767000</v>
      </c>
      <c r="R10" s="114">
        <v>3805000</v>
      </c>
      <c r="S10" s="114">
        <v>3183663</v>
      </c>
      <c r="T10" s="114">
        <v>1020025</v>
      </c>
      <c r="U10" s="114">
        <v>1698575</v>
      </c>
      <c r="V10" s="114">
        <v>4060536</v>
      </c>
      <c r="W10" s="114">
        <v>2807000</v>
      </c>
      <c r="X10" s="114">
        <v>3805000</v>
      </c>
      <c r="Y10" s="114">
        <v>3183663</v>
      </c>
      <c r="Z10" s="114">
        <v>2517826</v>
      </c>
      <c r="AA10" s="114">
        <v>1698575</v>
      </c>
      <c r="AB10" s="114">
        <v>-4663708</v>
      </c>
      <c r="AC10" s="114">
        <v>-105000</v>
      </c>
      <c r="AD10" s="114">
        <v>0</v>
      </c>
      <c r="AE10" s="114">
        <v>0</v>
      </c>
      <c r="AF10" s="114">
        <v>0</v>
      </c>
      <c r="AG10" s="114">
        <v>175611.59</v>
      </c>
      <c r="AH10" s="114">
        <v>0</v>
      </c>
      <c r="AI10" s="114">
        <v>457344.26229508204</v>
      </c>
      <c r="AJ10" s="121">
        <v>0</v>
      </c>
      <c r="AK10" s="82">
        <v>163571862</v>
      </c>
      <c r="AL10" s="83">
        <v>2970649</v>
      </c>
      <c r="AM10" s="114">
        <v>0</v>
      </c>
      <c r="AN10" s="114">
        <v>39178858</v>
      </c>
      <c r="AO10" s="114">
        <v>15360978</v>
      </c>
      <c r="AP10" s="114">
        <v>144360630</v>
      </c>
      <c r="AQ10" s="114">
        <v>40621294</v>
      </c>
      <c r="AR10" s="114">
        <v>66291469</v>
      </c>
      <c r="AS10" s="114">
        <v>2085810</v>
      </c>
      <c r="AT10" s="114">
        <f>124711024+43</f>
        <v>124711067</v>
      </c>
      <c r="AU10" s="114">
        <v>0</v>
      </c>
      <c r="AV10" s="114">
        <v>35321</v>
      </c>
      <c r="AW10" s="114">
        <v>3573902</v>
      </c>
      <c r="AX10" s="114">
        <v>7385</v>
      </c>
      <c r="AY10" s="114">
        <v>10000</v>
      </c>
      <c r="BD10" s="82">
        <v>8627207.0899999999</v>
      </c>
      <c r="BE10" s="82">
        <v>4313604</v>
      </c>
      <c r="BF10" s="117">
        <v>0</v>
      </c>
      <c r="BG10" s="118">
        <v>2511193</v>
      </c>
      <c r="BH10" s="118">
        <v>4829217</v>
      </c>
      <c r="BI10" s="117">
        <v>26145878</v>
      </c>
      <c r="BJ10" s="117">
        <v>26145878</v>
      </c>
      <c r="BK10" s="117">
        <v>52721127.75</v>
      </c>
      <c r="BL10" s="117">
        <v>48657026.75</v>
      </c>
      <c r="BM10" s="117">
        <v>595</v>
      </c>
      <c r="BN10" s="117">
        <v>0</v>
      </c>
      <c r="BO10" s="119"/>
      <c r="BP10" s="86">
        <f t="shared" si="4"/>
        <v>1446483079.012295</v>
      </c>
      <c r="BQ10" s="86">
        <f t="shared" si="5"/>
        <v>1198312271.262295</v>
      </c>
      <c r="BR10" s="87">
        <v>1475430</v>
      </c>
      <c r="BT10" s="86">
        <f t="shared" si="0"/>
        <v>1102693797</v>
      </c>
      <c r="BU10" s="82">
        <f t="shared" si="1"/>
        <v>163571862</v>
      </c>
      <c r="BV10" s="82">
        <f t="shared" si="2"/>
        <v>2970649</v>
      </c>
      <c r="BW10" s="86">
        <f t="shared" si="3"/>
        <v>97246940</v>
      </c>
      <c r="BX10" s="86">
        <f t="shared" si="6"/>
        <v>1366483248</v>
      </c>
    </row>
    <row r="11" spans="1:76" x14ac:dyDescent="0.25">
      <c r="A11" s="91" t="s">
        <v>65</v>
      </c>
      <c r="B11" s="114">
        <v>1194065423</v>
      </c>
      <c r="C11" s="114">
        <v>93479805</v>
      </c>
      <c r="D11" s="114">
        <v>639434969</v>
      </c>
      <c r="E11" s="114">
        <v>1000000</v>
      </c>
      <c r="F11" s="114">
        <v>146505920</v>
      </c>
      <c r="G11" s="114">
        <v>48194210</v>
      </c>
      <c r="H11" s="114">
        <v>9354600</v>
      </c>
      <c r="I11" s="114">
        <v>2286000</v>
      </c>
      <c r="J11" s="114">
        <v>547700</v>
      </c>
      <c r="K11" s="114">
        <v>75100</v>
      </c>
      <c r="L11" s="114">
        <v>64701215</v>
      </c>
      <c r="M11" s="114">
        <v>80138880</v>
      </c>
      <c r="N11" s="114">
        <v>4431</v>
      </c>
      <c r="O11" s="114">
        <v>1484</v>
      </c>
      <c r="P11" s="114">
        <v>3295600</v>
      </c>
      <c r="Q11" s="114">
        <v>0</v>
      </c>
      <c r="R11" s="114">
        <v>3874600</v>
      </c>
      <c r="S11" s="114">
        <v>7236006</v>
      </c>
      <c r="T11" s="114">
        <v>478300</v>
      </c>
      <c r="U11" s="114">
        <v>3685960</v>
      </c>
      <c r="V11" s="114">
        <v>3295600</v>
      </c>
      <c r="W11" s="114">
        <v>0</v>
      </c>
      <c r="X11" s="114">
        <v>3874600</v>
      </c>
      <c r="Y11" s="114">
        <v>7236006</v>
      </c>
      <c r="Z11" s="114">
        <v>2723100</v>
      </c>
      <c r="AA11" s="114">
        <v>3685960</v>
      </c>
      <c r="AB11" s="114">
        <v>-6553500</v>
      </c>
      <c r="AC11" s="114">
        <v>-40810</v>
      </c>
      <c r="AD11" s="114">
        <v>51364</v>
      </c>
      <c r="AE11" s="114">
        <v>122</v>
      </c>
      <c r="AF11" s="114">
        <v>0</v>
      </c>
      <c r="AG11" s="114">
        <v>458035</v>
      </c>
      <c r="AH11" s="114">
        <v>55639.344262295082</v>
      </c>
      <c r="AI11" s="121">
        <v>1818229.5081967213</v>
      </c>
      <c r="AJ11" s="121">
        <v>120400.00000000003</v>
      </c>
      <c r="AK11" s="82">
        <v>318808721</v>
      </c>
      <c r="AL11" s="83">
        <v>7202115</v>
      </c>
      <c r="AM11" s="114">
        <v>0</v>
      </c>
      <c r="AN11" s="114">
        <v>119097421</v>
      </c>
      <c r="AO11" s="114">
        <v>12554303</v>
      </c>
      <c r="AP11" s="114">
        <v>315733332</v>
      </c>
      <c r="AQ11" s="114">
        <v>104465840</v>
      </c>
      <c r="AR11" s="114">
        <v>111296688</v>
      </c>
      <c r="AS11" s="114">
        <v>16477002</v>
      </c>
      <c r="AT11" s="114">
        <f>2297204+1154499465</f>
        <v>1156796669</v>
      </c>
      <c r="AU11" s="114">
        <v>0</v>
      </c>
      <c r="AV11" s="114">
        <v>0</v>
      </c>
      <c r="AW11" s="114">
        <v>0</v>
      </c>
      <c r="AX11" s="114">
        <v>3504</v>
      </c>
      <c r="AY11" s="114">
        <v>14500</v>
      </c>
      <c r="BD11" s="82">
        <v>16814804.350000001</v>
      </c>
      <c r="BE11" s="82">
        <v>8407402</v>
      </c>
      <c r="BF11" s="117">
        <v>21658031</v>
      </c>
      <c r="BG11" s="118">
        <v>7069180</v>
      </c>
      <c r="BH11" s="118">
        <v>13594576</v>
      </c>
      <c r="BI11" s="117">
        <v>75610551</v>
      </c>
      <c r="BJ11" s="117">
        <v>75610551</v>
      </c>
      <c r="BK11" s="117">
        <v>155587659.5</v>
      </c>
      <c r="BL11" s="117">
        <v>151039197.5</v>
      </c>
      <c r="BM11" s="117">
        <v>0</v>
      </c>
      <c r="BN11" s="117">
        <v>0</v>
      </c>
      <c r="BO11" s="119"/>
      <c r="BP11" s="86">
        <f t="shared" si="4"/>
        <v>2733229196.352459</v>
      </c>
      <c r="BQ11" s="86">
        <f t="shared" si="5"/>
        <v>2165092029.852459</v>
      </c>
      <c r="BR11" s="87">
        <v>6954243</v>
      </c>
      <c r="BT11" s="86">
        <f t="shared" si="0"/>
        <v>1926980197</v>
      </c>
      <c r="BU11" s="82">
        <f t="shared" si="1"/>
        <v>318808721</v>
      </c>
      <c r="BV11" s="82">
        <f t="shared" si="2"/>
        <v>7202115</v>
      </c>
      <c r="BW11" s="86">
        <f t="shared" si="3"/>
        <v>252594566</v>
      </c>
      <c r="BX11" s="86">
        <f t="shared" si="6"/>
        <v>2505585599</v>
      </c>
    </row>
    <row r="12" spans="1:76" x14ac:dyDescent="0.25">
      <c r="A12" s="91" t="s">
        <v>66</v>
      </c>
      <c r="B12" s="114">
        <v>1009739550</v>
      </c>
      <c r="C12" s="114">
        <v>180666300</v>
      </c>
      <c r="D12" s="114">
        <v>455135650</v>
      </c>
      <c r="E12" s="114">
        <v>0</v>
      </c>
      <c r="F12" s="114">
        <v>98519900</v>
      </c>
      <c r="G12" s="114">
        <v>10645700</v>
      </c>
      <c r="H12" s="114">
        <v>11992200</v>
      </c>
      <c r="I12" s="114">
        <v>1104800</v>
      </c>
      <c r="J12" s="114">
        <v>150400</v>
      </c>
      <c r="K12" s="114">
        <v>0</v>
      </c>
      <c r="L12" s="114">
        <v>268494312</v>
      </c>
      <c r="M12" s="114">
        <v>153657000</v>
      </c>
      <c r="N12" s="114">
        <v>3031</v>
      </c>
      <c r="O12" s="114">
        <v>343</v>
      </c>
      <c r="P12" s="114">
        <v>5192000</v>
      </c>
      <c r="Q12" s="114">
        <v>2884000</v>
      </c>
      <c r="R12" s="114">
        <v>25967500</v>
      </c>
      <c r="S12" s="114">
        <v>6252700</v>
      </c>
      <c r="T12" s="114">
        <v>512500</v>
      </c>
      <c r="U12" s="114">
        <v>3008000</v>
      </c>
      <c r="V12" s="114">
        <v>5192000</v>
      </c>
      <c r="W12" s="114">
        <v>2958000</v>
      </c>
      <c r="X12" s="114">
        <v>25967500</v>
      </c>
      <c r="Y12" s="114">
        <v>6252700</v>
      </c>
      <c r="Z12" s="114">
        <v>1467800</v>
      </c>
      <c r="AA12" s="114">
        <v>3008000</v>
      </c>
      <c r="AB12" s="114">
        <v>-4555500</v>
      </c>
      <c r="AC12" s="114">
        <v>-121735</v>
      </c>
      <c r="AD12" s="114">
        <v>15190</v>
      </c>
      <c r="AE12" s="114">
        <v>0</v>
      </c>
      <c r="AF12" s="114">
        <v>0</v>
      </c>
      <c r="AG12" s="114">
        <v>99419</v>
      </c>
      <c r="AH12" s="114">
        <v>0</v>
      </c>
      <c r="AI12" s="121">
        <v>0</v>
      </c>
      <c r="AJ12" s="121">
        <v>0</v>
      </c>
      <c r="AK12" s="82">
        <v>181943792</v>
      </c>
      <c r="AL12" s="83">
        <v>5556092</v>
      </c>
      <c r="AM12" s="114">
        <v>2000</v>
      </c>
      <c r="AN12" s="114">
        <v>98935187</v>
      </c>
      <c r="AO12" s="114">
        <v>8953903</v>
      </c>
      <c r="AP12" s="114">
        <v>191491993</v>
      </c>
      <c r="AQ12" s="114">
        <v>88285371</v>
      </c>
      <c r="AR12" s="114">
        <v>119795501</v>
      </c>
      <c r="AS12" s="114">
        <v>219672223</v>
      </c>
      <c r="AT12" s="114">
        <f>1009070+517</f>
        <v>1009587</v>
      </c>
      <c r="AU12" s="114">
        <v>0</v>
      </c>
      <c r="AV12" s="114">
        <v>763563</v>
      </c>
      <c r="AW12" s="114">
        <v>1913091</v>
      </c>
      <c r="AX12" s="114">
        <v>165431</v>
      </c>
      <c r="AY12" s="114">
        <v>7683135</v>
      </c>
      <c r="BD12" s="82">
        <v>9596190.6400000006</v>
      </c>
      <c r="BE12" s="82">
        <v>4798095</v>
      </c>
      <c r="BF12" s="117">
        <v>0</v>
      </c>
      <c r="BG12" s="118">
        <v>3614233</v>
      </c>
      <c r="BH12" s="118">
        <v>6950448</v>
      </c>
      <c r="BI12" s="117">
        <v>52663841</v>
      </c>
      <c r="BJ12" s="117">
        <v>52663841</v>
      </c>
      <c r="BK12" s="117">
        <v>73707190.75</v>
      </c>
      <c r="BL12" s="117">
        <v>67191797.75</v>
      </c>
      <c r="BM12" s="117">
        <v>249428</v>
      </c>
      <c r="BN12" s="117">
        <v>0</v>
      </c>
      <c r="BO12" s="119"/>
      <c r="BP12" s="86">
        <f t="shared" si="4"/>
        <v>2157733239.75</v>
      </c>
      <c r="BQ12" s="86">
        <f t="shared" si="5"/>
        <v>1841715961</v>
      </c>
      <c r="BR12" s="87">
        <v>2550000</v>
      </c>
      <c r="BT12" s="86">
        <f t="shared" si="0"/>
        <v>1645541500</v>
      </c>
      <c r="BU12" s="82">
        <f t="shared" si="1"/>
        <v>181943792</v>
      </c>
      <c r="BV12" s="82">
        <f t="shared" si="2"/>
        <v>5556092</v>
      </c>
      <c r="BW12" s="86">
        <f t="shared" si="3"/>
        <v>415846684</v>
      </c>
      <c r="BX12" s="86">
        <f t="shared" si="6"/>
        <v>2248888068</v>
      </c>
    </row>
    <row r="13" spans="1:76" x14ac:dyDescent="0.25">
      <c r="A13" s="91" t="s">
        <v>67</v>
      </c>
      <c r="B13" s="114">
        <v>141524855</v>
      </c>
      <c r="C13" s="114">
        <v>103931375</v>
      </c>
      <c r="D13" s="114">
        <v>23980790</v>
      </c>
      <c r="E13" s="114">
        <v>0</v>
      </c>
      <c r="F13" s="114">
        <v>20593800</v>
      </c>
      <c r="G13" s="114">
        <v>3966040</v>
      </c>
      <c r="H13" s="114">
        <v>9203200</v>
      </c>
      <c r="I13" s="114">
        <v>815550</v>
      </c>
      <c r="J13" s="114">
        <v>0</v>
      </c>
      <c r="K13" s="114">
        <v>0</v>
      </c>
      <c r="L13" s="114">
        <v>100665885</v>
      </c>
      <c r="M13" s="114">
        <v>60108265</v>
      </c>
      <c r="N13" s="114">
        <v>856</v>
      </c>
      <c r="O13" s="114">
        <v>148</v>
      </c>
      <c r="P13" s="114">
        <v>1913305</v>
      </c>
      <c r="Q13" s="114">
        <v>579050</v>
      </c>
      <c r="R13" s="114">
        <v>334500</v>
      </c>
      <c r="S13" s="114">
        <v>2030827</v>
      </c>
      <c r="T13" s="114">
        <v>758980</v>
      </c>
      <c r="U13" s="114">
        <v>925600</v>
      </c>
      <c r="V13" s="114">
        <v>1913305</v>
      </c>
      <c r="W13" s="114">
        <v>552850</v>
      </c>
      <c r="X13" s="114">
        <v>334500</v>
      </c>
      <c r="Y13" s="114">
        <v>2030827</v>
      </c>
      <c r="Z13" s="114">
        <v>856500</v>
      </c>
      <c r="AA13" s="114">
        <v>925600</v>
      </c>
      <c r="AB13" s="114">
        <v>-275900</v>
      </c>
      <c r="AC13" s="114">
        <v>52449</v>
      </c>
      <c r="AD13" s="114">
        <v>0</v>
      </c>
      <c r="AE13" s="114">
        <v>0</v>
      </c>
      <c r="AF13" s="114">
        <v>0</v>
      </c>
      <c r="AG13" s="114">
        <v>118801</v>
      </c>
      <c r="AH13" s="114">
        <v>0</v>
      </c>
      <c r="AI13" s="114">
        <v>0</v>
      </c>
      <c r="AJ13" s="121">
        <v>0</v>
      </c>
      <c r="AK13" s="82">
        <v>55892853</v>
      </c>
      <c r="AL13" s="83">
        <v>791073</v>
      </c>
      <c r="AM13" s="114">
        <v>0</v>
      </c>
      <c r="AN13" s="114">
        <v>3695275</v>
      </c>
      <c r="AO13" s="114">
        <v>178432</v>
      </c>
      <c r="AP13" s="114">
        <v>33605708</v>
      </c>
      <c r="AQ13" s="114">
        <v>2848190</v>
      </c>
      <c r="AR13" s="114">
        <v>10431627</v>
      </c>
      <c r="AS13" s="114">
        <v>5752665</v>
      </c>
      <c r="AT13" s="114">
        <v>1285554</v>
      </c>
      <c r="AU13" s="114">
        <v>0</v>
      </c>
      <c r="AV13" s="114">
        <v>0</v>
      </c>
      <c r="AW13" s="114">
        <v>0</v>
      </c>
      <c r="AX13" s="114">
        <v>0</v>
      </c>
      <c r="AY13" s="114">
        <v>0</v>
      </c>
      <c r="BD13" s="82">
        <v>2947935</v>
      </c>
      <c r="BE13" s="82">
        <v>1473968</v>
      </c>
      <c r="BF13" s="117">
        <v>19000000</v>
      </c>
      <c r="BG13" s="118">
        <v>1630256</v>
      </c>
      <c r="BH13" s="118">
        <v>3135108</v>
      </c>
      <c r="BI13" s="117">
        <v>115372226</v>
      </c>
      <c r="BJ13" s="117">
        <v>115372226</v>
      </c>
      <c r="BK13" s="117">
        <v>86806080</v>
      </c>
      <c r="BL13" s="117">
        <v>81288803</v>
      </c>
      <c r="BM13" s="117">
        <v>0</v>
      </c>
      <c r="BN13" s="117">
        <v>0</v>
      </c>
      <c r="BO13" s="119"/>
      <c r="BP13" s="86">
        <f t="shared" si="4"/>
        <v>532608096</v>
      </c>
      <c r="BQ13" s="86">
        <f t="shared" si="5"/>
        <v>276158917</v>
      </c>
      <c r="BR13" s="87">
        <v>935040</v>
      </c>
      <c r="BT13" s="86">
        <f t="shared" si="0"/>
        <v>269437020</v>
      </c>
      <c r="BU13" s="82">
        <f t="shared" si="1"/>
        <v>55892853</v>
      </c>
      <c r="BV13" s="82">
        <f t="shared" si="2"/>
        <v>791073</v>
      </c>
      <c r="BW13" s="86">
        <f t="shared" si="3"/>
        <v>12474562</v>
      </c>
      <c r="BX13" s="86">
        <f t="shared" si="6"/>
        <v>338595508</v>
      </c>
    </row>
    <row r="14" spans="1:76" x14ac:dyDescent="0.25">
      <c r="A14" s="91" t="s">
        <v>68</v>
      </c>
      <c r="B14" s="114">
        <v>139130921</v>
      </c>
      <c r="C14" s="114">
        <v>78021478</v>
      </c>
      <c r="D14" s="114">
        <v>76449774</v>
      </c>
      <c r="E14" s="114">
        <v>0</v>
      </c>
      <c r="F14" s="114">
        <v>20929140</v>
      </c>
      <c r="G14" s="114">
        <v>35409620</v>
      </c>
      <c r="H14" s="114">
        <v>10680544</v>
      </c>
      <c r="I14" s="114">
        <v>12126563</v>
      </c>
      <c r="J14" s="114">
        <v>188000</v>
      </c>
      <c r="K14" s="114">
        <v>188000</v>
      </c>
      <c r="L14" s="114">
        <v>67122604</v>
      </c>
      <c r="M14" s="114">
        <v>49252715</v>
      </c>
      <c r="N14" s="114">
        <v>958</v>
      </c>
      <c r="O14" s="114">
        <v>1537</v>
      </c>
      <c r="P14" s="114">
        <v>2062400</v>
      </c>
      <c r="Q14" s="114">
        <v>287600</v>
      </c>
      <c r="R14" s="114">
        <v>722000</v>
      </c>
      <c r="S14" s="114">
        <v>2383299</v>
      </c>
      <c r="T14" s="114">
        <v>848233</v>
      </c>
      <c r="U14" s="114">
        <v>440000</v>
      </c>
      <c r="V14" s="114">
        <v>2062400</v>
      </c>
      <c r="W14" s="114">
        <v>232100</v>
      </c>
      <c r="X14" s="114">
        <v>722000</v>
      </c>
      <c r="Y14" s="114">
        <v>2383299</v>
      </c>
      <c r="Z14" s="114">
        <v>853150</v>
      </c>
      <c r="AA14" s="114">
        <v>440000</v>
      </c>
      <c r="AB14" s="114">
        <v>-2810900</v>
      </c>
      <c r="AC14" s="114">
        <v>-4738</v>
      </c>
      <c r="AD14" s="114">
        <v>254259</v>
      </c>
      <c r="AE14" s="114">
        <v>0</v>
      </c>
      <c r="AF14" s="114">
        <v>0</v>
      </c>
      <c r="AG14" s="114">
        <v>272670</v>
      </c>
      <c r="AH14" s="114">
        <v>321147.5409836066</v>
      </c>
      <c r="AI14" s="114">
        <v>3285196.7213114756</v>
      </c>
      <c r="AJ14" s="121">
        <v>7512547.5409836071</v>
      </c>
      <c r="AK14" s="82">
        <v>64527720</v>
      </c>
      <c r="AL14" s="83">
        <v>1037295</v>
      </c>
      <c r="AM14" s="114">
        <v>0</v>
      </c>
      <c r="AN14" s="114">
        <v>14680192</v>
      </c>
      <c r="AO14" s="114">
        <v>245674</v>
      </c>
      <c r="AP14" s="114">
        <v>1397764</v>
      </c>
      <c r="AQ14" s="114">
        <v>12364405</v>
      </c>
      <c r="AR14" s="114">
        <v>4377393</v>
      </c>
      <c r="AS14" s="114">
        <v>0</v>
      </c>
      <c r="AT14" s="114">
        <v>344295</v>
      </c>
      <c r="AU14" s="114">
        <v>0</v>
      </c>
      <c r="AV14" s="114">
        <v>0</v>
      </c>
      <c r="AW14" s="114">
        <v>0</v>
      </c>
      <c r="AX14" s="114">
        <v>597</v>
      </c>
      <c r="AY14" s="114">
        <v>0</v>
      </c>
      <c r="BD14" s="82">
        <v>3403360.43</v>
      </c>
      <c r="BE14" s="82">
        <v>1701680</v>
      </c>
      <c r="BF14" s="117">
        <v>0</v>
      </c>
      <c r="BG14" s="118">
        <v>2718340</v>
      </c>
      <c r="BH14" s="118">
        <v>5227577</v>
      </c>
      <c r="BI14" s="117">
        <v>14149624</v>
      </c>
      <c r="BJ14" s="117">
        <v>14149624</v>
      </c>
      <c r="BK14" s="117">
        <v>47453527.5</v>
      </c>
      <c r="BL14" s="117">
        <v>40724113.5</v>
      </c>
      <c r="BM14" s="117">
        <v>0</v>
      </c>
      <c r="BN14" s="117">
        <v>0</v>
      </c>
      <c r="BO14" s="119"/>
      <c r="BP14" s="86">
        <f t="shared" si="4"/>
        <v>456870108.30327868</v>
      </c>
      <c r="BQ14" s="86">
        <f t="shared" si="5"/>
        <v>332011335.80327868</v>
      </c>
      <c r="BR14" s="87">
        <v>1218379</v>
      </c>
      <c r="BT14" s="86">
        <f t="shared" si="0"/>
        <v>293602173</v>
      </c>
      <c r="BU14" s="82">
        <f t="shared" si="1"/>
        <v>64527720</v>
      </c>
      <c r="BV14" s="82">
        <f t="shared" si="2"/>
        <v>1037295</v>
      </c>
      <c r="BW14" s="86">
        <f t="shared" si="3"/>
        <v>27290271</v>
      </c>
      <c r="BX14" s="86">
        <f t="shared" si="6"/>
        <v>386457459</v>
      </c>
    </row>
    <row r="15" spans="1:76" x14ac:dyDescent="0.25">
      <c r="A15" s="91" t="s">
        <v>69</v>
      </c>
      <c r="B15" s="114">
        <v>567504921</v>
      </c>
      <c r="C15" s="114">
        <v>227349223</v>
      </c>
      <c r="D15" s="114">
        <v>83271281</v>
      </c>
      <c r="E15" s="114">
        <v>0</v>
      </c>
      <c r="F15" s="114">
        <v>54675371</v>
      </c>
      <c r="G15" s="114">
        <v>11129400</v>
      </c>
      <c r="H15" s="114">
        <v>21073384</v>
      </c>
      <c r="I15" s="114">
        <v>2242703</v>
      </c>
      <c r="J15" s="114">
        <v>75200</v>
      </c>
      <c r="K15" s="114">
        <v>50000</v>
      </c>
      <c r="L15" s="114">
        <v>421269178</v>
      </c>
      <c r="M15" s="114">
        <v>132224600</v>
      </c>
      <c r="N15" s="114">
        <v>2168</v>
      </c>
      <c r="O15" s="114">
        <v>436</v>
      </c>
      <c r="P15" s="114">
        <v>7784950</v>
      </c>
      <c r="Q15" s="114">
        <v>4596850</v>
      </c>
      <c r="R15" s="114">
        <v>1201000</v>
      </c>
      <c r="S15" s="114">
        <v>3328910</v>
      </c>
      <c r="T15" s="114">
        <v>671150</v>
      </c>
      <c r="U15" s="114">
        <v>518500</v>
      </c>
      <c r="V15" s="114">
        <v>7784950</v>
      </c>
      <c r="W15" s="114">
        <v>4756000</v>
      </c>
      <c r="X15" s="114">
        <v>1201000</v>
      </c>
      <c r="Y15" s="114">
        <v>3328910</v>
      </c>
      <c r="Z15" s="114">
        <v>639500</v>
      </c>
      <c r="AA15" s="114">
        <v>518500</v>
      </c>
      <c r="AB15" s="114">
        <v>-1138000</v>
      </c>
      <c r="AC15" s="114">
        <v>0</v>
      </c>
      <c r="AD15" s="114">
        <v>148321</v>
      </c>
      <c r="AE15" s="114">
        <v>0</v>
      </c>
      <c r="AF15" s="114">
        <v>0</v>
      </c>
      <c r="AG15" s="114">
        <v>345955</v>
      </c>
      <c r="AH15" s="114">
        <v>4867426.2295081969</v>
      </c>
      <c r="AI15" s="114">
        <v>781237.70491803286</v>
      </c>
      <c r="AJ15" s="121">
        <v>0</v>
      </c>
      <c r="AK15" s="82">
        <v>132220017</v>
      </c>
      <c r="AL15" s="83">
        <v>18647533</v>
      </c>
      <c r="AM15" s="114">
        <v>346000</v>
      </c>
      <c r="AN15" s="114">
        <v>22969015</v>
      </c>
      <c r="AO15" s="114">
        <v>189538</v>
      </c>
      <c r="AP15" s="114">
        <v>14888240</v>
      </c>
      <c r="AQ15" s="114">
        <v>16733865</v>
      </c>
      <c r="AR15" s="114">
        <v>19769983</v>
      </c>
      <c r="AS15" s="114">
        <v>0</v>
      </c>
      <c r="AT15" s="114">
        <v>2725785</v>
      </c>
      <c r="AU15" s="114">
        <v>0</v>
      </c>
      <c r="AV15" s="114">
        <v>0</v>
      </c>
      <c r="AW15" s="114">
        <v>873109</v>
      </c>
      <c r="AX15" s="114">
        <v>0</v>
      </c>
      <c r="AY15" s="114">
        <v>119690</v>
      </c>
      <c r="BD15" s="82">
        <v>6973628.9199999999</v>
      </c>
      <c r="BE15" s="82">
        <v>3486814</v>
      </c>
      <c r="BF15" s="117">
        <v>22248705</v>
      </c>
      <c r="BG15" s="118">
        <v>2220289</v>
      </c>
      <c r="BH15" s="118">
        <v>4269787</v>
      </c>
      <c r="BI15" s="117">
        <v>38332226</v>
      </c>
      <c r="BJ15" s="117">
        <v>38332226</v>
      </c>
      <c r="BK15" s="117">
        <v>96535298.5</v>
      </c>
      <c r="BL15" s="117">
        <v>92516969.5</v>
      </c>
      <c r="BM15" s="117">
        <v>0</v>
      </c>
      <c r="BN15" s="117">
        <v>0</v>
      </c>
      <c r="BO15" s="119"/>
      <c r="BP15" s="86">
        <f t="shared" si="4"/>
        <v>1211090355.4344263</v>
      </c>
      <c r="BQ15" s="86">
        <f t="shared" si="5"/>
        <v>923666506.93442619</v>
      </c>
      <c r="BR15" s="87">
        <v>2173856</v>
      </c>
      <c r="BT15" s="86">
        <f t="shared" si="0"/>
        <v>878125425</v>
      </c>
      <c r="BU15" s="82">
        <f t="shared" si="1"/>
        <v>132220017</v>
      </c>
      <c r="BV15" s="82">
        <f t="shared" si="2"/>
        <v>18647533</v>
      </c>
      <c r="BW15" s="86">
        <f t="shared" si="3"/>
        <v>39892418</v>
      </c>
      <c r="BX15" s="86">
        <f t="shared" si="6"/>
        <v>1068885393</v>
      </c>
    </row>
    <row r="16" spans="1:76" x14ac:dyDescent="0.25">
      <c r="A16" s="91" t="s">
        <v>70</v>
      </c>
      <c r="B16" s="114">
        <v>3694258956</v>
      </c>
      <c r="C16" s="114">
        <v>245757657</v>
      </c>
      <c r="D16" s="114">
        <v>1074801808</v>
      </c>
      <c r="E16" s="114">
        <v>23841565</v>
      </c>
      <c r="F16" s="114">
        <v>218055899</v>
      </c>
      <c r="G16" s="114">
        <v>37252220</v>
      </c>
      <c r="H16" s="114">
        <v>19445901</v>
      </c>
      <c r="I16" s="114">
        <v>2542712</v>
      </c>
      <c r="J16" s="114">
        <v>413600</v>
      </c>
      <c r="K16" s="114">
        <v>37600</v>
      </c>
      <c r="L16" s="114">
        <v>351062092</v>
      </c>
      <c r="M16" s="114">
        <v>166193717</v>
      </c>
      <c r="N16" s="114">
        <v>6454</v>
      </c>
      <c r="O16" s="114">
        <v>1131</v>
      </c>
      <c r="P16" s="114">
        <v>69115952</v>
      </c>
      <c r="Q16" s="114">
        <v>2594580</v>
      </c>
      <c r="R16" s="114">
        <v>13536002</v>
      </c>
      <c r="S16" s="114">
        <v>3876876</v>
      </c>
      <c r="T16" s="114">
        <v>2316062</v>
      </c>
      <c r="U16" s="114">
        <v>5254967</v>
      </c>
      <c r="V16" s="114">
        <v>69115952</v>
      </c>
      <c r="W16" s="114">
        <v>3017337</v>
      </c>
      <c r="X16" s="114">
        <v>13536002</v>
      </c>
      <c r="Y16" s="114">
        <v>3876876</v>
      </c>
      <c r="Z16" s="114">
        <v>3321493</v>
      </c>
      <c r="AA16" s="114">
        <v>5254967</v>
      </c>
      <c r="AB16" s="114">
        <v>-12240181</v>
      </c>
      <c r="AC16" s="114">
        <v>1425260</v>
      </c>
      <c r="AD16" s="114">
        <v>26417</v>
      </c>
      <c r="AE16" s="114">
        <v>552</v>
      </c>
      <c r="AF16" s="114">
        <v>13828818</v>
      </c>
      <c r="AG16" s="114">
        <v>89143</v>
      </c>
      <c r="AH16" s="114">
        <v>0</v>
      </c>
      <c r="AI16" s="114">
        <v>727581.96721311472</v>
      </c>
      <c r="AJ16" s="121">
        <v>0</v>
      </c>
      <c r="AK16" s="82">
        <v>567699458</v>
      </c>
      <c r="AL16" s="83">
        <v>18771950</v>
      </c>
      <c r="AM16" s="114">
        <v>6000</v>
      </c>
      <c r="AN16" s="114">
        <v>207435373</v>
      </c>
      <c r="AO16" s="114">
        <v>4226847</v>
      </c>
      <c r="AP16" s="114">
        <v>185048909</v>
      </c>
      <c r="AQ16" s="114">
        <v>241510828</v>
      </c>
      <c r="AR16" s="114">
        <v>1634386591</v>
      </c>
      <c r="AS16" s="114">
        <v>4545440779</v>
      </c>
      <c r="AT16" s="114">
        <f>555226+9570148</f>
        <v>10125374</v>
      </c>
      <c r="AU16" s="114">
        <v>0</v>
      </c>
      <c r="AV16" s="114">
        <v>0</v>
      </c>
      <c r="AW16" s="114">
        <v>8145409</v>
      </c>
      <c r="AX16" s="114">
        <v>2370016</v>
      </c>
      <c r="AY16" s="114">
        <v>113500</v>
      </c>
      <c r="BD16" s="82">
        <v>29941951.670000002</v>
      </c>
      <c r="BE16" s="82">
        <v>14970976</v>
      </c>
      <c r="BF16" s="117">
        <v>0</v>
      </c>
      <c r="BG16" s="118">
        <v>3392129</v>
      </c>
      <c r="BH16" s="118">
        <v>6523326</v>
      </c>
      <c r="BI16" s="117">
        <v>33333579</v>
      </c>
      <c r="BJ16" s="117">
        <v>33056728</v>
      </c>
      <c r="BK16" s="117">
        <v>89284770.25</v>
      </c>
      <c r="BL16" s="117">
        <v>85138998.25</v>
      </c>
      <c r="BM16" s="117">
        <v>256118566</v>
      </c>
      <c r="BN16" s="117">
        <v>0</v>
      </c>
      <c r="BO16" s="119"/>
      <c r="BP16" s="86">
        <f t="shared" si="4"/>
        <v>6447867856.2172127</v>
      </c>
      <c r="BQ16" s="86">
        <f t="shared" si="5"/>
        <v>5468719050.9672127</v>
      </c>
      <c r="BR16" s="87">
        <v>2819081</v>
      </c>
      <c r="BT16" s="86">
        <f t="shared" si="0"/>
        <v>5014818421</v>
      </c>
      <c r="BU16" s="82">
        <f t="shared" si="1"/>
        <v>567699458</v>
      </c>
      <c r="BV16" s="82">
        <f t="shared" si="2"/>
        <v>18771950</v>
      </c>
      <c r="BW16" s="86">
        <f t="shared" si="3"/>
        <v>4998613827</v>
      </c>
      <c r="BX16" s="86">
        <f t="shared" si="6"/>
        <v>10599903656</v>
      </c>
    </row>
    <row r="17" spans="1:76" x14ac:dyDescent="0.25">
      <c r="A17" s="91" t="s">
        <v>71</v>
      </c>
      <c r="B17" s="114">
        <v>188247084</v>
      </c>
      <c r="C17" s="114">
        <v>125653905</v>
      </c>
      <c r="D17" s="114">
        <v>62685999</v>
      </c>
      <c r="E17" s="114">
        <v>0</v>
      </c>
      <c r="F17" s="88">
        <v>23700500</v>
      </c>
      <c r="G17" s="88">
        <v>9768700</v>
      </c>
      <c r="H17" s="88">
        <v>12559050</v>
      </c>
      <c r="I17" s="88">
        <v>3417700</v>
      </c>
      <c r="J17" s="88">
        <v>37600</v>
      </c>
      <c r="K17" s="88">
        <v>0</v>
      </c>
      <c r="L17" s="88">
        <v>239100101</v>
      </c>
      <c r="M17" s="114">
        <v>79921387</v>
      </c>
      <c r="N17" s="114">
        <v>1051</v>
      </c>
      <c r="O17" s="114">
        <v>412</v>
      </c>
      <c r="P17" s="114">
        <v>3337700</v>
      </c>
      <c r="Q17" s="114">
        <v>2332700</v>
      </c>
      <c r="R17" s="114">
        <v>1513500</v>
      </c>
      <c r="S17" s="114">
        <v>529000</v>
      </c>
      <c r="T17" s="114">
        <v>180900</v>
      </c>
      <c r="U17" s="114">
        <v>405000</v>
      </c>
      <c r="V17" s="114">
        <v>3337700</v>
      </c>
      <c r="W17" s="114">
        <v>2235875</v>
      </c>
      <c r="X17" s="114">
        <v>1513500</v>
      </c>
      <c r="Y17" s="114">
        <v>529000</v>
      </c>
      <c r="Z17" s="114">
        <v>164100</v>
      </c>
      <c r="AA17" s="114">
        <v>405000</v>
      </c>
      <c r="AB17" s="114">
        <v>-888000</v>
      </c>
      <c r="AC17" s="114">
        <v>0</v>
      </c>
      <c r="AD17" s="114">
        <v>296</v>
      </c>
      <c r="AE17" s="114">
        <v>0</v>
      </c>
      <c r="AF17" s="114">
        <v>530500</v>
      </c>
      <c r="AG17" s="114">
        <v>618</v>
      </c>
      <c r="AH17" s="114">
        <v>247188.52459016393</v>
      </c>
      <c r="AI17" s="114">
        <v>304590.16393442621</v>
      </c>
      <c r="AJ17" s="121">
        <v>0</v>
      </c>
      <c r="AK17" s="82">
        <v>84935423</v>
      </c>
      <c r="AL17" s="83">
        <v>2247419</v>
      </c>
      <c r="AM17" s="114">
        <v>0</v>
      </c>
      <c r="AN17" s="114">
        <v>13643327</v>
      </c>
      <c r="AO17" s="114">
        <v>1576921</v>
      </c>
      <c r="AP17" s="114">
        <v>39559550</v>
      </c>
      <c r="AQ17" s="114">
        <v>9136087</v>
      </c>
      <c r="AR17" s="114">
        <v>12295223</v>
      </c>
      <c r="AS17" s="114">
        <v>735227</v>
      </c>
      <c r="AT17" s="114">
        <v>1706691</v>
      </c>
      <c r="AU17" s="114">
        <v>0</v>
      </c>
      <c r="AV17" s="114">
        <v>0</v>
      </c>
      <c r="AW17" s="114">
        <v>0</v>
      </c>
      <c r="AX17" s="114">
        <v>121357</v>
      </c>
      <c r="AY17" s="114">
        <v>14000</v>
      </c>
      <c r="BD17" s="82">
        <v>4479715.97</v>
      </c>
      <c r="BE17" s="82">
        <v>2239858</v>
      </c>
      <c r="BF17" s="117">
        <v>0</v>
      </c>
      <c r="BG17" s="118">
        <v>0</v>
      </c>
      <c r="BH17" s="118">
        <v>0</v>
      </c>
      <c r="BI17" s="117">
        <v>1622632</v>
      </c>
      <c r="BJ17" s="117">
        <v>1622632</v>
      </c>
      <c r="BK17" s="117">
        <v>24073105.25</v>
      </c>
      <c r="BL17" s="117">
        <v>24073105.25</v>
      </c>
      <c r="BM17" s="117">
        <v>0</v>
      </c>
      <c r="BN17" s="117">
        <v>0</v>
      </c>
      <c r="BO17" s="119"/>
      <c r="BP17" s="86">
        <f t="shared" si="4"/>
        <v>516613538.93852454</v>
      </c>
      <c r="BQ17" s="86">
        <f t="shared" si="5"/>
        <v>401495101.68852454</v>
      </c>
      <c r="BR17" s="87">
        <v>1184600</v>
      </c>
      <c r="BT17" s="86">
        <f t="shared" si="0"/>
        <v>376586988</v>
      </c>
      <c r="BU17" s="82">
        <f t="shared" si="1"/>
        <v>84935423</v>
      </c>
      <c r="BV17" s="82">
        <f t="shared" si="2"/>
        <v>2247419</v>
      </c>
      <c r="BW17" s="86">
        <f t="shared" si="3"/>
        <v>25091562</v>
      </c>
      <c r="BX17" s="86">
        <f t="shared" si="6"/>
        <v>488861392</v>
      </c>
    </row>
    <row r="18" spans="1:76" x14ac:dyDescent="0.25">
      <c r="A18" s="91" t="s">
        <v>72</v>
      </c>
      <c r="B18" s="114">
        <v>232415071</v>
      </c>
      <c r="C18" s="114">
        <v>118814561</v>
      </c>
      <c r="D18" s="114">
        <v>88620993</v>
      </c>
      <c r="E18" s="114">
        <v>10388381</v>
      </c>
      <c r="F18" s="114">
        <v>38063539</v>
      </c>
      <c r="G18" s="114">
        <v>11101466</v>
      </c>
      <c r="H18" s="114">
        <v>10699499</v>
      </c>
      <c r="I18" s="114">
        <v>1801716</v>
      </c>
      <c r="J18" s="114">
        <v>92500</v>
      </c>
      <c r="K18" s="114">
        <v>36900</v>
      </c>
      <c r="L18" s="114">
        <v>260424020</v>
      </c>
      <c r="M18" s="114">
        <v>62939153</v>
      </c>
      <c r="N18" s="114">
        <v>1358</v>
      </c>
      <c r="O18" s="114">
        <v>385</v>
      </c>
      <c r="P18" s="114">
        <v>1231225</v>
      </c>
      <c r="Q18" s="114">
        <v>1780334</v>
      </c>
      <c r="R18" s="114">
        <v>5938960</v>
      </c>
      <c r="S18" s="114">
        <v>2187315</v>
      </c>
      <c r="T18" s="114">
        <v>437125</v>
      </c>
      <c r="U18" s="114">
        <v>413370</v>
      </c>
      <c r="V18" s="114">
        <v>1231225</v>
      </c>
      <c r="W18" s="114">
        <v>1769360</v>
      </c>
      <c r="X18" s="114">
        <v>5938960</v>
      </c>
      <c r="Y18" s="114">
        <v>2187315</v>
      </c>
      <c r="Z18" s="114">
        <v>960825</v>
      </c>
      <c r="AA18" s="114">
        <v>413370</v>
      </c>
      <c r="AB18" s="114">
        <v>-2755789</v>
      </c>
      <c r="AC18" s="114">
        <v>-5758</v>
      </c>
      <c r="AD18" s="114">
        <v>24760</v>
      </c>
      <c r="AE18" s="114">
        <v>46667</v>
      </c>
      <c r="AF18" s="114">
        <v>31604548</v>
      </c>
      <c r="AG18" s="114">
        <v>199838</v>
      </c>
      <c r="AH18" s="114">
        <v>21122.950819672133</v>
      </c>
      <c r="AI18" s="114">
        <v>225532.78688524591</v>
      </c>
      <c r="AJ18" s="121">
        <v>0</v>
      </c>
      <c r="AK18" s="82">
        <v>94692954</v>
      </c>
      <c r="AL18" s="83">
        <v>2490005</v>
      </c>
      <c r="AM18" s="114">
        <v>0</v>
      </c>
      <c r="AN18" s="114">
        <v>20556048</v>
      </c>
      <c r="AO18" s="114">
        <v>3065209</v>
      </c>
      <c r="AP18" s="114">
        <v>125086782</v>
      </c>
      <c r="AQ18" s="114">
        <v>25765411</v>
      </c>
      <c r="AR18" s="114">
        <v>33340654</v>
      </c>
      <c r="AS18" s="114">
        <v>25507554</v>
      </c>
      <c r="AT18" s="114">
        <v>1343280</v>
      </c>
      <c r="AU18" s="114">
        <v>0</v>
      </c>
      <c r="AV18" s="114">
        <v>1077224</v>
      </c>
      <c r="AW18" s="114">
        <v>0</v>
      </c>
      <c r="AX18" s="114">
        <v>112457</v>
      </c>
      <c r="AY18" s="114">
        <v>947000</v>
      </c>
      <c r="BD18" s="82">
        <v>4994353.6399999997</v>
      </c>
      <c r="BE18" s="82">
        <v>2497177</v>
      </c>
      <c r="BF18" s="117">
        <v>0</v>
      </c>
      <c r="BG18" s="118">
        <v>1651195</v>
      </c>
      <c r="BH18" s="118">
        <v>3175375</v>
      </c>
      <c r="BI18" s="117">
        <v>19170879</v>
      </c>
      <c r="BJ18" s="117">
        <v>15884440</v>
      </c>
      <c r="BK18" s="117">
        <v>29172587.75</v>
      </c>
      <c r="BL18" s="117">
        <v>26694728.75</v>
      </c>
      <c r="BM18" s="117">
        <v>0</v>
      </c>
      <c r="BN18" s="117">
        <v>14283852</v>
      </c>
      <c r="BO18" s="119"/>
      <c r="BP18" s="86">
        <f t="shared" si="4"/>
        <v>647678300.48770499</v>
      </c>
      <c r="BQ18" s="86">
        <f t="shared" si="5"/>
        <v>489483948.73770493</v>
      </c>
      <c r="BR18" s="87">
        <v>399000</v>
      </c>
      <c r="BT18" s="86">
        <f t="shared" si="0"/>
        <v>439850625</v>
      </c>
      <c r="BU18" s="82">
        <f t="shared" si="1"/>
        <v>94692954</v>
      </c>
      <c r="BV18" s="82">
        <f t="shared" si="2"/>
        <v>2490005</v>
      </c>
      <c r="BW18" s="86">
        <f t="shared" si="3"/>
        <v>74894222</v>
      </c>
      <c r="BX18" s="86">
        <f t="shared" si="6"/>
        <v>611927806</v>
      </c>
    </row>
    <row r="19" spans="1:76" ht="12.75" customHeight="1" x14ac:dyDescent="0.25">
      <c r="A19" s="91" t="s">
        <v>73</v>
      </c>
      <c r="B19" s="114">
        <v>1343275741</v>
      </c>
      <c r="C19" s="114">
        <v>244875844</v>
      </c>
      <c r="D19" s="114">
        <v>379434241</v>
      </c>
      <c r="E19" s="114">
        <v>0</v>
      </c>
      <c r="F19" s="114">
        <v>105656206</v>
      </c>
      <c r="G19" s="114">
        <v>10434661</v>
      </c>
      <c r="H19" s="114">
        <v>16916300</v>
      </c>
      <c r="I19" s="114">
        <v>1228400</v>
      </c>
      <c r="J19" s="114">
        <v>188000</v>
      </c>
      <c r="K19" s="114">
        <v>75200</v>
      </c>
      <c r="L19" s="114">
        <v>596125383</v>
      </c>
      <c r="M19" s="114">
        <v>152654402</v>
      </c>
      <c r="N19" s="114">
        <v>3408</v>
      </c>
      <c r="O19" s="114">
        <v>364</v>
      </c>
      <c r="P19" s="114">
        <v>4171475</v>
      </c>
      <c r="Q19" s="114">
        <v>0</v>
      </c>
      <c r="R19" s="114">
        <v>15034000</v>
      </c>
      <c r="S19" s="114">
        <v>5055727</v>
      </c>
      <c r="T19" s="114">
        <v>345500</v>
      </c>
      <c r="U19" s="114">
        <v>1386000</v>
      </c>
      <c r="V19" s="114">
        <v>4171475</v>
      </c>
      <c r="W19" s="114">
        <v>0</v>
      </c>
      <c r="X19" s="114">
        <v>15034000</v>
      </c>
      <c r="Y19" s="114">
        <v>5055727</v>
      </c>
      <c r="Z19" s="114">
        <v>330500</v>
      </c>
      <c r="AA19" s="114">
        <v>1386000</v>
      </c>
      <c r="AB19" s="114">
        <v>6199931</v>
      </c>
      <c r="AC19" s="114">
        <v>-16650760</v>
      </c>
      <c r="AD19" s="114">
        <v>66809</v>
      </c>
      <c r="AE19" s="114">
        <v>4681</v>
      </c>
      <c r="AF19" s="114">
        <v>2340500</v>
      </c>
      <c r="AG19" s="114">
        <v>202601</v>
      </c>
      <c r="AH19" s="114">
        <v>0</v>
      </c>
      <c r="AI19" s="114">
        <v>47959.016393442624</v>
      </c>
      <c r="AJ19" s="121">
        <v>0</v>
      </c>
      <c r="AK19" s="82">
        <v>256866571</v>
      </c>
      <c r="AL19" s="83">
        <v>12138348</v>
      </c>
      <c r="AM19" s="114">
        <v>0</v>
      </c>
      <c r="AN19" s="114">
        <v>67895259</v>
      </c>
      <c r="AO19" s="114">
        <v>4673170</v>
      </c>
      <c r="AP19" s="114">
        <v>136273936</v>
      </c>
      <c r="AQ19" s="114">
        <v>73330615</v>
      </c>
      <c r="AR19" s="114">
        <v>63688051</v>
      </c>
      <c r="AS19" s="114">
        <v>75003452</v>
      </c>
      <c r="AT19" s="114">
        <f>5680708+384</f>
        <v>5681092</v>
      </c>
      <c r="AU19" s="114">
        <v>0</v>
      </c>
      <c r="AV19" s="114">
        <v>0</v>
      </c>
      <c r="AW19" s="114">
        <v>0</v>
      </c>
      <c r="AX19" s="114">
        <v>1369005</v>
      </c>
      <c r="AY19" s="114">
        <v>2943817</v>
      </c>
      <c r="BD19" s="82">
        <v>13547813.630000001</v>
      </c>
      <c r="BE19" s="82">
        <v>6773907</v>
      </c>
      <c r="BF19" s="117">
        <v>9204663</v>
      </c>
      <c r="BG19" s="118">
        <v>908606</v>
      </c>
      <c r="BH19" s="118">
        <v>1747319</v>
      </c>
      <c r="BI19" s="117">
        <v>2847851</v>
      </c>
      <c r="BJ19" s="117">
        <v>2847851</v>
      </c>
      <c r="BK19" s="117">
        <v>51152893.5</v>
      </c>
      <c r="BL19" s="117">
        <v>50160064.5</v>
      </c>
      <c r="BM19" s="117">
        <v>0</v>
      </c>
      <c r="BN19" s="117">
        <v>11117571</v>
      </c>
      <c r="BO19" s="119"/>
      <c r="BP19" s="86">
        <f t="shared" si="4"/>
        <v>2454345747.5163937</v>
      </c>
      <c r="BQ19" s="86">
        <f t="shared" si="5"/>
        <v>2113532829.0163934</v>
      </c>
      <c r="BR19" s="87">
        <v>3070388</v>
      </c>
      <c r="BT19" s="86">
        <f t="shared" si="0"/>
        <v>1967585826</v>
      </c>
      <c r="BU19" s="82">
        <f t="shared" si="1"/>
        <v>256866571</v>
      </c>
      <c r="BV19" s="82">
        <f t="shared" si="2"/>
        <v>12138348</v>
      </c>
      <c r="BW19" s="86">
        <f t="shared" si="3"/>
        <v>220902496</v>
      </c>
      <c r="BX19" s="86">
        <f t="shared" si="6"/>
        <v>2457493241</v>
      </c>
    </row>
    <row r="20" spans="1:76" x14ac:dyDescent="0.25">
      <c r="A20" s="91" t="s">
        <v>74</v>
      </c>
      <c r="B20" s="114">
        <v>4299041389</v>
      </c>
      <c r="C20" s="114">
        <v>182167530</v>
      </c>
      <c r="D20" s="114">
        <v>1106113882</v>
      </c>
      <c r="E20" s="114">
        <v>0</v>
      </c>
      <c r="F20" s="114">
        <v>265240644</v>
      </c>
      <c r="G20" s="114">
        <v>27372025</v>
      </c>
      <c r="H20" s="114">
        <v>14480800</v>
      </c>
      <c r="I20" s="114">
        <v>1203200</v>
      </c>
      <c r="J20" s="114">
        <v>1022130</v>
      </c>
      <c r="K20" s="114">
        <v>150400</v>
      </c>
      <c r="L20" s="114">
        <v>219444358</v>
      </c>
      <c r="M20" s="114">
        <v>401611888</v>
      </c>
      <c r="N20" s="114">
        <v>7217</v>
      </c>
      <c r="O20" s="114">
        <v>758</v>
      </c>
      <c r="P20" s="114">
        <v>52900797</v>
      </c>
      <c r="Q20" s="114">
        <v>3800950</v>
      </c>
      <c r="R20" s="114">
        <v>12352961</v>
      </c>
      <c r="S20" s="114">
        <v>18372096</v>
      </c>
      <c r="T20" s="114">
        <v>3944840</v>
      </c>
      <c r="U20" s="114">
        <v>20187187</v>
      </c>
      <c r="V20" s="114">
        <v>52900797</v>
      </c>
      <c r="W20" s="114">
        <v>3800950</v>
      </c>
      <c r="X20" s="114">
        <v>12352961</v>
      </c>
      <c r="Y20" s="114">
        <v>18372096</v>
      </c>
      <c r="Z20" s="114">
        <v>3944840</v>
      </c>
      <c r="AA20" s="114">
        <v>20187187</v>
      </c>
      <c r="AB20" s="114">
        <v>-12367471</v>
      </c>
      <c r="AC20" s="114">
        <v>-806861</v>
      </c>
      <c r="AD20" s="114">
        <v>0</v>
      </c>
      <c r="AE20" s="114">
        <v>0</v>
      </c>
      <c r="AF20" s="114">
        <v>0</v>
      </c>
      <c r="AG20" s="114">
        <v>0</v>
      </c>
      <c r="AH20" s="114">
        <v>0</v>
      </c>
      <c r="AI20" s="114">
        <v>0</v>
      </c>
      <c r="AJ20" s="121">
        <v>0</v>
      </c>
      <c r="AK20" s="82">
        <v>598097365</v>
      </c>
      <c r="AL20" s="83">
        <v>9502555</v>
      </c>
      <c r="AM20" s="114">
        <v>235980</v>
      </c>
      <c r="AN20" s="114">
        <v>167017102</v>
      </c>
      <c r="AO20" s="114">
        <v>23416788</v>
      </c>
      <c r="AP20" s="114">
        <v>206423161</v>
      </c>
      <c r="AQ20" s="114">
        <v>112947285</v>
      </c>
      <c r="AR20" s="114">
        <v>67415335</v>
      </c>
      <c r="AS20" s="114">
        <v>15567345</v>
      </c>
      <c r="AT20" s="114">
        <v>521541</v>
      </c>
      <c r="AU20" s="114">
        <v>0</v>
      </c>
      <c r="AV20" s="114">
        <v>0</v>
      </c>
      <c r="AW20" s="114">
        <v>215655</v>
      </c>
      <c r="AX20" s="114">
        <v>2848127</v>
      </c>
      <c r="AY20" s="114">
        <v>0</v>
      </c>
      <c r="BD20" s="82">
        <v>31545216.66</v>
      </c>
      <c r="BE20" s="82">
        <v>15772608</v>
      </c>
      <c r="BF20" s="117">
        <v>29435233</v>
      </c>
      <c r="BG20" s="118">
        <v>2647297</v>
      </c>
      <c r="BH20" s="118">
        <v>5090955</v>
      </c>
      <c r="BI20" s="117">
        <v>89460667</v>
      </c>
      <c r="BJ20" s="117">
        <v>89460667</v>
      </c>
      <c r="BK20" s="117">
        <v>146841432.25</v>
      </c>
      <c r="BL20" s="117">
        <v>139500904.25</v>
      </c>
      <c r="BM20" s="117">
        <v>666653</v>
      </c>
      <c r="BN20" s="117">
        <v>0</v>
      </c>
      <c r="BO20" s="119"/>
      <c r="BP20" s="86">
        <f t="shared" si="4"/>
        <v>6746352025.25</v>
      </c>
      <c r="BQ20" s="86">
        <f t="shared" si="5"/>
        <v>5890703976</v>
      </c>
      <c r="BR20" s="87">
        <v>7551226</v>
      </c>
      <c r="BT20" s="86">
        <f t="shared" si="0"/>
        <v>5587322801</v>
      </c>
      <c r="BU20" s="82">
        <f t="shared" si="1"/>
        <v>598097365</v>
      </c>
      <c r="BV20" s="82">
        <f t="shared" si="2"/>
        <v>9502555</v>
      </c>
      <c r="BW20" s="86">
        <f t="shared" si="3"/>
        <v>318948520</v>
      </c>
      <c r="BX20" s="86">
        <f t="shared" si="6"/>
        <v>6513871241</v>
      </c>
    </row>
    <row r="21" spans="1:76" x14ac:dyDescent="0.25">
      <c r="A21" s="91" t="s">
        <v>75</v>
      </c>
      <c r="B21" s="114">
        <v>75515377</v>
      </c>
      <c r="C21" s="114">
        <v>87054601</v>
      </c>
      <c r="D21" s="114">
        <v>17455952</v>
      </c>
      <c r="E21" s="114">
        <v>0</v>
      </c>
      <c r="F21" s="114">
        <v>14603369</v>
      </c>
      <c r="G21" s="114">
        <v>5686300</v>
      </c>
      <c r="H21" s="114">
        <v>6799158</v>
      </c>
      <c r="I21" s="114">
        <v>1131806</v>
      </c>
      <c r="J21" s="114">
        <v>0</v>
      </c>
      <c r="K21" s="114">
        <v>0</v>
      </c>
      <c r="L21" s="114">
        <v>386952200</v>
      </c>
      <c r="M21" s="114">
        <v>31048325</v>
      </c>
      <c r="N21" s="114">
        <v>618</v>
      </c>
      <c r="O21" s="114">
        <v>212</v>
      </c>
      <c r="P21" s="114">
        <v>960975</v>
      </c>
      <c r="Q21" s="114">
        <v>569593</v>
      </c>
      <c r="R21" s="114">
        <v>748000</v>
      </c>
      <c r="S21" s="114">
        <v>569330</v>
      </c>
      <c r="T21" s="114">
        <v>342066</v>
      </c>
      <c r="U21" s="114">
        <v>450900</v>
      </c>
      <c r="V21" s="114">
        <v>960975</v>
      </c>
      <c r="W21" s="114">
        <v>592046</v>
      </c>
      <c r="X21" s="114">
        <v>748000</v>
      </c>
      <c r="Y21" s="114">
        <v>569330</v>
      </c>
      <c r="Z21" s="114">
        <v>438500</v>
      </c>
      <c r="AA21" s="114">
        <v>450900</v>
      </c>
      <c r="AB21" s="114">
        <v>-1795521</v>
      </c>
      <c r="AC21" s="114">
        <v>-215930</v>
      </c>
      <c r="AD21" s="114">
        <v>25971</v>
      </c>
      <c r="AE21" s="114">
        <v>92312</v>
      </c>
      <c r="AF21" s="114">
        <v>49881132</v>
      </c>
      <c r="AG21" s="114">
        <v>41283</v>
      </c>
      <c r="AH21" s="114">
        <v>0</v>
      </c>
      <c r="AI21" s="114">
        <v>11680.327868852459</v>
      </c>
      <c r="AJ21" s="121">
        <v>0</v>
      </c>
      <c r="AK21" s="82">
        <v>44259973</v>
      </c>
      <c r="AL21" s="83">
        <v>1323601</v>
      </c>
      <c r="AM21" s="114">
        <v>100000</v>
      </c>
      <c r="AN21" s="114">
        <v>12202120</v>
      </c>
      <c r="AO21" s="114">
        <v>18036</v>
      </c>
      <c r="AP21" s="114">
        <v>478699</v>
      </c>
      <c r="AQ21" s="114">
        <v>2766462</v>
      </c>
      <c r="AR21" s="114">
        <v>657587</v>
      </c>
      <c r="AS21" s="114">
        <v>0</v>
      </c>
      <c r="AT21" s="114">
        <v>2443730</v>
      </c>
      <c r="AU21" s="114">
        <v>0</v>
      </c>
      <c r="AV21" s="114">
        <v>0</v>
      </c>
      <c r="AW21" s="114">
        <v>0</v>
      </c>
      <c r="AX21" s="114">
        <v>400</v>
      </c>
      <c r="AY21" s="114">
        <v>0</v>
      </c>
      <c r="BD21" s="82">
        <v>2334386.54</v>
      </c>
      <c r="BE21" s="82">
        <v>1167193</v>
      </c>
      <c r="BF21" s="117">
        <v>12305699</v>
      </c>
      <c r="BG21" s="118">
        <v>919823</v>
      </c>
      <c r="BH21" s="118">
        <v>1768891</v>
      </c>
      <c r="BI21" s="117">
        <v>9782870</v>
      </c>
      <c r="BJ21" s="117">
        <v>9782870</v>
      </c>
      <c r="BK21" s="117">
        <v>25187573.75</v>
      </c>
      <c r="BL21" s="117">
        <v>20230737.75</v>
      </c>
      <c r="BM21" s="117">
        <v>0</v>
      </c>
      <c r="BN21" s="117">
        <v>0</v>
      </c>
      <c r="BO21" s="119"/>
      <c r="BP21" s="86">
        <f t="shared" si="4"/>
        <v>272708426.07786882</v>
      </c>
      <c r="BQ21" s="86">
        <f t="shared" si="5"/>
        <v>195024228.32786885</v>
      </c>
      <c r="BR21" s="87">
        <v>277450</v>
      </c>
      <c r="BT21" s="86">
        <f t="shared" si="0"/>
        <v>180025930</v>
      </c>
      <c r="BU21" s="82">
        <f t="shared" si="1"/>
        <v>44259973</v>
      </c>
      <c r="BV21" s="82">
        <f t="shared" si="2"/>
        <v>1323601</v>
      </c>
      <c r="BW21" s="86">
        <f t="shared" si="3"/>
        <v>14986618</v>
      </c>
      <c r="BX21" s="86">
        <f t="shared" si="6"/>
        <v>240596122</v>
      </c>
    </row>
    <row r="22" spans="1:76" x14ac:dyDescent="0.25">
      <c r="A22" s="91" t="s">
        <v>76</v>
      </c>
      <c r="B22" s="114">
        <v>230657740</v>
      </c>
      <c r="C22" s="114">
        <v>62725550</v>
      </c>
      <c r="D22" s="114">
        <v>194901413</v>
      </c>
      <c r="E22" s="114">
        <v>189076112</v>
      </c>
      <c r="F22" s="114">
        <v>24437600</v>
      </c>
      <c r="G22" s="114">
        <v>2713900</v>
      </c>
      <c r="H22" s="114">
        <v>5408000</v>
      </c>
      <c r="I22" s="114">
        <v>188000</v>
      </c>
      <c r="J22" s="114">
        <v>110200</v>
      </c>
      <c r="K22" s="114">
        <v>37600</v>
      </c>
      <c r="L22" s="114">
        <v>129255190</v>
      </c>
      <c r="M22" s="114">
        <v>43968300</v>
      </c>
      <c r="N22" s="114">
        <v>838</v>
      </c>
      <c r="O22" s="114">
        <v>98</v>
      </c>
      <c r="P22" s="114">
        <v>2576600</v>
      </c>
      <c r="Q22" s="114">
        <v>707800</v>
      </c>
      <c r="R22" s="114">
        <v>290000</v>
      </c>
      <c r="S22" s="114">
        <v>1836200</v>
      </c>
      <c r="T22" s="114">
        <v>305500</v>
      </c>
      <c r="U22" s="114">
        <v>1153000</v>
      </c>
      <c r="V22" s="114">
        <v>2576600</v>
      </c>
      <c r="W22" s="114">
        <v>771300</v>
      </c>
      <c r="X22" s="114">
        <v>290000</v>
      </c>
      <c r="Y22" s="114">
        <v>1836200</v>
      </c>
      <c r="Z22" s="114">
        <v>432500</v>
      </c>
      <c r="AA22" s="114">
        <v>1153000</v>
      </c>
      <c r="AB22" s="114">
        <v>-456500</v>
      </c>
      <c r="AC22" s="114">
        <v>-207673</v>
      </c>
      <c r="AD22" s="114">
        <v>22378</v>
      </c>
      <c r="AE22" s="114">
        <v>0</v>
      </c>
      <c r="AF22" s="114">
        <v>0</v>
      </c>
      <c r="AG22" s="114">
        <v>67192</v>
      </c>
      <c r="AH22" s="114">
        <v>0</v>
      </c>
      <c r="AI22" s="114">
        <v>240163.93442622951</v>
      </c>
      <c r="AJ22" s="121">
        <v>0</v>
      </c>
      <c r="AK22" s="82">
        <v>69831957</v>
      </c>
      <c r="AL22" s="83">
        <v>1903069</v>
      </c>
      <c r="AM22" s="114">
        <v>1086393</v>
      </c>
      <c r="AN22" s="114">
        <v>33782068</v>
      </c>
      <c r="AO22" s="114">
        <v>3693001</v>
      </c>
      <c r="AP22" s="114">
        <v>81519600</v>
      </c>
      <c r="AQ22" s="114">
        <v>24051682</v>
      </c>
      <c r="AR22" s="114">
        <v>34187456</v>
      </c>
      <c r="AS22" s="114">
        <v>16106423</v>
      </c>
      <c r="AT22" s="114">
        <f>300+1382873974</f>
        <v>1382874274</v>
      </c>
      <c r="AU22" s="114">
        <v>0</v>
      </c>
      <c r="AV22" s="114">
        <v>0</v>
      </c>
      <c r="AW22" s="114">
        <v>0</v>
      </c>
      <c r="AX22" s="114">
        <v>7148532</v>
      </c>
      <c r="AY22" s="114">
        <v>0</v>
      </c>
      <c r="BD22" s="82">
        <v>3683119.74</v>
      </c>
      <c r="BE22" s="82">
        <v>1841560</v>
      </c>
      <c r="BF22" s="117">
        <v>22420984</v>
      </c>
      <c r="BG22" s="118">
        <v>2384063</v>
      </c>
      <c r="BH22" s="118">
        <v>4584736</v>
      </c>
      <c r="BI22" s="117">
        <v>73105026</v>
      </c>
      <c r="BJ22" s="117">
        <v>73105026</v>
      </c>
      <c r="BK22" s="117">
        <v>59918670.75</v>
      </c>
      <c r="BL22" s="117">
        <v>57185587.75</v>
      </c>
      <c r="BM22" s="117">
        <v>0</v>
      </c>
      <c r="BN22" s="117">
        <v>0</v>
      </c>
      <c r="BO22" s="119"/>
      <c r="BP22" s="86">
        <f t="shared" si="4"/>
        <v>756302880.68442631</v>
      </c>
      <c r="BQ22" s="86">
        <f t="shared" si="5"/>
        <v>550051617.93442631</v>
      </c>
      <c r="BR22" s="87">
        <v>911700</v>
      </c>
      <c r="BT22" s="86">
        <f t="shared" si="0"/>
        <v>488284703</v>
      </c>
      <c r="BU22" s="82">
        <f t="shared" si="1"/>
        <v>69831957</v>
      </c>
      <c r="BV22" s="82">
        <f t="shared" si="2"/>
        <v>1903069</v>
      </c>
      <c r="BW22" s="86">
        <f t="shared" si="3"/>
        <v>77633174</v>
      </c>
      <c r="BX22" s="86">
        <f t="shared" si="6"/>
        <v>637652903</v>
      </c>
    </row>
    <row r="23" spans="1:76" x14ac:dyDescent="0.25">
      <c r="A23" s="91" t="s">
        <v>77</v>
      </c>
      <c r="B23" s="114">
        <v>401006926</v>
      </c>
      <c r="C23" s="114">
        <v>142344474</v>
      </c>
      <c r="D23" s="114">
        <v>159388557</v>
      </c>
      <c r="E23" s="114">
        <v>0</v>
      </c>
      <c r="F23" s="114">
        <v>52445050</v>
      </c>
      <c r="G23" s="114">
        <v>35188600</v>
      </c>
      <c r="H23" s="114">
        <v>20281550</v>
      </c>
      <c r="I23" s="114">
        <v>8534750</v>
      </c>
      <c r="J23" s="114">
        <v>180400</v>
      </c>
      <c r="K23" s="114">
        <v>67600</v>
      </c>
      <c r="L23" s="114">
        <v>117673944</v>
      </c>
      <c r="M23" s="114">
        <v>102009740</v>
      </c>
      <c r="N23" s="114">
        <v>2238</v>
      </c>
      <c r="O23" s="114">
        <v>1425</v>
      </c>
      <c r="P23" s="114">
        <v>4827300</v>
      </c>
      <c r="Q23" s="114">
        <v>1833900</v>
      </c>
      <c r="R23" s="114">
        <v>1073400</v>
      </c>
      <c r="S23" s="114">
        <v>3834875</v>
      </c>
      <c r="T23" s="114">
        <v>1009100</v>
      </c>
      <c r="U23" s="114">
        <v>599500</v>
      </c>
      <c r="V23" s="114">
        <v>4827300</v>
      </c>
      <c r="W23" s="114">
        <v>1809600</v>
      </c>
      <c r="X23" s="114">
        <v>1073400</v>
      </c>
      <c r="Y23" s="114">
        <v>3834875</v>
      </c>
      <c r="Z23" s="114">
        <v>940100</v>
      </c>
      <c r="AA23" s="114">
        <v>599500</v>
      </c>
      <c r="AB23" s="114">
        <v>-7146600</v>
      </c>
      <c r="AC23" s="114">
        <v>-55157</v>
      </c>
      <c r="AD23" s="114">
        <v>143463</v>
      </c>
      <c r="AE23" s="114">
        <v>0</v>
      </c>
      <c r="AF23" s="114">
        <v>0</v>
      </c>
      <c r="AG23" s="114">
        <v>218551</v>
      </c>
      <c r="AH23" s="114">
        <v>0</v>
      </c>
      <c r="AI23" s="114">
        <v>2166614.7540983609</v>
      </c>
      <c r="AJ23" s="121">
        <v>22400</v>
      </c>
      <c r="AK23" s="82">
        <v>180732505</v>
      </c>
      <c r="AL23" s="83">
        <v>4596729</v>
      </c>
      <c r="AM23" s="114">
        <v>303049</v>
      </c>
      <c r="AN23" s="114">
        <v>23401560</v>
      </c>
      <c r="AO23" s="114">
        <v>2999068</v>
      </c>
      <c r="AP23" s="114">
        <v>27477239</v>
      </c>
      <c r="AQ23" s="114">
        <v>25175709</v>
      </c>
      <c r="AR23" s="114">
        <v>6864622</v>
      </c>
      <c r="AS23" s="114">
        <v>0</v>
      </c>
      <c r="AT23" s="114">
        <v>951046</v>
      </c>
      <c r="AU23" s="114">
        <v>0</v>
      </c>
      <c r="AV23" s="114">
        <v>0</v>
      </c>
      <c r="AW23" s="114">
        <v>0</v>
      </c>
      <c r="AX23" s="114">
        <v>0</v>
      </c>
      <c r="AY23" s="114">
        <v>25800</v>
      </c>
      <c r="BD23" s="82">
        <v>9532304.1999999993</v>
      </c>
      <c r="BE23" s="82">
        <v>4766152</v>
      </c>
      <c r="BF23" s="117">
        <v>0</v>
      </c>
      <c r="BG23" s="118">
        <v>0</v>
      </c>
      <c r="BH23" s="118">
        <v>0</v>
      </c>
      <c r="BI23" s="117">
        <v>41828754</v>
      </c>
      <c r="BJ23" s="117">
        <v>41828754</v>
      </c>
      <c r="BK23" s="117">
        <v>68736352</v>
      </c>
      <c r="BL23" s="117">
        <v>68331411</v>
      </c>
      <c r="BM23" s="117">
        <v>0</v>
      </c>
      <c r="BN23" s="117">
        <v>0</v>
      </c>
      <c r="BO23" s="119"/>
      <c r="BP23" s="86">
        <f t="shared" si="4"/>
        <v>1056760859.7540984</v>
      </c>
      <c r="BQ23" s="86">
        <f t="shared" si="5"/>
        <v>756505308.75409842</v>
      </c>
      <c r="BR23" s="87">
        <v>13955291</v>
      </c>
      <c r="BT23" s="86">
        <f t="shared" si="0"/>
        <v>702739957</v>
      </c>
      <c r="BU23" s="82">
        <f t="shared" si="1"/>
        <v>180732505</v>
      </c>
      <c r="BV23" s="82">
        <f t="shared" si="2"/>
        <v>4596729</v>
      </c>
      <c r="BW23" s="86">
        <f t="shared" si="3"/>
        <v>51576337</v>
      </c>
      <c r="BX23" s="86">
        <f t="shared" si="6"/>
        <v>939645528</v>
      </c>
    </row>
    <row r="24" spans="1:76" x14ac:dyDescent="0.25">
      <c r="A24" s="91" t="s">
        <v>78</v>
      </c>
      <c r="B24" s="114">
        <v>219140015</v>
      </c>
      <c r="C24" s="114">
        <v>179695550</v>
      </c>
      <c r="D24" s="114">
        <v>70591450</v>
      </c>
      <c r="E24" s="114">
        <v>0</v>
      </c>
      <c r="F24" s="114">
        <v>41473200</v>
      </c>
      <c r="G24" s="114">
        <v>8259300</v>
      </c>
      <c r="H24" s="114">
        <v>23275800</v>
      </c>
      <c r="I24" s="114">
        <v>2162300</v>
      </c>
      <c r="J24" s="114">
        <v>0</v>
      </c>
      <c r="K24" s="114">
        <v>0</v>
      </c>
      <c r="L24" s="114">
        <v>292205595</v>
      </c>
      <c r="M24" s="114">
        <v>107886500</v>
      </c>
      <c r="N24" s="114">
        <v>1886</v>
      </c>
      <c r="O24" s="114">
        <v>348</v>
      </c>
      <c r="P24" s="114">
        <v>1566000</v>
      </c>
      <c r="Q24" s="114">
        <v>2017000</v>
      </c>
      <c r="R24" s="114">
        <v>2164500</v>
      </c>
      <c r="S24" s="114">
        <v>206000</v>
      </c>
      <c r="T24" s="114">
        <v>19000</v>
      </c>
      <c r="U24" s="114">
        <v>45000</v>
      </c>
      <c r="V24" s="114">
        <v>1566000</v>
      </c>
      <c r="W24" s="114">
        <v>2017000</v>
      </c>
      <c r="X24" s="114">
        <v>2164500</v>
      </c>
      <c r="Y24" s="114">
        <v>206000</v>
      </c>
      <c r="Z24" s="114">
        <v>20000</v>
      </c>
      <c r="AA24" s="114">
        <v>45000</v>
      </c>
      <c r="AB24" s="114">
        <v>-2491900</v>
      </c>
      <c r="AC24" s="114">
        <v>-181583</v>
      </c>
      <c r="AD24" s="114">
        <v>146676</v>
      </c>
      <c r="AE24" s="114">
        <v>0</v>
      </c>
      <c r="AF24" s="114">
        <v>0</v>
      </c>
      <c r="AG24" s="114">
        <v>275003</v>
      </c>
      <c r="AH24" s="114">
        <v>15122.950819672131</v>
      </c>
      <c r="AI24" s="114">
        <v>82950.819672131154</v>
      </c>
      <c r="AJ24" s="121">
        <v>0</v>
      </c>
      <c r="AK24" s="82">
        <v>87040471</v>
      </c>
      <c r="AL24" s="83">
        <v>2477982</v>
      </c>
      <c r="AM24" s="114">
        <v>0</v>
      </c>
      <c r="AN24" s="114">
        <v>13758746</v>
      </c>
      <c r="AO24" s="114">
        <v>325934</v>
      </c>
      <c r="AP24" s="114">
        <v>23841602</v>
      </c>
      <c r="AQ24" s="114">
        <v>13616923</v>
      </c>
      <c r="AR24" s="114">
        <v>10875829</v>
      </c>
      <c r="AS24" s="114">
        <v>2254386</v>
      </c>
      <c r="AT24" s="114">
        <v>162272</v>
      </c>
      <c r="AU24" s="114">
        <v>0</v>
      </c>
      <c r="AV24" s="114">
        <v>0</v>
      </c>
      <c r="AW24" s="114">
        <v>413604</v>
      </c>
      <c r="AX24" s="114">
        <v>4628</v>
      </c>
      <c r="AY24" s="114">
        <v>0</v>
      </c>
      <c r="BD24" s="82">
        <v>4590741.7</v>
      </c>
      <c r="BE24" s="82">
        <v>2295371</v>
      </c>
      <c r="BF24" s="117">
        <v>0</v>
      </c>
      <c r="BG24" s="118">
        <v>0</v>
      </c>
      <c r="BH24" s="118">
        <v>0</v>
      </c>
      <c r="BI24" s="117">
        <v>24013022</v>
      </c>
      <c r="BJ24" s="117">
        <v>24013022</v>
      </c>
      <c r="BK24" s="117">
        <v>61212293.75</v>
      </c>
      <c r="BL24" s="117">
        <v>60598600.75</v>
      </c>
      <c r="BM24" s="117">
        <v>0</v>
      </c>
      <c r="BN24" s="117">
        <v>0</v>
      </c>
      <c r="BO24" s="119"/>
      <c r="BP24" s="86">
        <f t="shared" si="4"/>
        <v>673652138.52049184</v>
      </c>
      <c r="BQ24" s="86">
        <f t="shared" si="5"/>
        <v>497226691.77049178</v>
      </c>
      <c r="BR24" s="87">
        <v>636000</v>
      </c>
      <c r="BT24" s="86">
        <f t="shared" si="0"/>
        <v>469427015</v>
      </c>
      <c r="BU24" s="82">
        <f t="shared" si="1"/>
        <v>87040471</v>
      </c>
      <c r="BV24" s="82">
        <f t="shared" si="2"/>
        <v>2477982</v>
      </c>
      <c r="BW24" s="86">
        <f t="shared" si="3"/>
        <v>29955989</v>
      </c>
      <c r="BX24" s="86">
        <f t="shared" si="6"/>
        <v>588901457</v>
      </c>
    </row>
    <row r="25" spans="1:76" x14ac:dyDescent="0.25">
      <c r="A25" s="91" t="s">
        <v>79</v>
      </c>
      <c r="B25" s="114">
        <v>1734838429</v>
      </c>
      <c r="C25" s="114">
        <v>433736203</v>
      </c>
      <c r="D25" s="114">
        <v>886116990</v>
      </c>
      <c r="E25" s="114">
        <v>32374532</v>
      </c>
      <c r="F25" s="114">
        <v>126123364</v>
      </c>
      <c r="G25" s="114">
        <v>16001428</v>
      </c>
      <c r="H25" s="114">
        <v>17070605</v>
      </c>
      <c r="I25" s="114">
        <v>984082</v>
      </c>
      <c r="J25" s="114">
        <v>188000</v>
      </c>
      <c r="K25" s="114">
        <v>0</v>
      </c>
      <c r="L25" s="114">
        <v>1070628472</v>
      </c>
      <c r="M25" s="114">
        <v>203626541</v>
      </c>
      <c r="N25" s="114">
        <v>3926</v>
      </c>
      <c r="O25" s="114">
        <v>487</v>
      </c>
      <c r="P25" s="114">
        <v>20861243</v>
      </c>
      <c r="Q25" s="114">
        <v>7207475</v>
      </c>
      <c r="R25" s="114">
        <v>27758705</v>
      </c>
      <c r="S25" s="114">
        <v>19124608</v>
      </c>
      <c r="T25" s="114">
        <v>3824721</v>
      </c>
      <c r="U25" s="114">
        <v>5797086</v>
      </c>
      <c r="V25" s="114">
        <v>20861243</v>
      </c>
      <c r="W25" s="114">
        <v>7426199</v>
      </c>
      <c r="X25" s="114">
        <v>27758705</v>
      </c>
      <c r="Y25" s="114">
        <v>19124608</v>
      </c>
      <c r="Z25" s="114">
        <v>5658618</v>
      </c>
      <c r="AA25" s="114">
        <v>5797086</v>
      </c>
      <c r="AB25" s="114">
        <v>-4636569</v>
      </c>
      <c r="AC25" s="114">
        <v>-438804</v>
      </c>
      <c r="AD25" s="114">
        <v>44259</v>
      </c>
      <c r="AE25" s="114">
        <v>2810</v>
      </c>
      <c r="AF25" s="114">
        <v>250051510</v>
      </c>
      <c r="AG25" s="114">
        <v>409282</v>
      </c>
      <c r="AH25" s="114">
        <v>1032401.6393442623</v>
      </c>
      <c r="AI25" s="114">
        <v>1767934.4262295081</v>
      </c>
      <c r="AJ25" s="121">
        <v>0</v>
      </c>
      <c r="AK25" s="82">
        <v>376598791</v>
      </c>
      <c r="AL25" s="83">
        <v>7258839</v>
      </c>
      <c r="AM25" s="114">
        <v>0</v>
      </c>
      <c r="AN25" s="114">
        <v>181241805</v>
      </c>
      <c r="AO25" s="114">
        <v>38557530</v>
      </c>
      <c r="AP25" s="114">
        <v>620957335</v>
      </c>
      <c r="AQ25" s="114">
        <v>153983280</v>
      </c>
      <c r="AR25" s="114">
        <v>171268883</v>
      </c>
      <c r="AS25" s="114">
        <v>115779612</v>
      </c>
      <c r="AT25" s="114">
        <v>12838468</v>
      </c>
      <c r="AU25" s="114">
        <v>17923487</v>
      </c>
      <c r="AV25" s="114">
        <v>3163020</v>
      </c>
      <c r="AW25" s="114">
        <v>261800252</v>
      </c>
      <c r="AX25" s="114">
        <v>1897897</v>
      </c>
      <c r="AY25" s="114">
        <v>2775200</v>
      </c>
      <c r="BD25" s="82">
        <v>19862803.530000001</v>
      </c>
      <c r="BE25" s="82">
        <v>9931402</v>
      </c>
      <c r="BF25" s="117">
        <v>0</v>
      </c>
      <c r="BG25" s="118">
        <v>2518671</v>
      </c>
      <c r="BH25" s="118">
        <v>4843598</v>
      </c>
      <c r="BI25" s="117">
        <v>56435281</v>
      </c>
      <c r="BJ25" s="117">
        <v>56435281</v>
      </c>
      <c r="BK25" s="117">
        <v>98306513.25</v>
      </c>
      <c r="BL25" s="117">
        <v>90135158.25</v>
      </c>
      <c r="BM25" s="117">
        <v>50911</v>
      </c>
      <c r="BN25" s="117">
        <v>12518714</v>
      </c>
      <c r="BO25" s="119"/>
      <c r="BP25" s="86">
        <f t="shared" si="4"/>
        <v>3986722340.3155737</v>
      </c>
      <c r="BQ25" s="86">
        <f t="shared" si="5"/>
        <v>3431274573.0655737</v>
      </c>
      <c r="BR25" s="87">
        <v>4919026</v>
      </c>
      <c r="BT25" s="86">
        <f t="shared" si="0"/>
        <v>3054691622</v>
      </c>
      <c r="BU25" s="82">
        <f t="shared" si="1"/>
        <v>376598791</v>
      </c>
      <c r="BV25" s="82">
        <f t="shared" si="2"/>
        <v>7258839</v>
      </c>
      <c r="BW25" s="86">
        <f t="shared" si="3"/>
        <v>489562227</v>
      </c>
      <c r="BX25" s="86">
        <f t="shared" si="6"/>
        <v>3928111479</v>
      </c>
    </row>
    <row r="26" spans="1:76" x14ac:dyDescent="0.25">
      <c r="A26" s="91" t="s">
        <v>80</v>
      </c>
      <c r="B26" s="114">
        <v>1446915500</v>
      </c>
      <c r="C26" s="114">
        <v>250634800</v>
      </c>
      <c r="D26" s="114">
        <v>596792700</v>
      </c>
      <c r="E26" s="114">
        <v>2800000</v>
      </c>
      <c r="F26" s="114">
        <v>92602900</v>
      </c>
      <c r="G26" s="114">
        <v>18969500</v>
      </c>
      <c r="H26" s="114">
        <v>13614100</v>
      </c>
      <c r="I26" s="114">
        <v>1760300</v>
      </c>
      <c r="J26" s="114">
        <v>112800</v>
      </c>
      <c r="K26" s="114">
        <v>37600</v>
      </c>
      <c r="L26" s="114">
        <v>485463700</v>
      </c>
      <c r="M26" s="114">
        <v>0</v>
      </c>
      <c r="N26" s="114">
        <v>2891</v>
      </c>
      <c r="O26" s="114">
        <v>581</v>
      </c>
      <c r="P26" s="56">
        <v>27326300</v>
      </c>
      <c r="Q26" s="114">
        <v>2411600</v>
      </c>
      <c r="R26" s="114">
        <v>7953192</v>
      </c>
      <c r="S26" s="114">
        <v>2478300</v>
      </c>
      <c r="T26" s="114">
        <v>13513700</v>
      </c>
      <c r="U26" s="114">
        <v>675500</v>
      </c>
      <c r="V26" s="114">
        <v>27326300</v>
      </c>
      <c r="W26" s="114">
        <v>2844500</v>
      </c>
      <c r="X26" s="114">
        <v>7953192</v>
      </c>
      <c r="Y26" s="114">
        <v>2478300</v>
      </c>
      <c r="Z26" s="114">
        <v>20881700</v>
      </c>
      <c r="AA26" s="114">
        <v>675500</v>
      </c>
      <c r="AB26" s="114">
        <v>-5121600</v>
      </c>
      <c r="AC26" s="114">
        <v>-5353262</v>
      </c>
      <c r="AD26" s="114">
        <v>0</v>
      </c>
      <c r="AE26" s="114">
        <v>0</v>
      </c>
      <c r="AF26" s="114">
        <v>0</v>
      </c>
      <c r="AG26" s="114">
        <v>0</v>
      </c>
      <c r="AH26" s="114">
        <v>0</v>
      </c>
      <c r="AI26" s="114">
        <v>0</v>
      </c>
      <c r="AJ26" s="121">
        <v>0</v>
      </c>
      <c r="AK26" s="82">
        <v>273333074</v>
      </c>
      <c r="AL26" s="83">
        <v>4929522</v>
      </c>
      <c r="AM26" s="114">
        <v>0</v>
      </c>
      <c r="AN26" s="114">
        <v>78030991</v>
      </c>
      <c r="AO26" s="114">
        <v>16347507</v>
      </c>
      <c r="AP26" s="114">
        <v>252297322</v>
      </c>
      <c r="AQ26" s="114">
        <v>75457051</v>
      </c>
      <c r="AR26" s="114">
        <v>169148270</v>
      </c>
      <c r="AS26" s="114">
        <v>50107173</v>
      </c>
      <c r="AT26" s="114">
        <f>2385719+13191</f>
        <v>2398910</v>
      </c>
      <c r="AU26" s="114">
        <v>0</v>
      </c>
      <c r="AV26" s="114">
        <v>2827268</v>
      </c>
      <c r="AW26" s="114">
        <v>6406208</v>
      </c>
      <c r="AX26" s="114">
        <v>1839021</v>
      </c>
      <c r="AY26" s="114">
        <v>15000</v>
      </c>
      <c r="BD26" s="82">
        <v>14416299.99</v>
      </c>
      <c r="BE26" s="82">
        <v>7208150</v>
      </c>
      <c r="BF26" s="117">
        <v>0</v>
      </c>
      <c r="BG26" s="118">
        <v>3826615</v>
      </c>
      <c r="BH26" s="118">
        <v>7358875</v>
      </c>
      <c r="BI26" s="117">
        <v>86017449</v>
      </c>
      <c r="BJ26" s="117">
        <v>85827672</v>
      </c>
      <c r="BK26" s="117">
        <v>155633745</v>
      </c>
      <c r="BL26" s="117">
        <v>150052018</v>
      </c>
      <c r="BM26" s="117">
        <v>0</v>
      </c>
      <c r="BN26" s="117">
        <v>0</v>
      </c>
      <c r="BO26" s="119"/>
      <c r="BP26" s="86">
        <f t="shared" si="4"/>
        <v>2989355600</v>
      </c>
      <c r="BQ26" s="86">
        <f t="shared" si="5"/>
        <v>2464178549</v>
      </c>
      <c r="BR26" s="87">
        <v>1453900</v>
      </c>
      <c r="BT26" s="86">
        <f t="shared" si="0"/>
        <v>2294343000</v>
      </c>
      <c r="BU26" s="82">
        <f t="shared" si="1"/>
        <v>273333074</v>
      </c>
      <c r="BV26" s="82">
        <f t="shared" si="2"/>
        <v>4929522</v>
      </c>
      <c r="BW26" s="86">
        <f t="shared" si="3"/>
        <v>219942722</v>
      </c>
      <c r="BX26" s="86">
        <f t="shared" si="6"/>
        <v>2792548318</v>
      </c>
    </row>
    <row r="27" spans="1:76" x14ac:dyDescent="0.25">
      <c r="A27" s="91" t="s">
        <v>81</v>
      </c>
      <c r="B27" s="114">
        <v>191342100</v>
      </c>
      <c r="C27" s="114">
        <v>69246830</v>
      </c>
      <c r="D27" s="114">
        <v>77003100</v>
      </c>
      <c r="E27" s="114">
        <v>0</v>
      </c>
      <c r="F27" s="114">
        <v>41365700</v>
      </c>
      <c r="G27" s="114">
        <v>29715500</v>
      </c>
      <c r="H27" s="114">
        <v>12920300</v>
      </c>
      <c r="I27" s="114">
        <v>5150700</v>
      </c>
      <c r="J27" s="114">
        <v>72600</v>
      </c>
      <c r="K27" s="114">
        <v>37600</v>
      </c>
      <c r="L27" s="114">
        <v>68519850</v>
      </c>
      <c r="M27" s="114">
        <v>47947290</v>
      </c>
      <c r="N27" s="114">
        <v>1674</v>
      </c>
      <c r="O27" s="114">
        <v>1217</v>
      </c>
      <c r="P27" s="114">
        <v>6283800</v>
      </c>
      <c r="Q27" s="114">
        <v>1274100</v>
      </c>
      <c r="R27" s="114">
        <v>6819400</v>
      </c>
      <c r="S27" s="114">
        <v>3257200</v>
      </c>
      <c r="T27" s="114">
        <v>1252000</v>
      </c>
      <c r="U27" s="114">
        <v>268800</v>
      </c>
      <c r="V27" s="114">
        <v>6283800</v>
      </c>
      <c r="W27" s="114">
        <v>1981400</v>
      </c>
      <c r="X27" s="114">
        <v>6819400</v>
      </c>
      <c r="Y27" s="114">
        <v>3257200</v>
      </c>
      <c r="Z27" s="114">
        <v>1429300</v>
      </c>
      <c r="AA27" s="114">
        <v>268800</v>
      </c>
      <c r="AB27" s="114">
        <v>-2394600</v>
      </c>
      <c r="AC27" s="114">
        <v>-13455</v>
      </c>
      <c r="AD27" s="114">
        <v>0</v>
      </c>
      <c r="AE27" s="114">
        <v>0</v>
      </c>
      <c r="AF27" s="114">
        <v>0</v>
      </c>
      <c r="AG27" s="114">
        <v>0</v>
      </c>
      <c r="AH27" s="114">
        <v>2234188.524590164</v>
      </c>
      <c r="AI27" s="114">
        <v>9640639.3442622963</v>
      </c>
      <c r="AJ27" s="121">
        <v>21524.59016393443</v>
      </c>
      <c r="AK27" s="82">
        <v>98562271</v>
      </c>
      <c r="AL27" s="83">
        <v>2396964</v>
      </c>
      <c r="AM27" s="114">
        <v>0</v>
      </c>
      <c r="AN27" s="114">
        <v>18506292</v>
      </c>
      <c r="AO27" s="114">
        <v>104166</v>
      </c>
      <c r="AP27" s="114">
        <v>8704182</v>
      </c>
      <c r="AQ27" s="114">
        <v>10256302</v>
      </c>
      <c r="AR27" s="114">
        <v>6572015</v>
      </c>
      <c r="AS27" s="114">
        <v>0</v>
      </c>
      <c r="AT27" s="114">
        <v>466084</v>
      </c>
      <c r="AU27" s="114">
        <v>0</v>
      </c>
      <c r="AV27" s="114">
        <v>0</v>
      </c>
      <c r="AW27" s="114">
        <v>0</v>
      </c>
      <c r="AX27" s="114">
        <v>0</v>
      </c>
      <c r="AY27" s="114">
        <v>0</v>
      </c>
      <c r="BD27" s="82">
        <v>5198431.5199999996</v>
      </c>
      <c r="BE27" s="82">
        <v>2599216</v>
      </c>
      <c r="BF27" s="117">
        <v>0</v>
      </c>
      <c r="BG27" s="118">
        <v>797928</v>
      </c>
      <c r="BH27" s="118">
        <v>1534477</v>
      </c>
      <c r="BI27" s="117">
        <v>13504206</v>
      </c>
      <c r="BJ27" s="117">
        <v>13504206</v>
      </c>
      <c r="BK27" s="117">
        <v>51545782.25</v>
      </c>
      <c r="BL27" s="117">
        <v>49870459.25</v>
      </c>
      <c r="BM27" s="117">
        <v>0</v>
      </c>
      <c r="BN27" s="117">
        <v>0</v>
      </c>
      <c r="BO27" s="119"/>
      <c r="BP27" s="86">
        <f t="shared" si="4"/>
        <v>546086186.70901632</v>
      </c>
      <c r="BQ27" s="86">
        <f t="shared" si="5"/>
        <v>378355142.45901638</v>
      </c>
      <c r="BR27" s="87">
        <v>504700</v>
      </c>
      <c r="BT27" s="86">
        <f t="shared" si="0"/>
        <v>337592030</v>
      </c>
      <c r="BU27" s="82">
        <f t="shared" si="1"/>
        <v>98562271</v>
      </c>
      <c r="BV27" s="82">
        <f t="shared" si="2"/>
        <v>2396964</v>
      </c>
      <c r="BW27" s="86">
        <f t="shared" si="3"/>
        <v>28866760</v>
      </c>
      <c r="BX27" s="86">
        <f t="shared" si="6"/>
        <v>467418025</v>
      </c>
    </row>
    <row r="28" spans="1:76" x14ac:dyDescent="0.25">
      <c r="A28" s="91" t="s">
        <v>82</v>
      </c>
      <c r="B28" s="114">
        <v>196026599</v>
      </c>
      <c r="C28" s="114">
        <v>70870386</v>
      </c>
      <c r="D28" s="114">
        <v>110688771</v>
      </c>
      <c r="E28" s="114">
        <v>0</v>
      </c>
      <c r="F28" s="114">
        <v>26322500</v>
      </c>
      <c r="G28" s="114">
        <v>10320500</v>
      </c>
      <c r="H28" s="114">
        <v>9394100</v>
      </c>
      <c r="I28" s="114">
        <v>1435200</v>
      </c>
      <c r="J28" s="114">
        <v>37600</v>
      </c>
      <c r="K28" s="114">
        <v>37600</v>
      </c>
      <c r="L28" s="114">
        <v>137148676</v>
      </c>
      <c r="M28" s="114">
        <v>46277360</v>
      </c>
      <c r="N28" s="114">
        <v>1058</v>
      </c>
      <c r="O28" s="114">
        <v>392</v>
      </c>
      <c r="P28" s="114">
        <v>1420985</v>
      </c>
      <c r="Q28" s="114">
        <v>136300</v>
      </c>
      <c r="R28" s="114">
        <v>2720450</v>
      </c>
      <c r="S28" s="114">
        <v>2778683</v>
      </c>
      <c r="T28" s="114">
        <v>284297</v>
      </c>
      <c r="U28" s="114">
        <v>657280</v>
      </c>
      <c r="V28" s="114">
        <v>1420985</v>
      </c>
      <c r="W28" s="114">
        <v>176400</v>
      </c>
      <c r="X28" s="114">
        <v>2720450</v>
      </c>
      <c r="Y28" s="114">
        <v>2778683</v>
      </c>
      <c r="Z28" s="114">
        <v>734602</v>
      </c>
      <c r="AA28" s="114">
        <v>657280</v>
      </c>
      <c r="AB28" s="114">
        <v>-467600</v>
      </c>
      <c r="AC28" s="114">
        <v>-32618</v>
      </c>
      <c r="AD28" s="114">
        <v>48526</v>
      </c>
      <c r="AE28" s="114">
        <v>0</v>
      </c>
      <c r="AF28" s="114">
        <v>0</v>
      </c>
      <c r="AG28" s="114">
        <v>96865</v>
      </c>
      <c r="AH28" s="114">
        <v>2143868.8524590163</v>
      </c>
      <c r="AI28" s="114">
        <v>293000</v>
      </c>
      <c r="AJ28" s="121">
        <v>0</v>
      </c>
      <c r="AK28" s="82">
        <v>57068414</v>
      </c>
      <c r="AL28" s="83">
        <v>7994810</v>
      </c>
      <c r="AM28" s="114">
        <v>7026461</v>
      </c>
      <c r="AN28" s="114">
        <v>10276937</v>
      </c>
      <c r="AO28" s="114">
        <v>2226571</v>
      </c>
      <c r="AP28" s="114">
        <v>38684635</v>
      </c>
      <c r="AQ28" s="114">
        <v>10091050</v>
      </c>
      <c r="AR28" s="114">
        <v>2234747</v>
      </c>
      <c r="AS28" s="114">
        <v>0</v>
      </c>
      <c r="AT28" s="114">
        <v>130310</v>
      </c>
      <c r="AU28" s="114">
        <v>0</v>
      </c>
      <c r="AV28" s="114">
        <v>0</v>
      </c>
      <c r="AW28" s="114">
        <v>321776</v>
      </c>
      <c r="AX28" s="114">
        <v>1590</v>
      </c>
      <c r="AY28" s="114">
        <v>20000</v>
      </c>
      <c r="BD28" s="82">
        <v>3009937.16</v>
      </c>
      <c r="BE28" s="82">
        <v>1504969</v>
      </c>
      <c r="BF28" s="117">
        <v>0</v>
      </c>
      <c r="BG28" s="118">
        <v>0</v>
      </c>
      <c r="BH28" s="118">
        <v>0</v>
      </c>
      <c r="BI28" s="117">
        <v>3745025</v>
      </c>
      <c r="BJ28" s="117">
        <v>3745025</v>
      </c>
      <c r="BK28" s="117">
        <v>26352340.5</v>
      </c>
      <c r="BL28" s="117">
        <v>25265062.5</v>
      </c>
      <c r="BM28" s="117">
        <v>0</v>
      </c>
      <c r="BN28" s="117">
        <v>0</v>
      </c>
      <c r="BO28" s="119"/>
      <c r="BP28" s="86">
        <f t="shared" si="4"/>
        <v>498195463.35245901</v>
      </c>
      <c r="BQ28" s="86">
        <f t="shared" si="5"/>
        <v>402617182.85245901</v>
      </c>
      <c r="BR28" s="87">
        <v>402056</v>
      </c>
      <c r="BT28" s="86">
        <f t="shared" si="0"/>
        <v>377585756</v>
      </c>
      <c r="BU28" s="82">
        <f t="shared" si="1"/>
        <v>57068414</v>
      </c>
      <c r="BV28" s="82">
        <f t="shared" si="2"/>
        <v>7994810</v>
      </c>
      <c r="BW28" s="86">
        <f t="shared" si="3"/>
        <v>22594558</v>
      </c>
      <c r="BX28" s="86">
        <f t="shared" si="6"/>
        <v>465243538</v>
      </c>
    </row>
    <row r="29" spans="1:76" x14ac:dyDescent="0.25">
      <c r="A29" s="91" t="s">
        <v>83</v>
      </c>
      <c r="B29" s="114">
        <v>148875972</v>
      </c>
      <c r="C29" s="114">
        <v>152989801</v>
      </c>
      <c r="D29" s="114">
        <v>41345104</v>
      </c>
      <c r="E29" s="114">
        <v>0</v>
      </c>
      <c r="F29" s="114">
        <v>25682421</v>
      </c>
      <c r="G29" s="114">
        <v>4880296</v>
      </c>
      <c r="H29" s="114">
        <v>8975600</v>
      </c>
      <c r="I29" s="114">
        <v>1240566</v>
      </c>
      <c r="J29" s="114">
        <v>17500</v>
      </c>
      <c r="K29" s="114">
        <v>0</v>
      </c>
      <c r="L29" s="114">
        <v>242479740</v>
      </c>
      <c r="M29" s="114">
        <v>59557428</v>
      </c>
      <c r="N29" s="114">
        <v>1017</v>
      </c>
      <c r="O29" s="114">
        <v>199</v>
      </c>
      <c r="P29" s="114">
        <v>2198050</v>
      </c>
      <c r="Q29" s="114">
        <v>2593800</v>
      </c>
      <c r="R29" s="114">
        <v>414001</v>
      </c>
      <c r="S29" s="114">
        <v>1963161</v>
      </c>
      <c r="T29" s="114">
        <v>2106380</v>
      </c>
      <c r="U29" s="114">
        <v>141500</v>
      </c>
      <c r="V29" s="114">
        <v>2198050</v>
      </c>
      <c r="W29" s="114">
        <v>2889825</v>
      </c>
      <c r="X29" s="114">
        <v>414001</v>
      </c>
      <c r="Y29" s="114">
        <v>1963161</v>
      </c>
      <c r="Z29" s="114">
        <v>6763885</v>
      </c>
      <c r="AA29" s="114">
        <v>141500</v>
      </c>
      <c r="AB29" s="114">
        <v>-2481700</v>
      </c>
      <c r="AC29" s="114">
        <v>-699837</v>
      </c>
      <c r="AD29" s="114">
        <v>95122</v>
      </c>
      <c r="AE29" s="114">
        <v>780226</v>
      </c>
      <c r="AF29" s="114">
        <v>4568</v>
      </c>
      <c r="AG29" s="114">
        <v>212595</v>
      </c>
      <c r="AH29" s="114">
        <v>0</v>
      </c>
      <c r="AI29" s="114">
        <v>518213.11475409841</v>
      </c>
      <c r="AJ29" s="121">
        <v>0</v>
      </c>
      <c r="AK29" s="82">
        <v>61630198</v>
      </c>
      <c r="AL29" s="83">
        <v>1956852</v>
      </c>
      <c r="AM29" s="114">
        <v>10000</v>
      </c>
      <c r="AN29" s="114">
        <v>9970834</v>
      </c>
      <c r="AO29" s="114">
        <v>253159</v>
      </c>
      <c r="AP29" s="114">
        <v>9299646</v>
      </c>
      <c r="AQ29" s="114">
        <v>11960264</v>
      </c>
      <c r="AR29" s="114">
        <v>23958051</v>
      </c>
      <c r="AS29" s="114">
        <v>0</v>
      </c>
      <c r="AT29" s="114">
        <v>1708260</v>
      </c>
      <c r="AU29" s="114">
        <v>0</v>
      </c>
      <c r="AV29" s="114">
        <v>0</v>
      </c>
      <c r="AW29" s="114">
        <v>100776</v>
      </c>
      <c r="AX29" s="114">
        <v>1415089</v>
      </c>
      <c r="AY29" s="114">
        <v>584750</v>
      </c>
      <c r="BD29" s="82">
        <v>3250537.56</v>
      </c>
      <c r="BE29" s="82">
        <v>1625269</v>
      </c>
      <c r="BF29" s="117">
        <v>21018135</v>
      </c>
      <c r="BG29" s="118">
        <v>0</v>
      </c>
      <c r="BH29" s="118">
        <v>0</v>
      </c>
      <c r="BI29" s="117">
        <v>5979312</v>
      </c>
      <c r="BJ29" s="117">
        <v>5979312</v>
      </c>
      <c r="BK29" s="117">
        <v>25992120.75</v>
      </c>
      <c r="BL29" s="117">
        <v>25992120.75</v>
      </c>
      <c r="BM29" s="117">
        <v>0</v>
      </c>
      <c r="BN29" s="117">
        <v>0</v>
      </c>
      <c r="BO29" s="119"/>
      <c r="BP29" s="86">
        <f t="shared" si="4"/>
        <v>463097098.86475408</v>
      </c>
      <c r="BQ29" s="86">
        <f t="shared" si="5"/>
        <v>365913347.11475408</v>
      </c>
      <c r="BR29" s="87">
        <v>410964</v>
      </c>
      <c r="BT29" s="86">
        <f t="shared" si="0"/>
        <v>343210877</v>
      </c>
      <c r="BU29" s="82">
        <f t="shared" si="1"/>
        <v>61630198</v>
      </c>
      <c r="BV29" s="82">
        <f t="shared" si="2"/>
        <v>1956852</v>
      </c>
      <c r="BW29" s="86">
        <f t="shared" si="3"/>
        <v>22184257</v>
      </c>
      <c r="BX29" s="86">
        <f t="shared" si="6"/>
        <v>428982184</v>
      </c>
    </row>
    <row r="30" spans="1:76" x14ac:dyDescent="0.25">
      <c r="A30" s="91" t="s">
        <v>84</v>
      </c>
      <c r="B30" s="114">
        <v>143382607</v>
      </c>
      <c r="C30" s="114">
        <v>107592595</v>
      </c>
      <c r="D30" s="114">
        <v>32209737</v>
      </c>
      <c r="E30" s="114">
        <v>0</v>
      </c>
      <c r="F30" s="114">
        <v>18690650</v>
      </c>
      <c r="G30" s="114">
        <v>5090400</v>
      </c>
      <c r="H30" s="114">
        <v>7850100</v>
      </c>
      <c r="I30" s="114">
        <v>893700</v>
      </c>
      <c r="J30" s="114">
        <v>37600</v>
      </c>
      <c r="K30" s="114">
        <v>0</v>
      </c>
      <c r="L30" s="114">
        <v>148184031</v>
      </c>
      <c r="M30" s="114">
        <v>53673000</v>
      </c>
      <c r="N30" s="114">
        <v>729</v>
      </c>
      <c r="O30" s="114">
        <v>171</v>
      </c>
      <c r="P30" s="114">
        <v>1304900</v>
      </c>
      <c r="Q30" s="114">
        <v>972000</v>
      </c>
      <c r="R30" s="114">
        <v>414000</v>
      </c>
      <c r="S30" s="114">
        <v>2037986</v>
      </c>
      <c r="T30" s="114">
        <v>500000</v>
      </c>
      <c r="U30" s="114">
        <v>305060</v>
      </c>
      <c r="V30" s="114">
        <v>1304900</v>
      </c>
      <c r="W30" s="114">
        <v>944500</v>
      </c>
      <c r="X30" s="114">
        <v>414000</v>
      </c>
      <c r="Y30" s="114">
        <v>2037986</v>
      </c>
      <c r="Z30" s="114">
        <v>530000</v>
      </c>
      <c r="AA30" s="114">
        <v>305060</v>
      </c>
      <c r="AB30" s="114">
        <v>-718300</v>
      </c>
      <c r="AC30" s="114">
        <v>-110857</v>
      </c>
      <c r="AD30" s="114">
        <v>165713</v>
      </c>
      <c r="AE30" s="114">
        <v>0</v>
      </c>
      <c r="AF30" s="114">
        <v>0</v>
      </c>
      <c r="AG30" s="114">
        <v>0</v>
      </c>
      <c r="AH30" s="114">
        <v>2355811.4754098365</v>
      </c>
      <c r="AI30" s="114">
        <v>0</v>
      </c>
      <c r="AJ30" s="121">
        <v>0</v>
      </c>
      <c r="AK30" s="82">
        <v>40782670</v>
      </c>
      <c r="AL30" s="83">
        <v>5570611</v>
      </c>
      <c r="AM30" s="114">
        <v>5715776</v>
      </c>
      <c r="AN30" s="114">
        <v>6572662</v>
      </c>
      <c r="AO30" s="114">
        <v>49295</v>
      </c>
      <c r="AP30" s="114">
        <v>1034610</v>
      </c>
      <c r="AQ30" s="114">
        <v>4597727</v>
      </c>
      <c r="AR30" s="114">
        <v>6290501</v>
      </c>
      <c r="AS30" s="114">
        <v>0</v>
      </c>
      <c r="AT30" s="114">
        <v>534944</v>
      </c>
      <c r="AU30" s="114">
        <v>0</v>
      </c>
      <c r="AV30" s="114">
        <v>0</v>
      </c>
      <c r="AW30" s="114">
        <v>0</v>
      </c>
      <c r="AX30" s="114">
        <v>6530</v>
      </c>
      <c r="AY30" s="114">
        <v>85000</v>
      </c>
      <c r="BD30" s="82">
        <v>2150984.5</v>
      </c>
      <c r="BE30" s="82">
        <v>1075492</v>
      </c>
      <c r="BF30" s="117">
        <v>0</v>
      </c>
      <c r="BG30" s="118">
        <v>0</v>
      </c>
      <c r="BH30" s="118">
        <v>0</v>
      </c>
      <c r="BI30" s="117">
        <v>2195659</v>
      </c>
      <c r="BJ30" s="117">
        <v>2195659</v>
      </c>
      <c r="BK30" s="117">
        <v>20517628.75</v>
      </c>
      <c r="BL30" s="117">
        <v>20151633.75</v>
      </c>
      <c r="BM30" s="117">
        <v>0</v>
      </c>
      <c r="BN30" s="117">
        <v>0</v>
      </c>
      <c r="BO30" s="119"/>
      <c r="BP30" s="86">
        <f t="shared" si="4"/>
        <v>366536500.22540987</v>
      </c>
      <c r="BQ30" s="86">
        <f t="shared" si="5"/>
        <v>296760434.47540987</v>
      </c>
      <c r="BR30" s="87">
        <v>361616</v>
      </c>
      <c r="BT30" s="86">
        <f t="shared" si="0"/>
        <v>283184939</v>
      </c>
      <c r="BU30" s="82">
        <f t="shared" si="1"/>
        <v>40782670</v>
      </c>
      <c r="BV30" s="82">
        <f t="shared" si="2"/>
        <v>5570611</v>
      </c>
      <c r="BW30" s="86">
        <f t="shared" si="3"/>
        <v>11219684</v>
      </c>
      <c r="BX30" s="86">
        <f t="shared" si="6"/>
        <v>340757904</v>
      </c>
    </row>
    <row r="31" spans="1:76" x14ac:dyDescent="0.25">
      <c r="A31" s="91" t="s">
        <v>85</v>
      </c>
      <c r="B31" s="114">
        <v>3594654291</v>
      </c>
      <c r="C31" s="114">
        <v>400344749</v>
      </c>
      <c r="D31" s="114">
        <v>1566210681</v>
      </c>
      <c r="E31" s="114">
        <v>0</v>
      </c>
      <c r="F31" s="114">
        <v>296680155</v>
      </c>
      <c r="G31" s="114">
        <v>34495950</v>
      </c>
      <c r="H31" s="114">
        <v>21108200</v>
      </c>
      <c r="I31" s="114">
        <v>1538800</v>
      </c>
      <c r="J31" s="114">
        <v>1127800</v>
      </c>
      <c r="K31" s="114">
        <v>75200</v>
      </c>
      <c r="L31" s="114">
        <v>969255028</v>
      </c>
      <c r="M31" s="114">
        <v>217671726</v>
      </c>
      <c r="N31" s="114">
        <v>8593</v>
      </c>
      <c r="O31" s="114">
        <v>1004</v>
      </c>
      <c r="P31" s="114">
        <v>51736215</v>
      </c>
      <c r="Q31" s="114">
        <v>6962090</v>
      </c>
      <c r="R31" s="114">
        <v>26192033</v>
      </c>
      <c r="S31" s="114">
        <v>17486526</v>
      </c>
      <c r="T31" s="114">
        <v>4324620</v>
      </c>
      <c r="U31" s="114">
        <v>14633188</v>
      </c>
      <c r="V31" s="114">
        <v>51736215</v>
      </c>
      <c r="W31" s="114">
        <v>8569963</v>
      </c>
      <c r="X31" s="114">
        <v>26192033</v>
      </c>
      <c r="Y31" s="114">
        <v>17486526</v>
      </c>
      <c r="Z31" s="114">
        <v>10559268</v>
      </c>
      <c r="AA31" s="114">
        <v>14633188</v>
      </c>
      <c r="AB31" s="114">
        <v>-12631194</v>
      </c>
      <c r="AC31" s="114">
        <v>-36600019</v>
      </c>
      <c r="AD31" s="114">
        <v>0</v>
      </c>
      <c r="AE31" s="114">
        <v>0</v>
      </c>
      <c r="AF31" s="114">
        <v>0</v>
      </c>
      <c r="AG31" s="114">
        <v>245873.88</v>
      </c>
      <c r="AH31" s="114">
        <v>2908377.0491803279</v>
      </c>
      <c r="AI31" s="114">
        <v>219762.29508196723</v>
      </c>
      <c r="AJ31" s="121">
        <v>1208196.72</v>
      </c>
      <c r="AK31" s="82">
        <v>680248792</v>
      </c>
      <c r="AL31" s="83">
        <v>14215677</v>
      </c>
      <c r="AM31" s="114">
        <v>258195</v>
      </c>
      <c r="AN31" s="114">
        <v>253777415</v>
      </c>
      <c r="AO31" s="114">
        <v>24655399</v>
      </c>
      <c r="AP31" s="114">
        <v>372018872</v>
      </c>
      <c r="AQ31" s="114">
        <v>273942001</v>
      </c>
      <c r="AR31" s="114">
        <v>242169852</v>
      </c>
      <c r="AS31" s="114">
        <v>49407523</v>
      </c>
      <c r="AT31" s="114">
        <f>30250020+139463184</f>
        <v>169713204</v>
      </c>
      <c r="AU31" s="114">
        <v>30403207</v>
      </c>
      <c r="AV31" s="114">
        <v>8922023</v>
      </c>
      <c r="AW31" s="114">
        <v>91914826</v>
      </c>
      <c r="AX31" s="114">
        <v>2481073</v>
      </c>
      <c r="AY31" s="114">
        <v>6923841</v>
      </c>
      <c r="BD31" s="82">
        <v>35878097.409999996</v>
      </c>
      <c r="BE31" s="82">
        <v>17939049</v>
      </c>
      <c r="BF31" s="117">
        <v>32782383</v>
      </c>
      <c r="BG31" s="118">
        <v>2214307</v>
      </c>
      <c r="BH31" s="118">
        <v>4258282</v>
      </c>
      <c r="BI31" s="117">
        <v>85502684</v>
      </c>
      <c r="BJ31" s="117">
        <v>85502684</v>
      </c>
      <c r="BK31" s="117">
        <v>155419951</v>
      </c>
      <c r="BL31" s="117">
        <v>150983162</v>
      </c>
      <c r="BM31" s="117">
        <v>44990475</v>
      </c>
      <c r="BN31" s="117">
        <v>0</v>
      </c>
      <c r="BO31" s="119"/>
      <c r="BP31" s="86">
        <f t="shared" si="4"/>
        <v>7114015018.0642624</v>
      </c>
      <c r="BQ31" s="86">
        <f t="shared" si="5"/>
        <v>6117920872.0642624</v>
      </c>
      <c r="BR31" s="87">
        <v>2757580</v>
      </c>
      <c r="BT31" s="86">
        <f t="shared" si="0"/>
        <v>5561209721</v>
      </c>
      <c r="BU31" s="82">
        <f t="shared" si="1"/>
        <v>680248792</v>
      </c>
      <c r="BV31" s="82">
        <f t="shared" si="2"/>
        <v>14215677</v>
      </c>
      <c r="BW31" s="86">
        <f t="shared" si="3"/>
        <v>601782338</v>
      </c>
      <c r="BX31" s="86">
        <f t="shared" si="6"/>
        <v>6857456528</v>
      </c>
    </row>
    <row r="32" spans="1:76" x14ac:dyDescent="0.25">
      <c r="A32" s="91" t="s">
        <v>86</v>
      </c>
      <c r="B32" s="114">
        <v>387672599</v>
      </c>
      <c r="C32" s="114">
        <v>118111760</v>
      </c>
      <c r="D32" s="114">
        <v>44389569</v>
      </c>
      <c r="E32" s="114">
        <v>0</v>
      </c>
      <c r="F32" s="114">
        <v>30319750</v>
      </c>
      <c r="G32" s="114">
        <v>9983550</v>
      </c>
      <c r="H32" s="114">
        <v>14344459</v>
      </c>
      <c r="I32" s="114">
        <v>1751800</v>
      </c>
      <c r="J32" s="114">
        <v>37600</v>
      </c>
      <c r="K32" s="114">
        <v>0</v>
      </c>
      <c r="L32" s="114">
        <v>188332788</v>
      </c>
      <c r="M32" s="114">
        <v>93034310</v>
      </c>
      <c r="N32" s="114">
        <v>1278</v>
      </c>
      <c r="O32" s="114">
        <v>375</v>
      </c>
      <c r="P32" s="114">
        <v>7522600</v>
      </c>
      <c r="Q32" s="114">
        <v>3198652</v>
      </c>
      <c r="R32" s="114">
        <v>1292000</v>
      </c>
      <c r="S32" s="114">
        <v>752400</v>
      </c>
      <c r="T32" s="114">
        <v>104100</v>
      </c>
      <c r="U32" s="114">
        <v>3000</v>
      </c>
      <c r="V32" s="114">
        <v>7522600</v>
      </c>
      <c r="W32" s="114">
        <v>1430500</v>
      </c>
      <c r="X32" s="114">
        <v>1292000</v>
      </c>
      <c r="Y32" s="114">
        <v>752400</v>
      </c>
      <c r="Z32" s="114">
        <v>21000</v>
      </c>
      <c r="AA32" s="114">
        <v>3000</v>
      </c>
      <c r="AB32" s="114">
        <v>-1320725</v>
      </c>
      <c r="AC32" s="114">
        <v>1179</v>
      </c>
      <c r="AD32" s="114">
        <v>69209</v>
      </c>
      <c r="AE32" s="114">
        <v>7845</v>
      </c>
      <c r="AF32" s="114">
        <v>9669866</v>
      </c>
      <c r="AG32" s="114">
        <v>140635</v>
      </c>
      <c r="AH32" s="114">
        <v>760344.26229508198</v>
      </c>
      <c r="AI32" s="114">
        <v>88631.147540983613</v>
      </c>
      <c r="AJ32" s="121">
        <v>0</v>
      </c>
      <c r="AK32" s="82">
        <v>74367039</v>
      </c>
      <c r="AL32" s="83">
        <v>7029863</v>
      </c>
      <c r="AM32" s="114">
        <v>747000</v>
      </c>
      <c r="AN32" s="114">
        <v>5999828</v>
      </c>
      <c r="AO32" s="114">
        <v>56558</v>
      </c>
      <c r="AP32" s="114">
        <v>3378491</v>
      </c>
      <c r="AQ32" s="114">
        <v>6773563</v>
      </c>
      <c r="AR32" s="114">
        <v>1263188</v>
      </c>
      <c r="AS32" s="114">
        <v>0</v>
      </c>
      <c r="AT32" s="114">
        <v>869448</v>
      </c>
      <c r="AU32" s="114">
        <v>0</v>
      </c>
      <c r="AV32" s="114">
        <v>0</v>
      </c>
      <c r="AW32" s="114">
        <v>0</v>
      </c>
      <c r="AX32" s="114">
        <v>0</v>
      </c>
      <c r="AY32" s="114">
        <v>0</v>
      </c>
      <c r="BD32" s="82">
        <v>3922311.81</v>
      </c>
      <c r="BE32" s="82">
        <v>1961156</v>
      </c>
      <c r="BF32" s="117">
        <v>0</v>
      </c>
      <c r="BG32" s="118">
        <v>332034</v>
      </c>
      <c r="BH32" s="118">
        <v>638527</v>
      </c>
      <c r="BI32" s="117">
        <v>2410439</v>
      </c>
      <c r="BJ32" s="117">
        <v>2410439</v>
      </c>
      <c r="BK32" s="117">
        <v>18867145.75</v>
      </c>
      <c r="BL32" s="117">
        <v>18163859.75</v>
      </c>
      <c r="BM32" s="117">
        <v>0</v>
      </c>
      <c r="BN32" s="117">
        <v>0</v>
      </c>
      <c r="BO32" s="119"/>
      <c r="BP32" s="86">
        <f t="shared" si="4"/>
        <v>668117243.15983605</v>
      </c>
      <c r="BQ32" s="86">
        <f t="shared" si="5"/>
        <v>563852852.40983605</v>
      </c>
      <c r="BR32" s="87">
        <v>767550</v>
      </c>
      <c r="BT32" s="86">
        <f t="shared" si="0"/>
        <v>550173928</v>
      </c>
      <c r="BU32" s="82">
        <f t="shared" si="1"/>
        <v>74367039</v>
      </c>
      <c r="BV32" s="82">
        <f t="shared" si="2"/>
        <v>7029863</v>
      </c>
      <c r="BW32" s="86">
        <f t="shared" si="3"/>
        <v>12829949</v>
      </c>
      <c r="BX32" s="86">
        <f t="shared" si="6"/>
        <v>644400779</v>
      </c>
    </row>
    <row r="33" spans="1:76" x14ac:dyDescent="0.25">
      <c r="A33" s="91" t="s">
        <v>87</v>
      </c>
      <c r="B33" s="114">
        <v>64159973</v>
      </c>
      <c r="C33" s="114">
        <v>59870049</v>
      </c>
      <c r="D33" s="114">
        <v>14140455</v>
      </c>
      <c r="E33" s="114">
        <v>0</v>
      </c>
      <c r="F33" s="114">
        <v>7584228</v>
      </c>
      <c r="G33" s="114">
        <v>7956607</v>
      </c>
      <c r="H33" s="114">
        <v>10786600</v>
      </c>
      <c r="I33" s="114">
        <v>5870463</v>
      </c>
      <c r="J33" s="114">
        <v>0</v>
      </c>
      <c r="K33" s="114">
        <v>0</v>
      </c>
      <c r="L33" s="114">
        <v>98871522</v>
      </c>
      <c r="M33" s="114">
        <v>0</v>
      </c>
      <c r="N33" s="114">
        <v>574</v>
      </c>
      <c r="O33" s="114">
        <v>459</v>
      </c>
      <c r="P33" s="114">
        <v>1696812</v>
      </c>
      <c r="Q33" s="114">
        <v>859652</v>
      </c>
      <c r="R33" s="114">
        <v>938900</v>
      </c>
      <c r="S33" s="114">
        <v>828328</v>
      </c>
      <c r="T33" s="114">
        <v>480719</v>
      </c>
      <c r="U33" s="114">
        <v>12000</v>
      </c>
      <c r="V33" s="114">
        <v>1696812</v>
      </c>
      <c r="W33" s="114">
        <v>1032878</v>
      </c>
      <c r="X33" s="114">
        <v>939900</v>
      </c>
      <c r="Y33" s="114">
        <v>828328</v>
      </c>
      <c r="Z33" s="114">
        <v>471016</v>
      </c>
      <c r="AA33" s="114">
        <v>12000</v>
      </c>
      <c r="AB33" s="114">
        <v>-1132232</v>
      </c>
      <c r="AC33" s="114">
        <v>-26884</v>
      </c>
      <c r="AD33" s="114">
        <v>120743</v>
      </c>
      <c r="AE33" s="114">
        <v>0</v>
      </c>
      <c r="AF33" s="114">
        <v>0</v>
      </c>
      <c r="AG33" s="114">
        <v>137929</v>
      </c>
      <c r="AH33" s="114">
        <v>1164991.8032786886</v>
      </c>
      <c r="AI33" s="114">
        <v>0</v>
      </c>
      <c r="AJ33" s="121">
        <v>9200</v>
      </c>
      <c r="AK33" s="82">
        <v>32741159</v>
      </c>
      <c r="AL33" s="83">
        <v>1077431</v>
      </c>
      <c r="AM33" s="114">
        <v>0</v>
      </c>
      <c r="AN33" s="114">
        <v>1698713</v>
      </c>
      <c r="AO33" s="114">
        <v>51804</v>
      </c>
      <c r="AP33" s="114">
        <v>48284</v>
      </c>
      <c r="AQ33" s="114">
        <v>1322010</v>
      </c>
      <c r="AR33" s="114">
        <v>126561</v>
      </c>
      <c r="AS33" s="114">
        <v>0</v>
      </c>
      <c r="AT33" s="114">
        <v>826289</v>
      </c>
      <c r="AU33" s="114">
        <v>0</v>
      </c>
      <c r="AV33" s="114">
        <v>0</v>
      </c>
      <c r="AW33" s="114">
        <v>0</v>
      </c>
      <c r="AX33" s="114">
        <v>0</v>
      </c>
      <c r="AY33" s="114">
        <v>0</v>
      </c>
      <c r="BD33" s="82">
        <v>1726854.21</v>
      </c>
      <c r="BE33" s="82">
        <v>863427</v>
      </c>
      <c r="BF33" s="117">
        <v>0</v>
      </c>
      <c r="BG33" s="118">
        <v>0</v>
      </c>
      <c r="BH33" s="118">
        <v>0</v>
      </c>
      <c r="BI33" s="117">
        <v>3176194</v>
      </c>
      <c r="BJ33" s="117">
        <v>3176194</v>
      </c>
      <c r="BK33" s="117">
        <v>24762305.75</v>
      </c>
      <c r="BL33" s="117">
        <v>24748136.75</v>
      </c>
      <c r="BM33" s="117">
        <v>0</v>
      </c>
      <c r="BN33" s="117">
        <v>0</v>
      </c>
      <c r="BO33" s="119"/>
      <c r="BP33" s="86">
        <f t="shared" si="4"/>
        <v>205023543.55327868</v>
      </c>
      <c r="BQ33" s="86">
        <f t="shared" si="5"/>
        <v>142417195.80327868</v>
      </c>
      <c r="BR33" s="87">
        <v>215481</v>
      </c>
      <c r="BT33" s="86">
        <f t="shared" si="0"/>
        <v>138170477</v>
      </c>
      <c r="BU33" s="82">
        <f t="shared" si="1"/>
        <v>32741159</v>
      </c>
      <c r="BV33" s="82">
        <f t="shared" si="2"/>
        <v>1077431</v>
      </c>
      <c r="BW33" s="86">
        <f t="shared" si="3"/>
        <v>3072527</v>
      </c>
      <c r="BX33" s="86">
        <f t="shared" si="6"/>
        <v>175061594</v>
      </c>
    </row>
    <row r="34" spans="1:76" x14ac:dyDescent="0.25">
      <c r="A34" s="91" t="s">
        <v>88</v>
      </c>
      <c r="B34" s="114">
        <v>219243356</v>
      </c>
      <c r="C34" s="114">
        <v>97589028</v>
      </c>
      <c r="D34" s="114">
        <v>69470694</v>
      </c>
      <c r="E34" s="114">
        <v>0</v>
      </c>
      <c r="F34" s="114">
        <v>36069657</v>
      </c>
      <c r="G34" s="114">
        <v>14089185</v>
      </c>
      <c r="H34" s="114">
        <v>11179101</v>
      </c>
      <c r="I34" s="114">
        <v>2848201</v>
      </c>
      <c r="J34" s="114">
        <v>186400</v>
      </c>
      <c r="K34" s="114">
        <v>73152</v>
      </c>
      <c r="L34" s="114">
        <v>86704227</v>
      </c>
      <c r="M34" s="114">
        <v>1508300</v>
      </c>
      <c r="N34" s="114">
        <v>1356</v>
      </c>
      <c r="O34" s="114">
        <v>516</v>
      </c>
      <c r="P34" s="114">
        <v>1226850</v>
      </c>
      <c r="Q34" s="114">
        <v>670750</v>
      </c>
      <c r="R34" s="114">
        <v>998500</v>
      </c>
      <c r="S34" s="114">
        <v>4117620</v>
      </c>
      <c r="T34" s="114">
        <v>2500629</v>
      </c>
      <c r="U34" s="114">
        <v>552100</v>
      </c>
      <c r="V34" s="114">
        <v>1226850</v>
      </c>
      <c r="W34" s="114">
        <v>651000</v>
      </c>
      <c r="X34" s="114">
        <v>998500</v>
      </c>
      <c r="Y34" s="114">
        <v>4117620</v>
      </c>
      <c r="Z34" s="114">
        <v>1989525</v>
      </c>
      <c r="AA34" s="114">
        <v>552100</v>
      </c>
      <c r="AB34" s="114">
        <v>-2358800</v>
      </c>
      <c r="AC34" s="114">
        <v>115296</v>
      </c>
      <c r="AD34" s="114">
        <v>94193</v>
      </c>
      <c r="AE34" s="114">
        <v>11862</v>
      </c>
      <c r="AF34" s="114">
        <v>11582460</v>
      </c>
      <c r="AG34" s="114">
        <v>138254</v>
      </c>
      <c r="AH34" s="114">
        <v>2064442.6229508198</v>
      </c>
      <c r="AI34" s="114">
        <v>45770.491803278695</v>
      </c>
      <c r="AJ34" s="121">
        <v>0</v>
      </c>
      <c r="AK34" s="82">
        <v>76992914</v>
      </c>
      <c r="AL34" s="83">
        <v>1541874</v>
      </c>
      <c r="AM34" s="114">
        <v>0</v>
      </c>
      <c r="AN34" s="114">
        <v>5914004</v>
      </c>
      <c r="AO34" s="114">
        <v>94731</v>
      </c>
      <c r="AP34" s="114">
        <v>6500763</v>
      </c>
      <c r="AQ34" s="114">
        <v>6875282</v>
      </c>
      <c r="AR34" s="114">
        <v>1922276</v>
      </c>
      <c r="AS34" s="114">
        <v>0</v>
      </c>
      <c r="AT34" s="114">
        <v>79293</v>
      </c>
      <c r="AU34" s="114">
        <v>0</v>
      </c>
      <c r="AV34" s="114">
        <v>0</v>
      </c>
      <c r="AW34" s="114">
        <v>0</v>
      </c>
      <c r="AX34" s="114">
        <v>44293</v>
      </c>
      <c r="AY34" s="114">
        <v>0</v>
      </c>
      <c r="BD34" s="82">
        <v>4060807.31</v>
      </c>
      <c r="BE34" s="82">
        <v>2030404</v>
      </c>
      <c r="BF34" s="117">
        <v>0</v>
      </c>
      <c r="BG34" s="118">
        <v>5379098</v>
      </c>
      <c r="BH34" s="118">
        <v>10344418</v>
      </c>
      <c r="BI34" s="117">
        <v>21600709</v>
      </c>
      <c r="BJ34" s="117">
        <v>21600709</v>
      </c>
      <c r="BK34" s="117">
        <v>37805356.5</v>
      </c>
      <c r="BL34" s="117">
        <v>34027998.5</v>
      </c>
      <c r="BM34" s="117">
        <v>0</v>
      </c>
      <c r="BN34" s="117">
        <v>0</v>
      </c>
      <c r="BO34" s="119"/>
      <c r="BP34" s="86">
        <f t="shared" si="4"/>
        <v>542870305.61475408</v>
      </c>
      <c r="BQ34" s="86">
        <f t="shared" si="5"/>
        <v>401297308.11475408</v>
      </c>
      <c r="BR34" s="87">
        <v>1042000</v>
      </c>
      <c r="BT34" s="86">
        <f t="shared" ref="BT34:BT65" si="7">B34+C34+D34</f>
        <v>386303078</v>
      </c>
      <c r="BU34" s="82">
        <f t="shared" ref="BU34:BU65" si="8">AK34</f>
        <v>76992914</v>
      </c>
      <c r="BV34" s="82">
        <f t="shared" ref="BV34:BV65" si="9">AL34</f>
        <v>1541874</v>
      </c>
      <c r="BW34" s="86">
        <f t="shared" ref="BW34:BW65" si="10">AN34+AO34+AQ34+AS34</f>
        <v>12884017</v>
      </c>
      <c r="BX34" s="86">
        <f t="shared" si="6"/>
        <v>477721883</v>
      </c>
    </row>
    <row r="35" spans="1:76" x14ac:dyDescent="0.25">
      <c r="A35" s="91" t="s">
        <v>89</v>
      </c>
      <c r="B35" s="114">
        <v>17358419900</v>
      </c>
      <c r="C35" s="114">
        <v>746351800</v>
      </c>
      <c r="D35" s="114">
        <v>8117423200</v>
      </c>
      <c r="E35" s="114">
        <v>0</v>
      </c>
      <c r="F35" s="114">
        <v>734486800</v>
      </c>
      <c r="G35" s="114">
        <v>43070900</v>
      </c>
      <c r="H35" s="114">
        <v>10753600</v>
      </c>
      <c r="I35" s="114">
        <v>188000</v>
      </c>
      <c r="J35" s="114">
        <v>1015200</v>
      </c>
      <c r="K35" s="114">
        <v>75200</v>
      </c>
      <c r="L35" s="114">
        <v>1489203200</v>
      </c>
      <c r="M35" s="114">
        <v>580374700</v>
      </c>
      <c r="N35" s="114">
        <v>19967</v>
      </c>
      <c r="O35" s="114">
        <v>1181</v>
      </c>
      <c r="P35" s="114">
        <v>560908298</v>
      </c>
      <c r="Q35" s="114">
        <v>56210000</v>
      </c>
      <c r="R35" s="114">
        <v>256590422</v>
      </c>
      <c r="S35" s="114">
        <v>134036920</v>
      </c>
      <c r="T35" s="114">
        <v>279134600</v>
      </c>
      <c r="U35" s="114">
        <v>37886200</v>
      </c>
      <c r="V35" s="114">
        <v>560908298</v>
      </c>
      <c r="W35" s="114">
        <v>90353000</v>
      </c>
      <c r="X35" s="114">
        <v>256590422</v>
      </c>
      <c r="Y35" s="114">
        <v>134036920</v>
      </c>
      <c r="Z35" s="114">
        <v>417290609</v>
      </c>
      <c r="AA35" s="114">
        <v>37886200</v>
      </c>
      <c r="AB35" s="114">
        <v>70626900</v>
      </c>
      <c r="AC35" s="114">
        <v>-3582794</v>
      </c>
      <c r="AD35" s="114">
        <v>0</v>
      </c>
      <c r="AE35" s="114">
        <v>0</v>
      </c>
      <c r="AF35" s="114">
        <v>0</v>
      </c>
      <c r="AG35" s="114">
        <v>0</v>
      </c>
      <c r="AH35" s="114">
        <v>0</v>
      </c>
      <c r="AI35" s="114">
        <v>1739819.6721311475</v>
      </c>
      <c r="AJ35" s="121">
        <v>0</v>
      </c>
      <c r="AK35" s="82">
        <v>2213444557</v>
      </c>
      <c r="AL35" s="83">
        <v>21697495</v>
      </c>
      <c r="AM35" s="114">
        <v>81899</v>
      </c>
      <c r="AN35" s="114">
        <v>1003099607</v>
      </c>
      <c r="AO35" s="114">
        <v>26193934</v>
      </c>
      <c r="AP35" s="114">
        <v>440409055</v>
      </c>
      <c r="AQ35" s="114">
        <v>821181089</v>
      </c>
      <c r="AR35" s="114">
        <v>432210394</v>
      </c>
      <c r="AS35" s="114">
        <v>252964666</v>
      </c>
      <c r="AT35" s="114">
        <f>615451479+47665811</f>
        <v>663117290</v>
      </c>
      <c r="AU35" s="114">
        <v>1348484</v>
      </c>
      <c r="AV35" s="114">
        <v>33050</v>
      </c>
      <c r="AW35" s="114">
        <v>5001307</v>
      </c>
      <c r="AX35" s="114">
        <v>3911753</v>
      </c>
      <c r="AY35" s="114">
        <v>68439870</v>
      </c>
      <c r="BD35" s="82">
        <v>116742845.22</v>
      </c>
      <c r="BE35" s="82">
        <v>58371423</v>
      </c>
      <c r="BF35" s="117">
        <v>0</v>
      </c>
      <c r="BG35" s="118">
        <v>5422471</v>
      </c>
      <c r="BH35" s="118">
        <v>10427829</v>
      </c>
      <c r="BI35" s="117">
        <v>344643226</v>
      </c>
      <c r="BJ35" s="117">
        <v>340926358</v>
      </c>
      <c r="BK35" s="117">
        <v>641907643.75</v>
      </c>
      <c r="BL35" s="117">
        <v>615953065.75</v>
      </c>
      <c r="BM35" s="117">
        <v>170584</v>
      </c>
      <c r="BN35" s="117">
        <v>0</v>
      </c>
      <c r="BO35" s="119"/>
      <c r="BP35" s="86">
        <f t="shared" si="4"/>
        <v>31330395303.422131</v>
      </c>
      <c r="BQ35" s="86">
        <f t="shared" si="5"/>
        <v>28074409349.672131</v>
      </c>
      <c r="BR35" s="87">
        <v>13919300</v>
      </c>
      <c r="BT35" s="86">
        <f t="shared" si="7"/>
        <v>26222194900</v>
      </c>
      <c r="BU35" s="82">
        <f t="shared" si="8"/>
        <v>2213444557</v>
      </c>
      <c r="BV35" s="82">
        <f t="shared" si="9"/>
        <v>21697495</v>
      </c>
      <c r="BW35" s="86">
        <f t="shared" si="10"/>
        <v>2103439296</v>
      </c>
      <c r="BX35" s="86">
        <f t="shared" si="6"/>
        <v>30560776248</v>
      </c>
    </row>
    <row r="36" spans="1:76" x14ac:dyDescent="0.25">
      <c r="A36" s="91" t="s">
        <v>90</v>
      </c>
      <c r="B36" s="114">
        <v>266879934</v>
      </c>
      <c r="C36" s="114">
        <v>183109380</v>
      </c>
      <c r="D36" s="114">
        <v>78678140</v>
      </c>
      <c r="E36" s="114">
        <v>0</v>
      </c>
      <c r="F36" s="114">
        <v>39632900</v>
      </c>
      <c r="G36" s="114">
        <v>8635120</v>
      </c>
      <c r="H36" s="114">
        <v>15318400</v>
      </c>
      <c r="I36" s="114">
        <v>1696800</v>
      </c>
      <c r="J36" s="114">
        <v>37600</v>
      </c>
      <c r="K36" s="114">
        <v>0</v>
      </c>
      <c r="L36" s="114">
        <v>229134070</v>
      </c>
      <c r="M36" s="114">
        <v>96266400</v>
      </c>
      <c r="N36" s="114">
        <v>1566</v>
      </c>
      <c r="O36" s="114">
        <v>313</v>
      </c>
      <c r="P36" s="114">
        <v>2911500</v>
      </c>
      <c r="Q36" s="114">
        <v>2003000</v>
      </c>
      <c r="R36" s="114">
        <v>820000</v>
      </c>
      <c r="S36" s="114">
        <v>1877550</v>
      </c>
      <c r="T36" s="114">
        <v>719800</v>
      </c>
      <c r="U36" s="114">
        <v>990500</v>
      </c>
      <c r="V36" s="114">
        <v>2911500</v>
      </c>
      <c r="W36" s="114">
        <v>2254500</v>
      </c>
      <c r="X36" s="114">
        <v>820000</v>
      </c>
      <c r="Y36" s="114">
        <v>1877550</v>
      </c>
      <c r="Z36" s="114">
        <v>739500</v>
      </c>
      <c r="AA36" s="114">
        <v>990500</v>
      </c>
      <c r="AB36" s="114">
        <v>-2115500</v>
      </c>
      <c r="AC36" s="114">
        <v>-334122</v>
      </c>
      <c r="AD36" s="114">
        <v>51955</v>
      </c>
      <c r="AE36" s="114">
        <v>48789</v>
      </c>
      <c r="AF36" s="114">
        <v>79086855</v>
      </c>
      <c r="AG36" s="114">
        <v>212086</v>
      </c>
      <c r="AH36" s="114">
        <v>0</v>
      </c>
      <c r="AI36" s="114">
        <v>130827.86885245904</v>
      </c>
      <c r="AJ36" s="121">
        <v>0</v>
      </c>
      <c r="AK36" s="82">
        <v>106882013</v>
      </c>
      <c r="AL36" s="83">
        <v>1236289</v>
      </c>
      <c r="AM36" s="114">
        <v>0</v>
      </c>
      <c r="AN36" s="114">
        <v>17828226</v>
      </c>
      <c r="AO36" s="114">
        <v>2258830</v>
      </c>
      <c r="AP36" s="114">
        <v>29563647</v>
      </c>
      <c r="AQ36" s="114">
        <v>22865234</v>
      </c>
      <c r="AR36" s="114">
        <v>12576560</v>
      </c>
      <c r="AS36" s="114">
        <v>631306</v>
      </c>
      <c r="AT36" s="114">
        <v>0</v>
      </c>
      <c r="AU36" s="114">
        <v>0</v>
      </c>
      <c r="AV36" s="114">
        <v>58585</v>
      </c>
      <c r="AW36" s="114">
        <v>1223098</v>
      </c>
      <c r="AX36" s="114">
        <v>2723</v>
      </c>
      <c r="AY36" s="114">
        <v>62500</v>
      </c>
      <c r="BD36" s="82">
        <v>5637236.4299999997</v>
      </c>
      <c r="BE36" s="82">
        <v>2818618</v>
      </c>
      <c r="BF36" s="117">
        <v>0</v>
      </c>
      <c r="BG36" s="118">
        <v>668555</v>
      </c>
      <c r="BH36" s="118">
        <v>1285682</v>
      </c>
      <c r="BI36" s="117">
        <v>14232762</v>
      </c>
      <c r="BJ36" s="117">
        <v>14232762</v>
      </c>
      <c r="BK36" s="117">
        <v>35828900.5</v>
      </c>
      <c r="BL36" s="117">
        <v>35372327.5</v>
      </c>
      <c r="BM36" s="117">
        <v>0</v>
      </c>
      <c r="BN36" s="117">
        <v>0</v>
      </c>
      <c r="BO36" s="119"/>
      <c r="BP36" s="86">
        <f t="shared" si="4"/>
        <v>732961136.36885238</v>
      </c>
      <c r="BQ36" s="86">
        <f t="shared" si="5"/>
        <v>571750571.86885238</v>
      </c>
      <c r="BR36" s="87">
        <v>873550</v>
      </c>
      <c r="BT36" s="86">
        <f t="shared" si="7"/>
        <v>528667454</v>
      </c>
      <c r="BU36" s="82">
        <f t="shared" si="8"/>
        <v>106882013</v>
      </c>
      <c r="BV36" s="82">
        <f t="shared" si="9"/>
        <v>1236289</v>
      </c>
      <c r="BW36" s="86">
        <f t="shared" si="10"/>
        <v>43583596</v>
      </c>
      <c r="BX36" s="86">
        <f t="shared" si="6"/>
        <v>680369352</v>
      </c>
    </row>
    <row r="37" spans="1:76" x14ac:dyDescent="0.25">
      <c r="A37" s="91" t="s">
        <v>91</v>
      </c>
      <c r="B37" s="114">
        <v>641411298</v>
      </c>
      <c r="C37" s="114">
        <v>121157457</v>
      </c>
      <c r="D37" s="114">
        <v>281115201</v>
      </c>
      <c r="E37" s="114">
        <v>0</v>
      </c>
      <c r="F37" s="114">
        <v>90857650</v>
      </c>
      <c r="G37" s="114">
        <v>79699300</v>
      </c>
      <c r="H37" s="114">
        <v>20021734</v>
      </c>
      <c r="I37" s="114">
        <v>9914600</v>
      </c>
      <c r="J37" s="114">
        <v>290200</v>
      </c>
      <c r="K37" s="114">
        <v>150400</v>
      </c>
      <c r="L37" s="114">
        <v>68380514</v>
      </c>
      <c r="M37" s="114">
        <v>62288042</v>
      </c>
      <c r="N37" s="114">
        <v>3310</v>
      </c>
      <c r="O37" s="114">
        <v>2961</v>
      </c>
      <c r="P37" s="114">
        <v>8365500</v>
      </c>
      <c r="Q37" s="114">
        <v>1015000</v>
      </c>
      <c r="R37" s="114">
        <v>4908000</v>
      </c>
      <c r="S37" s="114">
        <v>4452400</v>
      </c>
      <c r="T37" s="114">
        <v>564000</v>
      </c>
      <c r="U37" s="114">
        <v>1285000</v>
      </c>
      <c r="V37" s="114">
        <v>8365500</v>
      </c>
      <c r="W37" s="114">
        <v>1123000</v>
      </c>
      <c r="X37" s="114">
        <v>4908000</v>
      </c>
      <c r="Y37" s="114">
        <v>4452400</v>
      </c>
      <c r="Z37" s="114">
        <v>502000</v>
      </c>
      <c r="AA37" s="114">
        <v>1285000</v>
      </c>
      <c r="AB37" s="114">
        <v>-6839250</v>
      </c>
      <c r="AC37" s="114">
        <v>0</v>
      </c>
      <c r="AD37" s="114">
        <v>0</v>
      </c>
      <c r="AE37" s="114">
        <v>0</v>
      </c>
      <c r="AF37" s="114">
        <v>0</v>
      </c>
      <c r="AG37" s="114">
        <v>0</v>
      </c>
      <c r="AH37" s="114">
        <v>1570721.3114754099</v>
      </c>
      <c r="AI37" s="114">
        <v>61778860.655737698</v>
      </c>
      <c r="AJ37" s="121">
        <v>15359192.619999999</v>
      </c>
      <c r="AK37" s="82">
        <v>276417968</v>
      </c>
      <c r="AL37" s="83">
        <v>7160631</v>
      </c>
      <c r="AM37" s="114">
        <v>0</v>
      </c>
      <c r="AN37" s="114">
        <v>74658283</v>
      </c>
      <c r="AO37" s="114">
        <v>2461996</v>
      </c>
      <c r="AP37" s="114">
        <v>124077707</v>
      </c>
      <c r="AQ37" s="114">
        <v>47291503</v>
      </c>
      <c r="AR37" s="114">
        <v>38685819</v>
      </c>
      <c r="AS37" s="114">
        <v>596083</v>
      </c>
      <c r="AT37" s="114">
        <v>20000</v>
      </c>
      <c r="AU37" s="114">
        <v>0</v>
      </c>
      <c r="AV37" s="114">
        <v>0</v>
      </c>
      <c r="AW37" s="114">
        <v>0</v>
      </c>
      <c r="AX37" s="114">
        <v>2224</v>
      </c>
      <c r="AY37" s="114">
        <v>1900000</v>
      </c>
      <c r="BD37" s="82">
        <v>14579005.359999999</v>
      </c>
      <c r="BE37" s="82">
        <v>7289503</v>
      </c>
      <c r="BF37" s="117">
        <v>0</v>
      </c>
      <c r="BG37" s="118">
        <v>5703653</v>
      </c>
      <c r="BH37" s="118">
        <v>10968564</v>
      </c>
      <c r="BI37" s="117">
        <v>130287642</v>
      </c>
      <c r="BJ37" s="117">
        <v>130287642</v>
      </c>
      <c r="BK37" s="117">
        <v>224013616.5</v>
      </c>
      <c r="BL37" s="117">
        <v>218576492.5</v>
      </c>
      <c r="BM37" s="117">
        <v>0</v>
      </c>
      <c r="BN37" s="117">
        <v>0</v>
      </c>
      <c r="BO37" s="119"/>
      <c r="BP37" s="86">
        <f t="shared" si="4"/>
        <v>1892240402.087213</v>
      </c>
      <c r="BQ37" s="86">
        <f t="shared" si="5"/>
        <v>1246804512.587213</v>
      </c>
      <c r="BR37" s="87">
        <v>14753000</v>
      </c>
      <c r="BT37" s="86">
        <f t="shared" si="7"/>
        <v>1043683956</v>
      </c>
      <c r="BU37" s="82">
        <f t="shared" si="8"/>
        <v>276417968</v>
      </c>
      <c r="BV37" s="82">
        <f t="shared" si="9"/>
        <v>7160631</v>
      </c>
      <c r="BW37" s="86">
        <f t="shared" si="10"/>
        <v>125007865</v>
      </c>
      <c r="BX37" s="86">
        <f t="shared" si="6"/>
        <v>1452270420</v>
      </c>
    </row>
    <row r="38" spans="1:76" x14ac:dyDescent="0.25">
      <c r="A38" s="91" t="s">
        <v>92</v>
      </c>
      <c r="B38" s="114">
        <v>1943932020</v>
      </c>
      <c r="C38" s="114">
        <v>182195597</v>
      </c>
      <c r="D38" s="114">
        <v>853525423</v>
      </c>
      <c r="E38" s="114">
        <v>0</v>
      </c>
      <c r="F38" s="114">
        <v>164325001</v>
      </c>
      <c r="G38" s="114">
        <v>10133070</v>
      </c>
      <c r="H38" s="114">
        <v>12323646</v>
      </c>
      <c r="I38" s="114">
        <v>313926</v>
      </c>
      <c r="J38" s="114">
        <v>225600</v>
      </c>
      <c r="K38" s="114">
        <v>37600</v>
      </c>
      <c r="L38" s="114">
        <v>158329145</v>
      </c>
      <c r="M38" s="114">
        <v>135524515</v>
      </c>
      <c r="N38" s="114">
        <v>4778</v>
      </c>
      <c r="O38" s="114">
        <v>307</v>
      </c>
      <c r="P38" s="114">
        <v>21744239</v>
      </c>
      <c r="Q38" s="114">
        <v>2399568</v>
      </c>
      <c r="R38" s="114">
        <v>24991876</v>
      </c>
      <c r="S38" s="114">
        <v>7893726</v>
      </c>
      <c r="T38" s="114">
        <v>9884314</v>
      </c>
      <c r="U38" s="114">
        <v>14701475</v>
      </c>
      <c r="V38" s="114">
        <v>21744239</v>
      </c>
      <c r="W38" s="114">
        <v>2758941</v>
      </c>
      <c r="X38" s="114">
        <v>24991876</v>
      </c>
      <c r="Y38" s="114">
        <v>7893726</v>
      </c>
      <c r="Z38" s="114">
        <v>14987200</v>
      </c>
      <c r="AA38" s="114">
        <v>14701475</v>
      </c>
      <c r="AB38" s="114">
        <v>-9565519</v>
      </c>
      <c r="AC38" s="114">
        <v>-1272818</v>
      </c>
      <c r="AD38" s="114">
        <v>0</v>
      </c>
      <c r="AE38" s="114">
        <v>0</v>
      </c>
      <c r="AF38" s="114">
        <v>0</v>
      </c>
      <c r="AG38" s="114">
        <v>103241</v>
      </c>
      <c r="AH38" s="114">
        <v>0</v>
      </c>
      <c r="AI38" s="114">
        <v>438221.31147540984</v>
      </c>
      <c r="AJ38" s="121">
        <v>0</v>
      </c>
      <c r="AK38" s="82">
        <v>347187743</v>
      </c>
      <c r="AL38" s="83">
        <v>8753089</v>
      </c>
      <c r="AM38" s="114">
        <v>183790</v>
      </c>
      <c r="AN38" s="114">
        <v>109534525</v>
      </c>
      <c r="AO38" s="114">
        <v>5047549</v>
      </c>
      <c r="AP38" s="114">
        <v>220943050</v>
      </c>
      <c r="AQ38" s="114">
        <v>92859726</v>
      </c>
      <c r="AR38" s="114">
        <v>78092562</v>
      </c>
      <c r="AS38" s="114">
        <v>25191784</v>
      </c>
      <c r="AT38" s="114">
        <v>5926728</v>
      </c>
      <c r="AU38" s="114">
        <v>0</v>
      </c>
      <c r="AV38" s="114">
        <v>0</v>
      </c>
      <c r="AW38" s="114">
        <v>26348</v>
      </c>
      <c r="AX38" s="114">
        <v>149706</v>
      </c>
      <c r="AY38" s="114">
        <v>1145100</v>
      </c>
      <c r="BD38" s="82">
        <v>18311588.07</v>
      </c>
      <c r="BE38" s="82">
        <v>9155794</v>
      </c>
      <c r="BF38" s="117">
        <v>3814767</v>
      </c>
      <c r="BG38" s="118">
        <v>1156136</v>
      </c>
      <c r="BH38" s="118">
        <v>2223338</v>
      </c>
      <c r="BI38" s="117">
        <v>74302782</v>
      </c>
      <c r="BJ38" s="117">
        <v>73788371</v>
      </c>
      <c r="BK38" s="117">
        <v>46714218.75</v>
      </c>
      <c r="BL38" s="117">
        <v>44498096.75</v>
      </c>
      <c r="BM38" s="117">
        <v>184514410</v>
      </c>
      <c r="BN38" s="117">
        <v>0</v>
      </c>
      <c r="BO38" s="119"/>
      <c r="BP38" s="86">
        <f t="shared" si="4"/>
        <v>3856586701.0614753</v>
      </c>
      <c r="BQ38" s="86">
        <f t="shared" si="5"/>
        <v>3187533061.3114753</v>
      </c>
      <c r="BR38" s="87">
        <v>5570458</v>
      </c>
      <c r="BT38" s="86">
        <f t="shared" si="7"/>
        <v>2979653040</v>
      </c>
      <c r="BU38" s="82">
        <f t="shared" si="8"/>
        <v>347187743</v>
      </c>
      <c r="BV38" s="82">
        <f t="shared" si="9"/>
        <v>8753089</v>
      </c>
      <c r="BW38" s="86">
        <f t="shared" si="10"/>
        <v>232633584</v>
      </c>
      <c r="BX38" s="86">
        <f t="shared" si="6"/>
        <v>3568227456</v>
      </c>
    </row>
    <row r="39" spans="1:76" x14ac:dyDescent="0.25">
      <c r="A39" s="91" t="s">
        <v>93</v>
      </c>
      <c r="B39" s="114">
        <v>74166563</v>
      </c>
      <c r="C39" s="114">
        <v>60407246</v>
      </c>
      <c r="D39" s="114">
        <v>55737738</v>
      </c>
      <c r="E39" s="114">
        <v>0</v>
      </c>
      <c r="F39" s="114">
        <v>21277293</v>
      </c>
      <c r="G39" s="114">
        <v>3485240</v>
      </c>
      <c r="H39" s="114">
        <v>3345843</v>
      </c>
      <c r="I39" s="114">
        <v>148930</v>
      </c>
      <c r="J39" s="114">
        <v>73600</v>
      </c>
      <c r="K39" s="114">
        <v>0</v>
      </c>
      <c r="L39" s="114">
        <v>301278091</v>
      </c>
      <c r="M39" s="114">
        <v>14218532</v>
      </c>
      <c r="N39" s="114">
        <v>744</v>
      </c>
      <c r="O39" s="114">
        <v>118</v>
      </c>
      <c r="P39" s="114">
        <v>1345813</v>
      </c>
      <c r="Q39" s="114">
        <v>266335</v>
      </c>
      <c r="R39" s="114">
        <v>869082</v>
      </c>
      <c r="S39" s="114">
        <v>1117756</v>
      </c>
      <c r="T39" s="114">
        <v>493847</v>
      </c>
      <c r="U39" s="114">
        <v>1911317</v>
      </c>
      <c r="V39" s="114">
        <v>1345813</v>
      </c>
      <c r="W39" s="114">
        <v>648648</v>
      </c>
      <c r="X39" s="114">
        <v>869082</v>
      </c>
      <c r="Y39" s="114">
        <v>1117756</v>
      </c>
      <c r="Z39" s="114">
        <v>1094187</v>
      </c>
      <c r="AA39" s="114">
        <v>1911317</v>
      </c>
      <c r="AB39" s="114">
        <v>-374465</v>
      </c>
      <c r="AC39" s="114">
        <v>-368722</v>
      </c>
      <c r="AD39" s="114">
        <v>26761</v>
      </c>
      <c r="AE39" s="114">
        <v>0</v>
      </c>
      <c r="AF39" s="114">
        <v>0</v>
      </c>
      <c r="AG39" s="114">
        <v>120751</v>
      </c>
      <c r="AH39" s="114">
        <v>0</v>
      </c>
      <c r="AI39" s="114">
        <v>0</v>
      </c>
      <c r="AJ39" s="121">
        <v>0</v>
      </c>
      <c r="AK39" s="82">
        <v>36933137</v>
      </c>
      <c r="AL39" s="83">
        <v>650528</v>
      </c>
      <c r="AM39" s="114">
        <v>0</v>
      </c>
      <c r="AN39" s="114">
        <v>17276707</v>
      </c>
      <c r="AO39" s="114">
        <v>3461677</v>
      </c>
      <c r="AP39" s="114">
        <v>30547562</v>
      </c>
      <c r="AQ39" s="114">
        <v>16843495</v>
      </c>
      <c r="AR39" s="114">
        <v>32316141</v>
      </c>
      <c r="AS39" s="114">
        <v>10262636</v>
      </c>
      <c r="AT39" s="114">
        <v>4558648</v>
      </c>
      <c r="AU39" s="114">
        <v>0</v>
      </c>
      <c r="AV39" s="114">
        <v>0</v>
      </c>
      <c r="AW39" s="114">
        <v>4329905</v>
      </c>
      <c r="AX39" s="114">
        <v>943</v>
      </c>
      <c r="AY39" s="114">
        <v>198900</v>
      </c>
      <c r="BD39" s="82">
        <v>1947950.0800000001</v>
      </c>
      <c r="BE39" s="82">
        <v>973975</v>
      </c>
      <c r="BF39" s="117">
        <v>44595855</v>
      </c>
      <c r="BG39" s="118">
        <v>1310935</v>
      </c>
      <c r="BH39" s="118">
        <v>2521030</v>
      </c>
      <c r="BI39" s="117">
        <v>11676967</v>
      </c>
      <c r="BJ39" s="117">
        <v>11676967</v>
      </c>
      <c r="BK39" s="117">
        <v>21703865</v>
      </c>
      <c r="BL39" s="117">
        <v>15802854</v>
      </c>
      <c r="BM39" s="117">
        <v>0</v>
      </c>
      <c r="BN39" s="117">
        <v>3812405</v>
      </c>
      <c r="BO39" s="119"/>
      <c r="BP39" s="86">
        <f t="shared" si="4"/>
        <v>299054227</v>
      </c>
      <c r="BQ39" s="86">
        <f t="shared" si="5"/>
        <v>227893426</v>
      </c>
      <c r="BR39" s="87">
        <v>1143242</v>
      </c>
      <c r="BT39" s="86">
        <f t="shared" si="7"/>
        <v>190311547</v>
      </c>
      <c r="BU39" s="82">
        <f t="shared" si="8"/>
        <v>36933137</v>
      </c>
      <c r="BV39" s="82">
        <f t="shared" si="9"/>
        <v>650528</v>
      </c>
      <c r="BW39" s="86">
        <f t="shared" si="10"/>
        <v>47844515</v>
      </c>
      <c r="BX39" s="86">
        <f t="shared" si="6"/>
        <v>275739727</v>
      </c>
    </row>
    <row r="40" spans="1:76" x14ac:dyDescent="0.25">
      <c r="A40" s="91" t="s">
        <v>94</v>
      </c>
      <c r="B40" s="114">
        <v>243887800</v>
      </c>
      <c r="C40" s="114">
        <v>63701868</v>
      </c>
      <c r="D40" s="114">
        <v>101360625</v>
      </c>
      <c r="E40" s="114">
        <v>93138781</v>
      </c>
      <c r="F40" s="114">
        <v>17652600</v>
      </c>
      <c r="G40" s="114">
        <v>3851700</v>
      </c>
      <c r="H40" s="114">
        <v>4797600</v>
      </c>
      <c r="I40" s="114">
        <v>472900</v>
      </c>
      <c r="J40" s="114">
        <v>0</v>
      </c>
      <c r="K40" s="114">
        <v>24300</v>
      </c>
      <c r="L40" s="114">
        <v>109619787</v>
      </c>
      <c r="M40" s="114">
        <v>50509815</v>
      </c>
      <c r="N40" s="114">
        <v>620</v>
      </c>
      <c r="O40" s="114">
        <v>124</v>
      </c>
      <c r="P40" s="114">
        <v>3376188</v>
      </c>
      <c r="Q40" s="114">
        <v>1156550</v>
      </c>
      <c r="R40" s="114">
        <v>6272259</v>
      </c>
      <c r="S40" s="114">
        <v>3468174</v>
      </c>
      <c r="T40" s="114">
        <v>1468400</v>
      </c>
      <c r="U40" s="114">
        <v>3488979</v>
      </c>
      <c r="V40" s="114">
        <v>3376188</v>
      </c>
      <c r="W40" s="114">
        <v>636600</v>
      </c>
      <c r="X40" s="114">
        <v>6272259</v>
      </c>
      <c r="Y40" s="114">
        <v>3468174</v>
      </c>
      <c r="Z40" s="114">
        <v>185400</v>
      </c>
      <c r="AA40" s="114">
        <v>3458979</v>
      </c>
      <c r="AB40" s="114">
        <v>-879200</v>
      </c>
      <c r="AC40" s="114">
        <v>-89056</v>
      </c>
      <c r="AD40" s="114">
        <v>23607</v>
      </c>
      <c r="AE40" s="114">
        <v>0</v>
      </c>
      <c r="AF40" s="114">
        <v>0</v>
      </c>
      <c r="AG40" s="114">
        <v>51853</v>
      </c>
      <c r="AH40" s="114">
        <v>0</v>
      </c>
      <c r="AI40" s="114">
        <v>2152598.360655738</v>
      </c>
      <c r="AJ40" s="121">
        <v>0</v>
      </c>
      <c r="AK40" s="82">
        <v>55769527</v>
      </c>
      <c r="AL40" s="83">
        <v>2613796</v>
      </c>
      <c r="AM40" s="114">
        <v>1704532</v>
      </c>
      <c r="AN40" s="114">
        <v>27177109</v>
      </c>
      <c r="AO40" s="114">
        <v>1509084</v>
      </c>
      <c r="AP40" s="114">
        <v>186827515</v>
      </c>
      <c r="AQ40" s="114">
        <v>43658848</v>
      </c>
      <c r="AR40" s="114">
        <v>36664267</v>
      </c>
      <c r="AS40" s="114">
        <v>35967696</v>
      </c>
      <c r="AT40" s="114">
        <v>34503</v>
      </c>
      <c r="AU40" s="114">
        <v>0</v>
      </c>
      <c r="AV40" s="114">
        <v>0</v>
      </c>
      <c r="AW40" s="114">
        <v>15625174</v>
      </c>
      <c r="AX40" s="114">
        <v>10539137</v>
      </c>
      <c r="AY40" s="114">
        <v>20500</v>
      </c>
      <c r="BD40" s="82">
        <v>2942854.52</v>
      </c>
      <c r="BE40" s="82">
        <v>1471427</v>
      </c>
      <c r="BF40" s="117">
        <v>18113990</v>
      </c>
      <c r="BG40" s="118">
        <v>859998</v>
      </c>
      <c r="BH40" s="118">
        <v>1653841</v>
      </c>
      <c r="BI40" s="117">
        <v>5082632</v>
      </c>
      <c r="BJ40" s="117">
        <v>5082632</v>
      </c>
      <c r="BK40" s="117">
        <v>25701446.25</v>
      </c>
      <c r="BL40" s="117">
        <v>24318815.25</v>
      </c>
      <c r="BM40" s="117">
        <v>0</v>
      </c>
      <c r="BN40" s="117">
        <v>0</v>
      </c>
      <c r="BO40" s="119"/>
      <c r="BP40" s="86">
        <f t="shared" si="4"/>
        <v>573564127.61065578</v>
      </c>
      <c r="BQ40" s="86">
        <f t="shared" si="5"/>
        <v>483447932.36065573</v>
      </c>
      <c r="BR40" s="87">
        <v>431997</v>
      </c>
      <c r="BT40" s="86">
        <f t="shared" si="7"/>
        <v>408950293</v>
      </c>
      <c r="BU40" s="82">
        <f t="shared" si="8"/>
        <v>55769527</v>
      </c>
      <c r="BV40" s="82">
        <f t="shared" si="9"/>
        <v>2613796</v>
      </c>
      <c r="BW40" s="86">
        <f t="shared" si="10"/>
        <v>108312737</v>
      </c>
      <c r="BX40" s="86">
        <f t="shared" si="6"/>
        <v>575646353</v>
      </c>
    </row>
    <row r="41" spans="1:76" x14ac:dyDescent="0.25">
      <c r="A41" s="91" t="s">
        <v>95</v>
      </c>
      <c r="B41" s="114">
        <v>497368844</v>
      </c>
      <c r="C41" s="114">
        <v>130861671</v>
      </c>
      <c r="D41" s="114">
        <v>59115443</v>
      </c>
      <c r="E41" s="114">
        <v>0</v>
      </c>
      <c r="F41" s="114">
        <v>48273500</v>
      </c>
      <c r="G41" s="114">
        <v>9309100</v>
      </c>
      <c r="H41" s="114">
        <v>13592200</v>
      </c>
      <c r="I41" s="114">
        <v>1951900</v>
      </c>
      <c r="J41" s="114">
        <v>188000</v>
      </c>
      <c r="K41" s="114">
        <v>0</v>
      </c>
      <c r="L41" s="114">
        <v>210709329</v>
      </c>
      <c r="M41" s="114">
        <v>94269050</v>
      </c>
      <c r="N41" s="114">
        <v>1689</v>
      </c>
      <c r="O41" s="114">
        <v>323</v>
      </c>
      <c r="P41" s="114">
        <v>2447500</v>
      </c>
      <c r="Q41" s="114">
        <v>709500</v>
      </c>
      <c r="R41" s="114">
        <v>90000</v>
      </c>
      <c r="S41" s="114">
        <v>4022413</v>
      </c>
      <c r="T41" s="114">
        <v>1422211</v>
      </c>
      <c r="U41" s="114">
        <v>1894350</v>
      </c>
      <c r="V41" s="114">
        <v>2447500</v>
      </c>
      <c r="W41" s="114">
        <v>709500</v>
      </c>
      <c r="X41" s="114">
        <v>90000</v>
      </c>
      <c r="Y41" s="114">
        <v>4022413</v>
      </c>
      <c r="Z41" s="114">
        <v>3796156</v>
      </c>
      <c r="AA41" s="114">
        <v>1894350</v>
      </c>
      <c r="AB41" s="114">
        <v>-1595800</v>
      </c>
      <c r="AC41" s="114">
        <v>-1425972</v>
      </c>
      <c r="AD41" s="114">
        <v>0</v>
      </c>
      <c r="AE41" s="114">
        <v>0</v>
      </c>
      <c r="AF41" s="114">
        <v>0</v>
      </c>
      <c r="AG41" s="114">
        <v>129779</v>
      </c>
      <c r="AH41" s="114">
        <v>0</v>
      </c>
      <c r="AI41" s="114">
        <v>0</v>
      </c>
      <c r="AJ41" s="121">
        <v>0</v>
      </c>
      <c r="AK41" s="82">
        <v>116870553</v>
      </c>
      <c r="AL41" s="83">
        <v>6847698</v>
      </c>
      <c r="AM41" s="114">
        <v>211818</v>
      </c>
      <c r="AN41" s="114">
        <v>7573938</v>
      </c>
      <c r="AO41" s="114">
        <v>186373</v>
      </c>
      <c r="AP41" s="114">
        <v>7005339</v>
      </c>
      <c r="AQ41" s="114">
        <v>6751342</v>
      </c>
      <c r="AR41" s="114">
        <v>4279065</v>
      </c>
      <c r="AS41" s="114">
        <v>0</v>
      </c>
      <c r="AT41" s="114">
        <v>1801663</v>
      </c>
      <c r="AU41" s="114">
        <v>0</v>
      </c>
      <c r="AV41" s="114">
        <v>0</v>
      </c>
      <c r="AW41" s="114">
        <v>2500</v>
      </c>
      <c r="AX41" s="114">
        <v>537751</v>
      </c>
      <c r="AY41" s="114">
        <v>0</v>
      </c>
      <c r="BD41" s="82">
        <v>6164058.1100000003</v>
      </c>
      <c r="BE41" s="82">
        <v>3082029</v>
      </c>
      <c r="BF41" s="117">
        <v>0</v>
      </c>
      <c r="BG41" s="118">
        <v>0</v>
      </c>
      <c r="BH41" s="118">
        <v>0</v>
      </c>
      <c r="BI41" s="117">
        <v>26468192</v>
      </c>
      <c r="BJ41" s="117">
        <v>26468192</v>
      </c>
      <c r="BK41" s="117">
        <v>36865416.25</v>
      </c>
      <c r="BL41" s="117">
        <v>36860590.25</v>
      </c>
      <c r="BM41" s="117">
        <v>0</v>
      </c>
      <c r="BN41" s="117">
        <v>0</v>
      </c>
      <c r="BO41" s="119"/>
      <c r="BP41" s="86">
        <f t="shared" si="4"/>
        <v>891986673.25</v>
      </c>
      <c r="BQ41" s="86">
        <f t="shared" si="5"/>
        <v>701857611</v>
      </c>
      <c r="BR41" s="87">
        <v>767750</v>
      </c>
      <c r="BT41" s="86">
        <f t="shared" si="7"/>
        <v>687345958</v>
      </c>
      <c r="BU41" s="82">
        <f t="shared" si="8"/>
        <v>116870553</v>
      </c>
      <c r="BV41" s="82">
        <f t="shared" si="9"/>
        <v>6847698</v>
      </c>
      <c r="BW41" s="86">
        <f t="shared" si="10"/>
        <v>14511653</v>
      </c>
      <c r="BX41" s="86">
        <f t="shared" si="6"/>
        <v>825575862</v>
      </c>
    </row>
    <row r="42" spans="1:76" x14ac:dyDescent="0.25">
      <c r="A42" s="91" t="s">
        <v>96</v>
      </c>
      <c r="B42" s="114">
        <v>611750021</v>
      </c>
      <c r="C42" s="4">
        <v>226800008</v>
      </c>
      <c r="D42" s="114">
        <v>257101399</v>
      </c>
      <c r="E42" s="114">
        <v>2192000</v>
      </c>
      <c r="F42" s="114">
        <v>46108700</v>
      </c>
      <c r="G42" s="114">
        <v>6129990</v>
      </c>
      <c r="H42" s="114">
        <v>21360000</v>
      </c>
      <c r="I42" s="114">
        <v>1921800</v>
      </c>
      <c r="J42" s="114">
        <v>188000</v>
      </c>
      <c r="K42" s="114">
        <v>0</v>
      </c>
      <c r="L42" s="114">
        <v>284763427</v>
      </c>
      <c r="M42" s="114">
        <v>182789300</v>
      </c>
      <c r="N42" s="114">
        <v>1859</v>
      </c>
      <c r="O42" s="114">
        <v>237</v>
      </c>
      <c r="P42" s="114">
        <v>4694910</v>
      </c>
      <c r="Q42" s="114">
        <v>4586500</v>
      </c>
      <c r="R42" s="114">
        <v>35075775</v>
      </c>
      <c r="S42" s="114">
        <v>3929735</v>
      </c>
      <c r="T42" s="114">
        <v>749400</v>
      </c>
      <c r="U42" s="114">
        <v>1001200</v>
      </c>
      <c r="V42" s="114">
        <v>4694910</v>
      </c>
      <c r="W42" s="114">
        <v>4515000</v>
      </c>
      <c r="X42" s="114">
        <v>35075775</v>
      </c>
      <c r="Y42" s="114">
        <v>3929735</v>
      </c>
      <c r="Z42" s="114">
        <v>1176000</v>
      </c>
      <c r="AA42" s="114">
        <v>1001200</v>
      </c>
      <c r="AB42" s="114">
        <v>-1628700</v>
      </c>
      <c r="AC42" s="114">
        <v>-2208</v>
      </c>
      <c r="AD42" s="114">
        <v>68924</v>
      </c>
      <c r="AE42" s="114">
        <v>66</v>
      </c>
      <c r="AF42" s="114">
        <v>0</v>
      </c>
      <c r="AG42" s="114">
        <v>145070</v>
      </c>
      <c r="AH42" s="114">
        <v>0</v>
      </c>
      <c r="AI42" s="114">
        <v>0</v>
      </c>
      <c r="AJ42" s="121">
        <v>0</v>
      </c>
      <c r="AK42" s="82">
        <v>156154091</v>
      </c>
      <c r="AL42" s="83">
        <v>4194806</v>
      </c>
      <c r="AM42" s="114">
        <v>0</v>
      </c>
      <c r="AN42" s="114">
        <v>25482114</v>
      </c>
      <c r="AO42" s="114">
        <v>773571</v>
      </c>
      <c r="AP42" s="114">
        <v>38456519</v>
      </c>
      <c r="AQ42" s="114">
        <v>34618525</v>
      </c>
      <c r="AR42" s="114">
        <v>39117779</v>
      </c>
      <c r="AS42" s="114">
        <v>13538616</v>
      </c>
      <c r="AT42" s="114">
        <v>286678</v>
      </c>
      <c r="AU42" s="114">
        <v>0</v>
      </c>
      <c r="AV42" s="114">
        <v>0</v>
      </c>
      <c r="AW42" s="114">
        <v>0</v>
      </c>
      <c r="AX42" s="114">
        <v>829</v>
      </c>
      <c r="AY42" s="114">
        <v>0</v>
      </c>
      <c r="BD42" s="82">
        <v>8235974.4800000004</v>
      </c>
      <c r="BE42" s="82">
        <v>4117987</v>
      </c>
      <c r="BF42" s="117">
        <v>0</v>
      </c>
      <c r="BG42" s="118">
        <v>3101226</v>
      </c>
      <c r="BH42" s="118">
        <v>5963896</v>
      </c>
      <c r="BI42" s="117">
        <v>36017488</v>
      </c>
      <c r="BJ42" s="117">
        <v>36017488</v>
      </c>
      <c r="BK42" s="117">
        <v>65908332.75</v>
      </c>
      <c r="BL42" s="117">
        <v>58346180.75</v>
      </c>
      <c r="BM42" s="117">
        <v>0</v>
      </c>
      <c r="BN42" s="117">
        <v>0</v>
      </c>
      <c r="BO42" s="119"/>
      <c r="BP42" s="86">
        <f t="shared" si="4"/>
        <v>1418457416.75</v>
      </c>
      <c r="BQ42" s="86">
        <f t="shared" si="5"/>
        <v>1156525638</v>
      </c>
      <c r="BR42" s="87">
        <v>1610600</v>
      </c>
      <c r="BT42" s="86">
        <f t="shared" si="7"/>
        <v>1095651428</v>
      </c>
      <c r="BU42" s="82">
        <f t="shared" si="8"/>
        <v>156154091</v>
      </c>
      <c r="BV42" s="82">
        <f t="shared" si="9"/>
        <v>4194806</v>
      </c>
      <c r="BW42" s="86">
        <f t="shared" si="10"/>
        <v>74412826</v>
      </c>
      <c r="BX42" s="86">
        <f t="shared" si="6"/>
        <v>1330413151</v>
      </c>
    </row>
    <row r="43" spans="1:76" x14ac:dyDescent="0.25">
      <c r="A43" s="91" t="s">
        <v>97</v>
      </c>
      <c r="B43" s="114">
        <v>789970840</v>
      </c>
      <c r="C43" s="114">
        <v>388399200</v>
      </c>
      <c r="D43" s="114">
        <v>296881951</v>
      </c>
      <c r="E43" s="114">
        <v>12750000</v>
      </c>
      <c r="F43" s="114">
        <v>97582176</v>
      </c>
      <c r="G43" s="114">
        <v>24993101</v>
      </c>
      <c r="H43" s="114">
        <v>25373440</v>
      </c>
      <c r="I43" s="114">
        <v>4510250</v>
      </c>
      <c r="J43" s="114">
        <v>71600</v>
      </c>
      <c r="K43" s="114">
        <v>108200</v>
      </c>
      <c r="L43" s="114">
        <v>988355728</v>
      </c>
      <c r="M43" s="114">
        <v>212228699</v>
      </c>
      <c r="N43" s="114">
        <v>3443</v>
      </c>
      <c r="O43" s="114">
        <v>881</v>
      </c>
      <c r="P43" s="114">
        <v>7118048</v>
      </c>
      <c r="Q43" s="114">
        <v>1832450</v>
      </c>
      <c r="R43" s="114">
        <v>4278099</v>
      </c>
      <c r="S43" s="114">
        <v>6082982</v>
      </c>
      <c r="T43" s="114">
        <v>1873080</v>
      </c>
      <c r="U43" s="114">
        <v>1439299</v>
      </c>
      <c r="V43" s="114">
        <v>7118048</v>
      </c>
      <c r="W43" s="114">
        <v>2053600</v>
      </c>
      <c r="X43" s="114">
        <v>4278099</v>
      </c>
      <c r="Y43" s="114">
        <v>6082982</v>
      </c>
      <c r="Z43" s="114">
        <v>2447500</v>
      </c>
      <c r="AA43" s="114">
        <v>1439299</v>
      </c>
      <c r="AB43" s="114">
        <v>-2880011</v>
      </c>
      <c r="AC43" s="114">
        <v>-237033</v>
      </c>
      <c r="AD43" s="114">
        <v>55914</v>
      </c>
      <c r="AE43" s="114">
        <v>92627</v>
      </c>
      <c r="AF43" s="114">
        <v>518185713</v>
      </c>
      <c r="AG43" s="114">
        <v>313246</v>
      </c>
      <c r="AH43" s="114">
        <v>0</v>
      </c>
      <c r="AI43" s="114">
        <v>280508.19672131148</v>
      </c>
      <c r="AJ43" s="121">
        <v>0</v>
      </c>
      <c r="AK43" s="82">
        <v>256937279</v>
      </c>
      <c r="AL43" s="83">
        <v>6420715</v>
      </c>
      <c r="AM43" s="114">
        <v>0</v>
      </c>
      <c r="AN43" s="114">
        <v>71556901</v>
      </c>
      <c r="AO43" s="114">
        <v>3427605</v>
      </c>
      <c r="AP43" s="114">
        <v>26065297</v>
      </c>
      <c r="AQ43" s="114">
        <v>92876097</v>
      </c>
      <c r="AR43" s="114">
        <v>64536544</v>
      </c>
      <c r="AS43" s="114">
        <v>1077</v>
      </c>
      <c r="AT43" s="114">
        <f>24481642+8366</f>
        <v>24490008</v>
      </c>
      <c r="AU43" s="114">
        <v>0</v>
      </c>
      <c r="AV43" s="114">
        <v>0</v>
      </c>
      <c r="AW43" s="114">
        <v>27985910</v>
      </c>
      <c r="AX43" s="114">
        <v>41489</v>
      </c>
      <c r="AY43" s="114">
        <v>0</v>
      </c>
      <c r="BD43" s="82">
        <v>13551542.960000001</v>
      </c>
      <c r="BE43" s="82">
        <v>6775771</v>
      </c>
      <c r="BF43" s="117">
        <v>0</v>
      </c>
      <c r="BG43" s="118">
        <v>2806583</v>
      </c>
      <c r="BH43" s="118">
        <v>5397275</v>
      </c>
      <c r="BI43" s="117">
        <v>75189192</v>
      </c>
      <c r="BJ43" s="117">
        <v>73019792</v>
      </c>
      <c r="BK43" s="117">
        <v>121561092.75</v>
      </c>
      <c r="BL43" s="117">
        <v>100381510.75</v>
      </c>
      <c r="BM43" s="117">
        <v>0</v>
      </c>
      <c r="BN43" s="117">
        <v>9500199</v>
      </c>
      <c r="BO43" s="119"/>
      <c r="BP43" s="86">
        <f t="shared" si="4"/>
        <v>2099234951.9467213</v>
      </c>
      <c r="BQ43" s="86">
        <f t="shared" si="5"/>
        <v>1643393102.1967213</v>
      </c>
      <c r="BR43" s="87">
        <v>4402844</v>
      </c>
      <c r="BT43" s="86">
        <f t="shared" si="7"/>
        <v>1475251991</v>
      </c>
      <c r="BU43" s="82">
        <f t="shared" si="8"/>
        <v>256937279</v>
      </c>
      <c r="BV43" s="82">
        <f t="shared" si="9"/>
        <v>6420715</v>
      </c>
      <c r="BW43" s="86">
        <f t="shared" si="10"/>
        <v>167861680</v>
      </c>
      <c r="BX43" s="86">
        <f t="shared" si="6"/>
        <v>1906471665</v>
      </c>
    </row>
    <row r="44" spans="1:76" s="98" customFormat="1" x14ac:dyDescent="0.25">
      <c r="A44" s="91" t="s">
        <v>98</v>
      </c>
      <c r="B44" s="56">
        <v>708049554</v>
      </c>
      <c r="C44" s="56">
        <v>210884569</v>
      </c>
      <c r="D44" s="56">
        <v>172805430</v>
      </c>
      <c r="E44" s="56">
        <v>18400000</v>
      </c>
      <c r="F44" s="56">
        <v>65457863</v>
      </c>
      <c r="G44" s="56">
        <v>15180633</v>
      </c>
      <c r="H44" s="56">
        <v>22969900</v>
      </c>
      <c r="I44" s="56">
        <v>3311700</v>
      </c>
      <c r="J44" s="56">
        <v>184400</v>
      </c>
      <c r="K44" s="56">
        <v>0</v>
      </c>
      <c r="L44" s="56">
        <v>317496530</v>
      </c>
      <c r="M44" s="56">
        <v>129198661</v>
      </c>
      <c r="N44" s="56">
        <v>2503</v>
      </c>
      <c r="O44" s="56">
        <v>568</v>
      </c>
      <c r="P44" s="56">
        <v>9878100</v>
      </c>
      <c r="Q44" s="56">
        <v>4722550</v>
      </c>
      <c r="R44" s="56">
        <v>7428400</v>
      </c>
      <c r="S44" s="56">
        <v>7579145</v>
      </c>
      <c r="T44" s="56">
        <v>1948050</v>
      </c>
      <c r="U44" s="56">
        <v>704450</v>
      </c>
      <c r="V44" s="56">
        <v>9878100</v>
      </c>
      <c r="W44" s="56">
        <v>5600750</v>
      </c>
      <c r="X44" s="56">
        <v>7428400</v>
      </c>
      <c r="Y44" s="56">
        <v>7579145</v>
      </c>
      <c r="Z44" s="56">
        <v>3022849</v>
      </c>
      <c r="AA44" s="56">
        <v>704450</v>
      </c>
      <c r="AB44" s="56">
        <v>-4853900</v>
      </c>
      <c r="AC44" s="56">
        <v>-38656</v>
      </c>
      <c r="AD44" s="56">
        <v>127697</v>
      </c>
      <c r="AE44" s="56">
        <v>5526</v>
      </c>
      <c r="AF44" s="56">
        <v>5036288</v>
      </c>
      <c r="AG44" s="56">
        <v>272817</v>
      </c>
      <c r="AH44" s="114">
        <v>0</v>
      </c>
      <c r="AI44" s="56">
        <v>868393.44262295077</v>
      </c>
      <c r="AJ44" s="121">
        <v>0</v>
      </c>
      <c r="AK44" s="83">
        <v>150719271</v>
      </c>
      <c r="AL44" s="83">
        <v>18475576</v>
      </c>
      <c r="AM44" s="56">
        <v>366130</v>
      </c>
      <c r="AN44" s="56">
        <v>34513906</v>
      </c>
      <c r="AO44" s="56">
        <v>4782651</v>
      </c>
      <c r="AP44" s="56">
        <v>69240079</v>
      </c>
      <c r="AQ44" s="56">
        <v>45839936</v>
      </c>
      <c r="AR44" s="56">
        <v>58023294</v>
      </c>
      <c r="AS44" s="56">
        <v>16552754</v>
      </c>
      <c r="AT44" s="56">
        <f>4499633+100</f>
        <v>4499733</v>
      </c>
      <c r="AU44" s="56">
        <v>0</v>
      </c>
      <c r="AV44" s="56">
        <v>0</v>
      </c>
      <c r="AW44" s="56">
        <v>0</v>
      </c>
      <c r="AX44" s="56">
        <v>509128</v>
      </c>
      <c r="AY44" s="56">
        <v>191585</v>
      </c>
      <c r="AZ44" s="56"/>
      <c r="BA44" s="56"/>
      <c r="BB44" s="56"/>
      <c r="BC44" s="56"/>
      <c r="BD44" s="83">
        <v>7949327.8799999999</v>
      </c>
      <c r="BE44" s="83">
        <v>3974664</v>
      </c>
      <c r="BF44" s="117">
        <v>0</v>
      </c>
      <c r="BG44" s="118">
        <v>2565036</v>
      </c>
      <c r="BH44" s="118">
        <v>4932762</v>
      </c>
      <c r="BI44" s="117">
        <v>9953569</v>
      </c>
      <c r="BJ44" s="117">
        <v>5952074</v>
      </c>
      <c r="BK44" s="117">
        <v>54517878.5</v>
      </c>
      <c r="BL44" s="117">
        <v>50790154.5</v>
      </c>
      <c r="BM44" s="117">
        <v>0</v>
      </c>
      <c r="BN44" s="117">
        <v>0</v>
      </c>
      <c r="BO44" s="63"/>
      <c r="BP44" s="86">
        <f t="shared" si="4"/>
        <v>1410221214.9426229</v>
      </c>
      <c r="BQ44" s="86">
        <f t="shared" si="5"/>
        <v>1177744439.4426229</v>
      </c>
      <c r="BR44" s="97">
        <v>1262503</v>
      </c>
      <c r="BT44" s="86">
        <f t="shared" si="7"/>
        <v>1091739553</v>
      </c>
      <c r="BU44" s="82">
        <f t="shared" si="8"/>
        <v>150719271</v>
      </c>
      <c r="BV44" s="82">
        <f t="shared" si="9"/>
        <v>18475576</v>
      </c>
      <c r="BW44" s="86">
        <f t="shared" si="10"/>
        <v>101689247</v>
      </c>
      <c r="BX44" s="86">
        <f t="shared" si="6"/>
        <v>1362623647</v>
      </c>
    </row>
    <row r="45" spans="1:76" x14ac:dyDescent="0.25">
      <c r="A45" s="91" t="s">
        <v>99</v>
      </c>
      <c r="B45" s="114">
        <v>169323495</v>
      </c>
      <c r="C45" s="114">
        <v>122729273</v>
      </c>
      <c r="D45" s="114">
        <v>39532417</v>
      </c>
      <c r="E45" s="114">
        <v>0</v>
      </c>
      <c r="F45" s="114">
        <v>33181825</v>
      </c>
      <c r="G45" s="114">
        <v>6734273</v>
      </c>
      <c r="H45" s="114">
        <v>15330500</v>
      </c>
      <c r="I45" s="114">
        <v>1525000</v>
      </c>
      <c r="J45" s="114">
        <v>37000</v>
      </c>
      <c r="K45" s="114">
        <v>0</v>
      </c>
      <c r="L45" s="114">
        <v>233108334</v>
      </c>
      <c r="M45" s="114">
        <v>70663940</v>
      </c>
      <c r="N45" s="114">
        <v>1357</v>
      </c>
      <c r="O45" s="114">
        <v>253</v>
      </c>
      <c r="P45" s="114">
        <v>2058500</v>
      </c>
      <c r="Q45" s="114">
        <v>2264000</v>
      </c>
      <c r="R45" s="114">
        <v>164316</v>
      </c>
      <c r="S45" s="114">
        <v>911160</v>
      </c>
      <c r="T45" s="114">
        <v>237980</v>
      </c>
      <c r="U45" s="114">
        <v>294200</v>
      </c>
      <c r="V45" s="114">
        <v>2058500</v>
      </c>
      <c r="W45" s="114">
        <v>2277675</v>
      </c>
      <c r="X45" s="114">
        <v>164316</v>
      </c>
      <c r="Y45" s="114">
        <v>911160</v>
      </c>
      <c r="Z45" s="114">
        <v>488900</v>
      </c>
      <c r="AA45" s="114">
        <v>294200</v>
      </c>
      <c r="AB45" s="114">
        <v>-899828</v>
      </c>
      <c r="AC45" s="114">
        <v>-278105</v>
      </c>
      <c r="AD45" s="114">
        <v>39545</v>
      </c>
      <c r="AE45" s="114">
        <v>0</v>
      </c>
      <c r="AF45" s="114">
        <v>0</v>
      </c>
      <c r="AG45" s="114">
        <v>168242</v>
      </c>
      <c r="AH45" s="114">
        <v>168540.98360655739</v>
      </c>
      <c r="AI45" s="114">
        <v>159754.09836065574</v>
      </c>
      <c r="AJ45" s="121">
        <v>0</v>
      </c>
      <c r="AK45" s="82">
        <v>65006268</v>
      </c>
      <c r="AL45" s="83">
        <v>1306306</v>
      </c>
      <c r="AM45" s="114">
        <v>0</v>
      </c>
      <c r="AN45" s="114">
        <v>6165164</v>
      </c>
      <c r="AO45" s="114">
        <v>80880</v>
      </c>
      <c r="AP45" s="114">
        <v>5106823</v>
      </c>
      <c r="AQ45" s="114">
        <v>7064667</v>
      </c>
      <c r="AR45" s="114">
        <v>1978023</v>
      </c>
      <c r="AS45" s="114">
        <v>93700</v>
      </c>
      <c r="AT45" s="114">
        <f>149851</f>
        <v>149851</v>
      </c>
      <c r="AU45" s="114">
        <v>0</v>
      </c>
      <c r="AV45" s="114">
        <v>0</v>
      </c>
      <c r="AW45" s="114">
        <v>0</v>
      </c>
      <c r="AX45" s="114">
        <v>3180</v>
      </c>
      <c r="AY45" s="114">
        <v>0</v>
      </c>
      <c r="BD45" s="82">
        <v>3428600.31</v>
      </c>
      <c r="BE45" s="82">
        <v>1714300</v>
      </c>
      <c r="BF45" s="117">
        <v>0</v>
      </c>
      <c r="BG45" s="118">
        <v>0</v>
      </c>
      <c r="BH45" s="118">
        <v>0</v>
      </c>
      <c r="BI45" s="117">
        <v>24219615</v>
      </c>
      <c r="BJ45" s="117">
        <v>24219615</v>
      </c>
      <c r="BK45" s="117">
        <v>34913683.75</v>
      </c>
      <c r="BL45" s="117">
        <v>34480134.75</v>
      </c>
      <c r="BM45" s="117">
        <v>0</v>
      </c>
      <c r="BN45" s="117">
        <v>0</v>
      </c>
      <c r="BO45" s="119"/>
      <c r="BP45" s="86">
        <f t="shared" si="4"/>
        <v>471950814.83196723</v>
      </c>
      <c r="BQ45" s="86">
        <f t="shared" si="5"/>
        <v>345224191.08196723</v>
      </c>
      <c r="BR45" s="87">
        <v>432762</v>
      </c>
      <c r="BT45" s="86">
        <f t="shared" si="7"/>
        <v>331585185</v>
      </c>
      <c r="BU45" s="82">
        <f t="shared" si="8"/>
        <v>65006268</v>
      </c>
      <c r="BV45" s="82">
        <f t="shared" si="9"/>
        <v>1306306</v>
      </c>
      <c r="BW45" s="86">
        <f t="shared" si="10"/>
        <v>13404411</v>
      </c>
      <c r="BX45" s="86">
        <f t="shared" si="6"/>
        <v>411302170</v>
      </c>
    </row>
    <row r="46" spans="1:76" x14ac:dyDescent="0.25">
      <c r="A46" s="91" t="s">
        <v>100</v>
      </c>
      <c r="B46" s="114">
        <v>909163602</v>
      </c>
      <c r="C46" s="114">
        <v>129116684</v>
      </c>
      <c r="D46" s="114">
        <v>273991357</v>
      </c>
      <c r="E46" s="114">
        <v>0</v>
      </c>
      <c r="F46" s="114">
        <v>129296480</v>
      </c>
      <c r="G46" s="114">
        <v>37541672</v>
      </c>
      <c r="H46" s="114">
        <v>18179858</v>
      </c>
      <c r="I46" s="114">
        <v>5526113</v>
      </c>
      <c r="J46" s="114">
        <v>147800</v>
      </c>
      <c r="K46" s="114">
        <v>0</v>
      </c>
      <c r="L46" s="114">
        <v>120115687</v>
      </c>
      <c r="M46" s="114">
        <v>111985477</v>
      </c>
      <c r="N46" s="114">
        <v>4250</v>
      </c>
      <c r="O46" s="114">
        <v>1391</v>
      </c>
      <c r="P46" s="114">
        <v>4662655</v>
      </c>
      <c r="Q46" s="114">
        <v>1263620</v>
      </c>
      <c r="R46" s="114">
        <v>422000</v>
      </c>
      <c r="S46" s="114">
        <v>3080100</v>
      </c>
      <c r="T46" s="114">
        <v>286474</v>
      </c>
      <c r="U46" s="114">
        <v>565585</v>
      </c>
      <c r="V46" s="114">
        <v>4662655</v>
      </c>
      <c r="W46" s="114">
        <v>1290120</v>
      </c>
      <c r="X46" s="114">
        <v>422000</v>
      </c>
      <c r="Y46" s="114">
        <v>3080100</v>
      </c>
      <c r="Z46" s="114">
        <v>407142</v>
      </c>
      <c r="AA46" s="114">
        <v>565585</v>
      </c>
      <c r="AB46" s="114">
        <v>-5119183</v>
      </c>
      <c r="AC46" s="114">
        <v>0</v>
      </c>
      <c r="AD46" s="114">
        <v>146273</v>
      </c>
      <c r="AE46" s="114">
        <v>0</v>
      </c>
      <c r="AF46" s="114">
        <v>0</v>
      </c>
      <c r="AG46" s="114">
        <v>186355</v>
      </c>
      <c r="AH46" s="114">
        <v>11445549.18032787</v>
      </c>
      <c r="AI46" s="114">
        <v>691704.91803278693</v>
      </c>
      <c r="AJ46" s="121">
        <v>0</v>
      </c>
      <c r="AK46" s="82">
        <v>244633462</v>
      </c>
      <c r="AL46" s="83">
        <v>6213829</v>
      </c>
      <c r="AM46" s="114">
        <v>25000</v>
      </c>
      <c r="AN46" s="114">
        <v>42058645</v>
      </c>
      <c r="AO46" s="114">
        <v>1458111</v>
      </c>
      <c r="AP46" s="114">
        <v>119221480</v>
      </c>
      <c r="AQ46" s="114">
        <v>44405162</v>
      </c>
      <c r="AR46" s="114">
        <v>53053028</v>
      </c>
      <c r="AS46" s="114">
        <v>26615705</v>
      </c>
      <c r="AT46" s="114">
        <v>745775</v>
      </c>
      <c r="AU46" s="114">
        <v>0</v>
      </c>
      <c r="AV46" s="114">
        <v>0</v>
      </c>
      <c r="AW46" s="114">
        <v>0</v>
      </c>
      <c r="AX46" s="114">
        <v>20549</v>
      </c>
      <c r="AY46" s="114">
        <v>591500</v>
      </c>
      <c r="BD46" s="82">
        <v>12902607.52</v>
      </c>
      <c r="BE46" s="82">
        <v>6451304</v>
      </c>
      <c r="BF46" s="117">
        <v>31896373</v>
      </c>
      <c r="BG46" s="118">
        <v>35162681</v>
      </c>
      <c r="BH46" s="118">
        <v>67620541</v>
      </c>
      <c r="BI46" s="117">
        <v>74023488</v>
      </c>
      <c r="BJ46" s="117">
        <v>74023488</v>
      </c>
      <c r="BK46" s="117">
        <v>159452602.75</v>
      </c>
      <c r="BL46" s="117">
        <v>130629740.75</v>
      </c>
      <c r="BM46" s="117">
        <v>0</v>
      </c>
      <c r="BN46" s="117">
        <v>0</v>
      </c>
      <c r="BO46" s="119"/>
      <c r="BP46" s="86">
        <f t="shared" si="4"/>
        <v>1909445319.8483608</v>
      </c>
      <c r="BQ46" s="86">
        <f t="shared" si="5"/>
        <v>1412330815.0983608</v>
      </c>
      <c r="BR46" s="87">
        <v>2047052</v>
      </c>
      <c r="BT46" s="86">
        <f t="shared" si="7"/>
        <v>1312271643</v>
      </c>
      <c r="BU46" s="82">
        <f t="shared" si="8"/>
        <v>244633462</v>
      </c>
      <c r="BV46" s="82">
        <f t="shared" si="9"/>
        <v>6213829</v>
      </c>
      <c r="BW46" s="86">
        <f t="shared" si="10"/>
        <v>114537623</v>
      </c>
      <c r="BX46" s="86">
        <f t="shared" si="6"/>
        <v>1677656557</v>
      </c>
    </row>
    <row r="47" spans="1:76" x14ac:dyDescent="0.25">
      <c r="A47" s="91" t="s">
        <v>101</v>
      </c>
      <c r="B47" s="114">
        <v>166309969</v>
      </c>
      <c r="C47" s="114">
        <v>84557708</v>
      </c>
      <c r="D47" s="114">
        <v>166078762</v>
      </c>
      <c r="E47" s="114">
        <v>420000000</v>
      </c>
      <c r="F47" s="114">
        <v>22750900</v>
      </c>
      <c r="G47" s="114">
        <v>3833400</v>
      </c>
      <c r="H47" s="114">
        <v>9930400</v>
      </c>
      <c r="I47" s="114">
        <v>1007800</v>
      </c>
      <c r="J47" s="114">
        <v>0</v>
      </c>
      <c r="K47" s="114">
        <v>0</v>
      </c>
      <c r="L47" s="114">
        <v>196570602</v>
      </c>
      <c r="M47" s="114">
        <v>64666814</v>
      </c>
      <c r="N47" s="114">
        <v>923</v>
      </c>
      <c r="O47" s="114">
        <v>151</v>
      </c>
      <c r="P47" s="114">
        <v>3955480</v>
      </c>
      <c r="Q47" s="114">
        <v>2743560</v>
      </c>
      <c r="R47" s="114">
        <v>4698546</v>
      </c>
      <c r="S47" s="114">
        <v>1553560</v>
      </c>
      <c r="T47" s="114">
        <v>600500</v>
      </c>
      <c r="U47" s="114">
        <v>129500</v>
      </c>
      <c r="V47" s="114">
        <v>3955480</v>
      </c>
      <c r="W47" s="114">
        <v>2949909</v>
      </c>
      <c r="X47" s="114">
        <v>4698546</v>
      </c>
      <c r="Y47" s="114">
        <v>1628160</v>
      </c>
      <c r="Z47" s="114">
        <v>883200</v>
      </c>
      <c r="AA47" s="114">
        <v>129500</v>
      </c>
      <c r="AB47" s="114">
        <v>-600700</v>
      </c>
      <c r="AC47" s="114">
        <v>0</v>
      </c>
      <c r="AD47" s="114">
        <v>89004</v>
      </c>
      <c r="AE47" s="114">
        <v>0</v>
      </c>
      <c r="AF47" s="114">
        <v>0</v>
      </c>
      <c r="AG47" s="114">
        <v>106792</v>
      </c>
      <c r="AH47" s="114">
        <v>325622.95081967214</v>
      </c>
      <c r="AI47" s="114">
        <v>131573.7704918033</v>
      </c>
      <c r="AJ47" s="121">
        <v>0</v>
      </c>
      <c r="AK47" s="82">
        <v>63905879</v>
      </c>
      <c r="AL47" s="83">
        <v>1649499</v>
      </c>
      <c r="AM47" s="114">
        <v>0</v>
      </c>
      <c r="AN47" s="114">
        <v>82049627</v>
      </c>
      <c r="AO47" s="114">
        <v>50404702</v>
      </c>
      <c r="AP47" s="114">
        <v>876676894</v>
      </c>
      <c r="AQ47" s="114">
        <v>16883258</v>
      </c>
      <c r="AR47" s="114">
        <v>135135015</v>
      </c>
      <c r="AS47" s="114">
        <v>44503393</v>
      </c>
      <c r="AT47" s="114">
        <f>2155143+70469637</f>
        <v>72624780</v>
      </c>
      <c r="AU47" s="114">
        <v>0</v>
      </c>
      <c r="AV47" s="114">
        <v>0</v>
      </c>
      <c r="AW47" s="114">
        <v>0</v>
      </c>
      <c r="AX47" s="114">
        <v>1526</v>
      </c>
      <c r="AY47" s="114">
        <v>200500</v>
      </c>
      <c r="BD47" s="82">
        <v>3370562.92</v>
      </c>
      <c r="BE47" s="82">
        <v>1685281</v>
      </c>
      <c r="BF47" s="117">
        <v>29435233</v>
      </c>
      <c r="BG47" s="118">
        <v>1906951</v>
      </c>
      <c r="BH47" s="118">
        <v>3667214</v>
      </c>
      <c r="BI47" s="117">
        <v>124605410</v>
      </c>
      <c r="BJ47" s="117">
        <v>124605410</v>
      </c>
      <c r="BK47" s="117">
        <v>59396523.5</v>
      </c>
      <c r="BL47" s="117">
        <v>57155681.5</v>
      </c>
      <c r="BM47" s="117">
        <v>0</v>
      </c>
      <c r="BN47" s="117">
        <v>0</v>
      </c>
      <c r="BO47" s="119"/>
      <c r="BP47" s="86">
        <f t="shared" si="4"/>
        <v>817649924.22131145</v>
      </c>
      <c r="BQ47" s="86">
        <f t="shared" si="5"/>
        <v>566741222.72131145</v>
      </c>
      <c r="BR47" s="87">
        <v>575946</v>
      </c>
      <c r="BT47" s="86">
        <f t="shared" si="7"/>
        <v>416946439</v>
      </c>
      <c r="BU47" s="82">
        <f t="shared" si="8"/>
        <v>63905879</v>
      </c>
      <c r="BV47" s="82">
        <f t="shared" si="9"/>
        <v>1649499</v>
      </c>
      <c r="BW47" s="86">
        <f t="shared" si="10"/>
        <v>193840980</v>
      </c>
      <c r="BX47" s="86">
        <f t="shared" si="6"/>
        <v>676342797</v>
      </c>
    </row>
    <row r="48" spans="1:76" x14ac:dyDescent="0.25">
      <c r="A48" s="91" t="s">
        <v>102</v>
      </c>
      <c r="B48" s="114">
        <v>3977198650</v>
      </c>
      <c r="C48" s="114">
        <v>386075600</v>
      </c>
      <c r="D48" s="114">
        <v>1544241430</v>
      </c>
      <c r="E48" s="114">
        <v>19116700</v>
      </c>
      <c r="F48" s="114">
        <v>248187600</v>
      </c>
      <c r="G48" s="114">
        <v>35573400</v>
      </c>
      <c r="H48" s="114">
        <v>30009700</v>
      </c>
      <c r="I48" s="114">
        <v>2618900</v>
      </c>
      <c r="J48" s="114">
        <v>526400</v>
      </c>
      <c r="K48" s="114">
        <v>0</v>
      </c>
      <c r="L48" s="114">
        <v>665052680</v>
      </c>
      <c r="M48" s="114">
        <v>1083756880</v>
      </c>
      <c r="N48" s="114">
        <v>7561</v>
      </c>
      <c r="O48" s="114">
        <v>1081</v>
      </c>
      <c r="P48" s="114">
        <v>44248600</v>
      </c>
      <c r="Q48" s="114">
        <v>7613600</v>
      </c>
      <c r="R48" s="114">
        <v>28632400</v>
      </c>
      <c r="S48" s="114">
        <v>15782300</v>
      </c>
      <c r="T48" s="114">
        <v>3310300</v>
      </c>
      <c r="U48" s="114">
        <v>19197700</v>
      </c>
      <c r="V48" s="114">
        <v>44248600</v>
      </c>
      <c r="W48" s="114">
        <v>7613600</v>
      </c>
      <c r="X48" s="114">
        <v>28632400</v>
      </c>
      <c r="Y48" s="114">
        <v>15782300</v>
      </c>
      <c r="Z48" s="114">
        <v>3310300</v>
      </c>
      <c r="AA48" s="114">
        <v>19197700</v>
      </c>
      <c r="AB48" s="114">
        <v>-7479500</v>
      </c>
      <c r="AC48" s="114">
        <v>-63882</v>
      </c>
      <c r="AD48" s="114">
        <v>88585</v>
      </c>
      <c r="AE48" s="114">
        <v>0</v>
      </c>
      <c r="AF48" s="114">
        <v>0</v>
      </c>
      <c r="AG48" s="114">
        <v>264005</v>
      </c>
      <c r="AH48" s="114">
        <v>0</v>
      </c>
      <c r="AI48" s="114">
        <v>1456803.2786885246</v>
      </c>
      <c r="AJ48" s="121">
        <v>0</v>
      </c>
      <c r="AK48" s="82">
        <v>706180189</v>
      </c>
      <c r="AL48" s="83">
        <v>15361463</v>
      </c>
      <c r="AM48" s="114">
        <v>50000</v>
      </c>
      <c r="AN48" s="114">
        <v>184497897</v>
      </c>
      <c r="AO48" s="114">
        <v>37547451</v>
      </c>
      <c r="AP48" s="114">
        <v>708539178</v>
      </c>
      <c r="AQ48" s="114">
        <v>207789667</v>
      </c>
      <c r="AR48" s="114">
        <v>217474174</v>
      </c>
      <c r="AS48" s="114">
        <v>73965867</v>
      </c>
      <c r="AT48" s="114">
        <v>1707788</v>
      </c>
      <c r="AU48" s="114">
        <v>0</v>
      </c>
      <c r="AV48" s="114">
        <v>18043</v>
      </c>
      <c r="AW48" s="114">
        <v>4253011</v>
      </c>
      <c r="AX48" s="114">
        <v>1011480</v>
      </c>
      <c r="AY48" s="114">
        <v>1157515</v>
      </c>
      <c r="BD48" s="82">
        <v>37245787</v>
      </c>
      <c r="BE48" s="82">
        <v>18622894</v>
      </c>
      <c r="BF48" s="117">
        <v>2756477</v>
      </c>
      <c r="BG48" s="118">
        <v>6352764</v>
      </c>
      <c r="BH48" s="118">
        <v>12216854</v>
      </c>
      <c r="BI48" s="117">
        <v>73292232</v>
      </c>
      <c r="BJ48" s="117">
        <v>64143522</v>
      </c>
      <c r="BK48" s="117">
        <v>219411637.75</v>
      </c>
      <c r="BL48" s="117">
        <v>208085893.75</v>
      </c>
      <c r="BM48" s="117">
        <v>332</v>
      </c>
      <c r="BN48" s="117">
        <v>0</v>
      </c>
      <c r="BO48" s="119"/>
      <c r="BP48" s="86">
        <f t="shared" si="4"/>
        <v>7357554556.0286884</v>
      </c>
      <c r="BQ48" s="86">
        <f t="shared" si="5"/>
        <v>6338807498.2786884</v>
      </c>
      <c r="BR48" s="87">
        <v>12700800</v>
      </c>
      <c r="BT48" s="86">
        <f t="shared" si="7"/>
        <v>5907515680</v>
      </c>
      <c r="BU48" s="82">
        <f t="shared" si="8"/>
        <v>706180189</v>
      </c>
      <c r="BV48" s="82">
        <f t="shared" si="9"/>
        <v>15361463</v>
      </c>
      <c r="BW48" s="86">
        <f t="shared" si="10"/>
        <v>503800882</v>
      </c>
      <c r="BX48" s="86">
        <f t="shared" si="6"/>
        <v>7132858214</v>
      </c>
    </row>
    <row r="49" spans="1:76" x14ac:dyDescent="0.25">
      <c r="A49" s="91" t="s">
        <v>103</v>
      </c>
      <c r="B49" s="114">
        <v>392617302</v>
      </c>
      <c r="C49" s="114">
        <v>44179161</v>
      </c>
      <c r="D49" s="114">
        <v>145041487</v>
      </c>
      <c r="E49" s="114">
        <v>0</v>
      </c>
      <c r="F49" s="114">
        <v>62726334</v>
      </c>
      <c r="G49" s="114">
        <v>71211720</v>
      </c>
      <c r="H49" s="114">
        <v>2267330</v>
      </c>
      <c r="I49" s="114">
        <v>1343450</v>
      </c>
      <c r="J49" s="114">
        <v>231600</v>
      </c>
      <c r="K49" s="114">
        <v>206850</v>
      </c>
      <c r="L49" s="114">
        <v>102379131</v>
      </c>
      <c r="M49" s="114">
        <v>17114138</v>
      </c>
      <c r="N49" s="114">
        <v>2036</v>
      </c>
      <c r="O49" s="114">
        <v>2440</v>
      </c>
      <c r="P49" s="114">
        <v>3622045</v>
      </c>
      <c r="Q49" s="114">
        <v>0</v>
      </c>
      <c r="R49" s="114">
        <v>694450</v>
      </c>
      <c r="S49" s="114">
        <v>5889762</v>
      </c>
      <c r="T49" s="114">
        <v>138250</v>
      </c>
      <c r="U49" s="114">
        <v>528500</v>
      </c>
      <c r="V49" s="114">
        <v>3622045</v>
      </c>
      <c r="W49" s="114">
        <v>0</v>
      </c>
      <c r="X49" s="114">
        <v>694450</v>
      </c>
      <c r="Y49" s="114">
        <v>5889762</v>
      </c>
      <c r="Z49" s="114">
        <v>142800</v>
      </c>
      <c r="AA49" s="114">
        <v>528500</v>
      </c>
      <c r="AB49" s="114">
        <v>-4727146</v>
      </c>
      <c r="AC49" s="114">
        <v>-4472</v>
      </c>
      <c r="AD49" s="114">
        <v>241179</v>
      </c>
      <c r="AE49" s="114">
        <v>3192015</v>
      </c>
      <c r="AF49" s="114">
        <v>0</v>
      </c>
      <c r="AG49" s="114">
        <v>231087</v>
      </c>
      <c r="AH49" s="114">
        <v>9627196.7213114761</v>
      </c>
      <c r="AI49" s="114">
        <v>24092065.573770493</v>
      </c>
      <c r="AJ49" s="121">
        <v>44309156.560000002</v>
      </c>
      <c r="AK49" s="82">
        <v>153674491</v>
      </c>
      <c r="AL49" s="83">
        <v>2004409</v>
      </c>
      <c r="AM49" s="114">
        <v>0</v>
      </c>
      <c r="AN49" s="114">
        <v>94971102</v>
      </c>
      <c r="AO49" s="114">
        <v>2524688</v>
      </c>
      <c r="AP49" s="114">
        <v>10685598</v>
      </c>
      <c r="AQ49" s="114">
        <v>24411447</v>
      </c>
      <c r="AR49" s="114">
        <v>8724837</v>
      </c>
      <c r="AS49" s="114">
        <v>255</v>
      </c>
      <c r="AT49" s="114">
        <f>92148+3450</f>
        <v>95598</v>
      </c>
      <c r="AU49" s="114">
        <v>0</v>
      </c>
      <c r="AV49" s="114">
        <v>0</v>
      </c>
      <c r="AW49" s="114">
        <v>0</v>
      </c>
      <c r="AX49" s="114">
        <v>0</v>
      </c>
      <c r="AY49" s="114">
        <v>0</v>
      </c>
      <c r="BD49" s="82">
        <v>8105193.9000000004</v>
      </c>
      <c r="BE49" s="82">
        <v>4052597</v>
      </c>
      <c r="BF49" s="117">
        <v>0</v>
      </c>
      <c r="BG49" s="118">
        <v>9780041</v>
      </c>
      <c r="BH49" s="118">
        <v>18807772</v>
      </c>
      <c r="BI49" s="117">
        <v>22923666</v>
      </c>
      <c r="BJ49" s="117">
        <v>22923666</v>
      </c>
      <c r="BK49" s="117">
        <v>79758300</v>
      </c>
      <c r="BL49" s="117">
        <v>69130098</v>
      </c>
      <c r="BM49" s="117">
        <v>0</v>
      </c>
      <c r="BN49" s="117">
        <v>0</v>
      </c>
      <c r="BO49" s="119"/>
      <c r="BP49" s="86">
        <f t="shared" si="4"/>
        <v>1043338907.855082</v>
      </c>
      <c r="BQ49" s="86">
        <f t="shared" si="5"/>
        <v>781773605.85508204</v>
      </c>
      <c r="BR49" s="87">
        <v>935021</v>
      </c>
      <c r="BT49" s="86">
        <f t="shared" si="7"/>
        <v>581837950</v>
      </c>
      <c r="BU49" s="82">
        <f t="shared" si="8"/>
        <v>153674491</v>
      </c>
      <c r="BV49" s="82">
        <f t="shared" si="9"/>
        <v>2004409</v>
      </c>
      <c r="BW49" s="86">
        <f t="shared" si="10"/>
        <v>121907492</v>
      </c>
      <c r="BX49" s="86">
        <f t="shared" si="6"/>
        <v>859424342</v>
      </c>
    </row>
    <row r="50" spans="1:76" x14ac:dyDescent="0.25">
      <c r="A50" s="91" t="s">
        <v>104</v>
      </c>
      <c r="B50" s="114">
        <v>477642948</v>
      </c>
      <c r="C50" s="114">
        <v>219991929</v>
      </c>
      <c r="D50" s="114">
        <v>121777463</v>
      </c>
      <c r="E50" s="114">
        <v>0</v>
      </c>
      <c r="F50" s="114">
        <v>43163948</v>
      </c>
      <c r="G50" s="114">
        <v>4969282</v>
      </c>
      <c r="H50" s="114">
        <v>15334327</v>
      </c>
      <c r="I50" s="114">
        <v>1455607</v>
      </c>
      <c r="J50" s="114">
        <v>37600</v>
      </c>
      <c r="K50" s="114">
        <v>18000</v>
      </c>
      <c r="L50" s="114">
        <v>305050387</v>
      </c>
      <c r="M50" s="114">
        <v>151722881</v>
      </c>
      <c r="N50" s="114">
        <v>1580</v>
      </c>
      <c r="O50" s="114">
        <v>176</v>
      </c>
      <c r="P50" s="114">
        <v>19796375</v>
      </c>
      <c r="Q50" s="114">
        <v>3338374</v>
      </c>
      <c r="R50" s="114">
        <v>2359820</v>
      </c>
      <c r="S50" s="114">
        <v>1731373</v>
      </c>
      <c r="T50" s="114">
        <v>13755777</v>
      </c>
      <c r="U50" s="114">
        <v>269500</v>
      </c>
      <c r="V50" s="114">
        <v>19796375</v>
      </c>
      <c r="W50" s="114">
        <v>3677895</v>
      </c>
      <c r="X50" s="114">
        <v>2359820</v>
      </c>
      <c r="Y50" s="114">
        <v>1731373</v>
      </c>
      <c r="Z50" s="114">
        <v>16955952</v>
      </c>
      <c r="AA50" s="114">
        <v>269500</v>
      </c>
      <c r="AB50" s="114">
        <v>-1705811</v>
      </c>
      <c r="AC50" s="114">
        <v>-337880</v>
      </c>
      <c r="AD50" s="114">
        <v>0</v>
      </c>
      <c r="AE50" s="114">
        <v>0</v>
      </c>
      <c r="AF50" s="114">
        <v>1840</v>
      </c>
      <c r="AG50" s="114">
        <v>195147</v>
      </c>
      <c r="AH50" s="114">
        <v>0</v>
      </c>
      <c r="AI50" s="114">
        <v>0</v>
      </c>
      <c r="AJ50" s="121">
        <v>0</v>
      </c>
      <c r="AK50" s="82">
        <v>133138510</v>
      </c>
      <c r="AL50" s="83">
        <v>2825635</v>
      </c>
      <c r="AM50" s="114">
        <v>0</v>
      </c>
      <c r="AN50" s="114">
        <v>24746931</v>
      </c>
      <c r="AO50" s="114">
        <v>4250180</v>
      </c>
      <c r="AP50" s="114">
        <v>85161508</v>
      </c>
      <c r="AQ50" s="114">
        <f>30627389-8110961</f>
        <v>22516428</v>
      </c>
      <c r="AR50" s="114">
        <f>18929660+8110961</f>
        <v>27040621</v>
      </c>
      <c r="AS50" s="114">
        <v>0</v>
      </c>
      <c r="AT50" s="114">
        <v>1898123</v>
      </c>
      <c r="AU50" s="114">
        <v>0</v>
      </c>
      <c r="AV50" s="114">
        <v>19059</v>
      </c>
      <c r="AW50" s="114">
        <v>20640156</v>
      </c>
      <c r="AX50" s="114">
        <v>10103</v>
      </c>
      <c r="AY50" s="114">
        <v>688715</v>
      </c>
      <c r="BD50" s="82">
        <v>7022072.6399999997</v>
      </c>
      <c r="BE50" s="82">
        <v>3511036</v>
      </c>
      <c r="BF50" s="117">
        <v>0</v>
      </c>
      <c r="BG50" s="118">
        <v>2538114</v>
      </c>
      <c r="BH50" s="118">
        <v>4880989</v>
      </c>
      <c r="BI50" s="117">
        <v>18197210</v>
      </c>
      <c r="BJ50" s="117">
        <v>18197210</v>
      </c>
      <c r="BK50" s="117">
        <v>51736053.5</v>
      </c>
      <c r="BL50" s="117">
        <v>46758514.5</v>
      </c>
      <c r="BM50" s="117">
        <v>0</v>
      </c>
      <c r="BN50" s="117">
        <v>0</v>
      </c>
      <c r="BO50" s="119"/>
      <c r="BP50" s="86">
        <f t="shared" si="4"/>
        <v>1077894898.5</v>
      </c>
      <c r="BQ50" s="86">
        <f t="shared" si="5"/>
        <v>870925879</v>
      </c>
      <c r="BR50" s="87">
        <v>1208954</v>
      </c>
      <c r="BT50" s="86">
        <f t="shared" si="7"/>
        <v>819412340</v>
      </c>
      <c r="BU50" s="82">
        <f t="shared" si="8"/>
        <v>133138510</v>
      </c>
      <c r="BV50" s="82">
        <f t="shared" si="9"/>
        <v>2825635</v>
      </c>
      <c r="BW50" s="86">
        <f t="shared" si="10"/>
        <v>51513539</v>
      </c>
      <c r="BX50" s="86">
        <f t="shared" si="6"/>
        <v>1006890024</v>
      </c>
    </row>
    <row r="51" spans="1:76" x14ac:dyDescent="0.25">
      <c r="A51" s="91" t="s">
        <v>105</v>
      </c>
      <c r="B51" s="114">
        <v>297910683</v>
      </c>
      <c r="C51" s="114">
        <v>242337690</v>
      </c>
      <c r="D51" s="114">
        <v>168008544</v>
      </c>
      <c r="E51" s="114">
        <v>17684801</v>
      </c>
      <c r="F51" s="114">
        <v>42102030</v>
      </c>
      <c r="G51" s="114">
        <v>11891100</v>
      </c>
      <c r="H51" s="114">
        <v>20119300</v>
      </c>
      <c r="I51" s="114">
        <v>3546000</v>
      </c>
      <c r="J51" s="114">
        <v>92000</v>
      </c>
      <c r="K51" s="114">
        <v>37600</v>
      </c>
      <c r="L51" s="114">
        <v>341079590</v>
      </c>
      <c r="M51" s="114">
        <v>153273912</v>
      </c>
      <c r="N51" s="114">
        <v>1755</v>
      </c>
      <c r="O51" s="114">
        <v>490</v>
      </c>
      <c r="P51" s="114">
        <v>5028420</v>
      </c>
      <c r="Q51" s="114">
        <v>5241610</v>
      </c>
      <c r="R51" s="114">
        <v>382500</v>
      </c>
      <c r="S51" s="114">
        <v>832000</v>
      </c>
      <c r="T51" s="114">
        <v>1394000</v>
      </c>
      <c r="U51" s="114">
        <v>211150</v>
      </c>
      <c r="V51" s="114">
        <v>5028420</v>
      </c>
      <c r="W51" s="114">
        <v>5300200</v>
      </c>
      <c r="X51" s="114">
        <v>382500</v>
      </c>
      <c r="Y51" s="114">
        <v>832000</v>
      </c>
      <c r="Z51" s="114">
        <v>1901100</v>
      </c>
      <c r="AA51" s="114">
        <v>211150</v>
      </c>
      <c r="AB51" s="114">
        <v>-2805230</v>
      </c>
      <c r="AC51" s="114">
        <v>-245673</v>
      </c>
      <c r="AD51" s="114">
        <v>103304</v>
      </c>
      <c r="AE51" s="114">
        <v>0</v>
      </c>
      <c r="AF51" s="114">
        <v>0</v>
      </c>
      <c r="AG51" s="114">
        <v>235450</v>
      </c>
      <c r="AH51" s="114">
        <v>783360.65573770495</v>
      </c>
      <c r="AI51" s="114">
        <v>348434.42622950819</v>
      </c>
      <c r="AJ51" s="121">
        <v>0</v>
      </c>
      <c r="AK51" s="82">
        <v>97815401</v>
      </c>
      <c r="AL51" s="83">
        <v>3979378</v>
      </c>
      <c r="AM51" s="114">
        <v>0</v>
      </c>
      <c r="AN51" s="114">
        <v>17742923</v>
      </c>
      <c r="AO51" s="114">
        <v>3463087</v>
      </c>
      <c r="AP51" s="114">
        <v>167842891</v>
      </c>
      <c r="AQ51" s="114">
        <v>47932893</v>
      </c>
      <c r="AR51" s="114">
        <v>43751327</v>
      </c>
      <c r="AS51" s="114">
        <v>0</v>
      </c>
      <c r="AT51" s="114">
        <v>133797</v>
      </c>
      <c r="AU51" s="114">
        <v>0</v>
      </c>
      <c r="AV51" s="114">
        <v>26560</v>
      </c>
      <c r="AW51" s="114">
        <v>4748190</v>
      </c>
      <c r="AX51" s="114">
        <v>62319</v>
      </c>
      <c r="AY51" s="114">
        <v>0</v>
      </c>
      <c r="BD51" s="82">
        <v>5159039.6399999997</v>
      </c>
      <c r="BE51" s="82">
        <v>2579520</v>
      </c>
      <c r="BF51" s="117">
        <v>0</v>
      </c>
      <c r="BG51" s="118">
        <v>1666900</v>
      </c>
      <c r="BH51" s="118">
        <v>3205576</v>
      </c>
      <c r="BI51" s="117">
        <v>16587111</v>
      </c>
      <c r="BJ51" s="117">
        <v>16587111</v>
      </c>
      <c r="BK51" s="117">
        <v>62230887.5</v>
      </c>
      <c r="BL51" s="117">
        <v>58586528.5</v>
      </c>
      <c r="BM51" s="117">
        <v>0</v>
      </c>
      <c r="BN51" s="117">
        <v>0</v>
      </c>
      <c r="BO51" s="119"/>
      <c r="BP51" s="86">
        <f t="shared" si="4"/>
        <v>959742453.58196723</v>
      </c>
      <c r="BQ51" s="86">
        <f t="shared" si="5"/>
        <v>778527615.08196723</v>
      </c>
      <c r="BR51" s="87">
        <v>1447367</v>
      </c>
      <c r="BT51" s="86">
        <f t="shared" si="7"/>
        <v>708256917</v>
      </c>
      <c r="BU51" s="82">
        <f t="shared" si="8"/>
        <v>97815401</v>
      </c>
      <c r="BV51" s="82">
        <f t="shared" si="9"/>
        <v>3979378</v>
      </c>
      <c r="BW51" s="86">
        <f t="shared" si="10"/>
        <v>69138903</v>
      </c>
      <c r="BX51" s="86">
        <f t="shared" si="6"/>
        <v>879190599</v>
      </c>
    </row>
    <row r="52" spans="1:76" x14ac:dyDescent="0.25">
      <c r="A52" s="91" t="s">
        <v>106</v>
      </c>
      <c r="B52" s="114">
        <v>1338615170</v>
      </c>
      <c r="C52" s="114">
        <v>282563962</v>
      </c>
      <c r="D52" s="114">
        <v>565216591</v>
      </c>
      <c r="E52" s="114">
        <v>160763060</v>
      </c>
      <c r="F52" s="114">
        <v>135203351</v>
      </c>
      <c r="G52" s="114">
        <v>15054925</v>
      </c>
      <c r="H52" s="114">
        <v>10515829</v>
      </c>
      <c r="I52" s="114">
        <v>564000</v>
      </c>
      <c r="J52" s="114">
        <v>188000</v>
      </c>
      <c r="K52" s="114">
        <v>0</v>
      </c>
      <c r="L52" s="114">
        <v>932219226</v>
      </c>
      <c r="M52" s="114">
        <v>98090950</v>
      </c>
      <c r="N52" s="114">
        <v>4028</v>
      </c>
      <c r="O52" s="114">
        <v>475</v>
      </c>
      <c r="P52" s="114">
        <v>12518690</v>
      </c>
      <c r="Q52" s="114">
        <v>3526500</v>
      </c>
      <c r="R52" s="114">
        <v>13436940</v>
      </c>
      <c r="S52" s="114">
        <v>7038300</v>
      </c>
      <c r="T52" s="114">
        <v>3435700</v>
      </c>
      <c r="U52" s="114">
        <v>3990667</v>
      </c>
      <c r="V52" s="114">
        <v>12518690</v>
      </c>
      <c r="W52" s="114">
        <v>7821656</v>
      </c>
      <c r="X52" s="114">
        <v>13436940</v>
      </c>
      <c r="Y52" s="114">
        <v>7038300</v>
      </c>
      <c r="Z52" s="114">
        <v>8093663</v>
      </c>
      <c r="AA52" s="114">
        <v>3990667</v>
      </c>
      <c r="AB52" s="114">
        <v>-4871700</v>
      </c>
      <c r="AC52" s="114">
        <v>-47100</v>
      </c>
      <c r="AD52" s="114">
        <v>38559</v>
      </c>
      <c r="AE52" s="114">
        <v>5169</v>
      </c>
      <c r="AF52" s="114">
        <v>22103873</v>
      </c>
      <c r="AG52" s="114">
        <v>240344</v>
      </c>
      <c r="AH52" s="114">
        <v>16341737.704918033</v>
      </c>
      <c r="AI52" s="114">
        <v>0</v>
      </c>
      <c r="AJ52" s="121">
        <v>3237632.7868852466</v>
      </c>
      <c r="AK52" s="82">
        <v>328701057</v>
      </c>
      <c r="AL52" s="83">
        <v>13600823</v>
      </c>
      <c r="AM52" s="114">
        <v>474624</v>
      </c>
      <c r="AN52" s="114">
        <v>112299360</v>
      </c>
      <c r="AO52" s="114">
        <v>20170644</v>
      </c>
      <c r="AP52" s="114">
        <v>319367499</v>
      </c>
      <c r="AQ52" s="114">
        <v>118380995</v>
      </c>
      <c r="AR52" s="114">
        <v>169581838</v>
      </c>
      <c r="AS52" s="114">
        <v>176145997</v>
      </c>
      <c r="AT52" s="114">
        <v>5037719</v>
      </c>
      <c r="AU52" s="114">
        <v>0</v>
      </c>
      <c r="AV52" s="114">
        <v>1435897</v>
      </c>
      <c r="AW52" s="114">
        <v>61490320</v>
      </c>
      <c r="AX52" s="114">
        <v>911299</v>
      </c>
      <c r="AY52" s="114">
        <v>1709023</v>
      </c>
      <c r="BD52" s="82">
        <v>17336551.98</v>
      </c>
      <c r="BE52" s="82">
        <v>8668276</v>
      </c>
      <c r="BF52" s="117">
        <v>74129534</v>
      </c>
      <c r="BG52" s="118">
        <v>3217886</v>
      </c>
      <c r="BH52" s="118">
        <v>6188243</v>
      </c>
      <c r="BI52" s="117">
        <v>32741480</v>
      </c>
      <c r="BJ52" s="117">
        <v>32741480</v>
      </c>
      <c r="BK52" s="117">
        <v>124854420.75</v>
      </c>
      <c r="BL52" s="117">
        <v>120812082.75</v>
      </c>
      <c r="BM52" s="117">
        <v>0</v>
      </c>
      <c r="BN52" s="117">
        <v>0</v>
      </c>
      <c r="BO52" s="119"/>
      <c r="BP52" s="86">
        <f t="shared" si="4"/>
        <v>2964567697.2418032</v>
      </c>
      <c r="BQ52" s="86">
        <f t="shared" si="5"/>
        <v>2456826092.4918032</v>
      </c>
      <c r="BR52" s="87">
        <v>4446771</v>
      </c>
      <c r="BT52" s="86">
        <f t="shared" si="7"/>
        <v>2186395723</v>
      </c>
      <c r="BU52" s="82">
        <f t="shared" si="8"/>
        <v>328701057</v>
      </c>
      <c r="BV52" s="82">
        <f t="shared" si="9"/>
        <v>13600823</v>
      </c>
      <c r="BW52" s="86">
        <f t="shared" si="10"/>
        <v>426996996</v>
      </c>
      <c r="BX52" s="86">
        <f t="shared" si="6"/>
        <v>2955694599</v>
      </c>
    </row>
    <row r="53" spans="1:76" x14ac:dyDescent="0.25">
      <c r="A53" s="91" t="s">
        <v>107</v>
      </c>
      <c r="B53" s="114">
        <v>421523600</v>
      </c>
      <c r="C53" s="114">
        <v>211658300</v>
      </c>
      <c r="D53" s="114">
        <v>79625800</v>
      </c>
      <c r="E53" s="114">
        <v>0</v>
      </c>
      <c r="F53" s="114">
        <v>40770700</v>
      </c>
      <c r="G53" s="114">
        <v>5860100</v>
      </c>
      <c r="H53" s="114">
        <v>13874500</v>
      </c>
      <c r="I53" s="114">
        <v>908400</v>
      </c>
      <c r="J53" s="114">
        <v>75200</v>
      </c>
      <c r="K53" s="114">
        <v>0</v>
      </c>
      <c r="L53" s="114">
        <v>362669807</v>
      </c>
      <c r="M53" s="114">
        <v>148631400</v>
      </c>
      <c r="N53" s="114">
        <v>1488</v>
      </c>
      <c r="O53" s="114">
        <v>187</v>
      </c>
      <c r="P53" s="114">
        <v>5599400</v>
      </c>
      <c r="Q53" s="114">
        <v>6172400</v>
      </c>
      <c r="R53" s="114">
        <v>885900</v>
      </c>
      <c r="S53" s="114">
        <v>4618200</v>
      </c>
      <c r="T53" s="114">
        <v>1849000</v>
      </c>
      <c r="U53" s="114">
        <v>57100</v>
      </c>
      <c r="V53" s="114">
        <v>5599400</v>
      </c>
      <c r="W53" s="114">
        <v>6545000</v>
      </c>
      <c r="X53" s="114">
        <v>885900</v>
      </c>
      <c r="Y53" s="114">
        <v>4618200</v>
      </c>
      <c r="Z53" s="114">
        <v>2747300</v>
      </c>
      <c r="AA53" s="114">
        <v>57100</v>
      </c>
      <c r="AB53" s="114">
        <v>-2398700</v>
      </c>
      <c r="AC53" s="114">
        <v>-2544266</v>
      </c>
      <c r="AD53" s="114">
        <v>37369</v>
      </c>
      <c r="AE53" s="114">
        <v>35392</v>
      </c>
      <c r="AF53" s="114">
        <v>156155100</v>
      </c>
      <c r="AG53" s="114">
        <v>171598</v>
      </c>
      <c r="AH53" s="114">
        <v>0</v>
      </c>
      <c r="AI53" s="114">
        <v>455860.65573770495</v>
      </c>
      <c r="AJ53" s="121">
        <v>0</v>
      </c>
      <c r="AK53" s="82">
        <v>110952618</v>
      </c>
      <c r="AL53" s="83">
        <v>2268513</v>
      </c>
      <c r="AM53" s="114">
        <v>0</v>
      </c>
      <c r="AN53" s="114">
        <v>16333767</v>
      </c>
      <c r="AO53" s="114">
        <v>1794457</v>
      </c>
      <c r="AP53" s="114">
        <v>26486216</v>
      </c>
      <c r="AQ53" s="114">
        <v>17642726</v>
      </c>
      <c r="AR53" s="114">
        <v>39614592</v>
      </c>
      <c r="AS53" s="114">
        <v>11599137</v>
      </c>
      <c r="AT53" s="114">
        <v>2906130</v>
      </c>
      <c r="AU53" s="114">
        <v>0</v>
      </c>
      <c r="AV53" s="114">
        <v>0</v>
      </c>
      <c r="AW53" s="114">
        <v>21943</v>
      </c>
      <c r="AX53" s="114">
        <v>0</v>
      </c>
      <c r="AY53" s="114">
        <v>172000</v>
      </c>
      <c r="BD53" s="82">
        <v>5851930.7699999996</v>
      </c>
      <c r="BE53" s="82">
        <v>2925965</v>
      </c>
      <c r="BF53" s="117">
        <v>4873057</v>
      </c>
      <c r="BG53" s="118">
        <v>1121736</v>
      </c>
      <c r="BH53" s="118">
        <v>2157184</v>
      </c>
      <c r="BI53" s="117">
        <v>8868776</v>
      </c>
      <c r="BJ53" s="117">
        <v>8868776</v>
      </c>
      <c r="BK53" s="117">
        <v>44043185.25</v>
      </c>
      <c r="BL53" s="117">
        <v>42192058.25</v>
      </c>
      <c r="BM53" s="117">
        <v>0</v>
      </c>
      <c r="BN53" s="117">
        <v>0</v>
      </c>
      <c r="BO53" s="119"/>
      <c r="BP53" s="86">
        <f t="shared" si="4"/>
        <v>917364176.90573776</v>
      </c>
      <c r="BQ53" s="86">
        <f t="shared" si="5"/>
        <v>749034510.65573776</v>
      </c>
      <c r="BR53" s="87">
        <v>440200</v>
      </c>
      <c r="BT53" s="86">
        <f t="shared" si="7"/>
        <v>712807700</v>
      </c>
      <c r="BU53" s="82">
        <f t="shared" si="8"/>
        <v>110952618</v>
      </c>
      <c r="BV53" s="82">
        <f t="shared" si="9"/>
        <v>2268513</v>
      </c>
      <c r="BW53" s="86">
        <f t="shared" si="10"/>
        <v>47370087</v>
      </c>
      <c r="BX53" s="86">
        <f t="shared" si="6"/>
        <v>873398918</v>
      </c>
    </row>
    <row r="54" spans="1:76" x14ac:dyDescent="0.25">
      <c r="A54" s="91" t="s">
        <v>108</v>
      </c>
      <c r="B54" s="114">
        <v>69778027</v>
      </c>
      <c r="C54" s="114">
        <v>113455090</v>
      </c>
      <c r="D54" s="114">
        <v>19174290</v>
      </c>
      <c r="E54" s="114">
        <v>0</v>
      </c>
      <c r="F54" s="114">
        <v>14876112</v>
      </c>
      <c r="G54" s="114">
        <v>2749650</v>
      </c>
      <c r="H54" s="114">
        <v>5894624</v>
      </c>
      <c r="I54" s="114">
        <v>387788</v>
      </c>
      <c r="J54" s="114">
        <v>0</v>
      </c>
      <c r="K54" s="114">
        <v>0</v>
      </c>
      <c r="L54" s="114">
        <v>443312832</v>
      </c>
      <c r="M54" s="114">
        <v>30887306</v>
      </c>
      <c r="N54" s="114">
        <v>613</v>
      </c>
      <c r="O54" s="114">
        <v>106</v>
      </c>
      <c r="P54" s="114">
        <v>1450254</v>
      </c>
      <c r="Q54" s="114">
        <v>918435</v>
      </c>
      <c r="R54" s="114">
        <v>362295</v>
      </c>
      <c r="S54" s="114">
        <v>733672</v>
      </c>
      <c r="T54" s="114">
        <v>419952</v>
      </c>
      <c r="U54" s="114">
        <v>108000</v>
      </c>
      <c r="V54" s="114">
        <v>1450254</v>
      </c>
      <c r="W54" s="114">
        <v>1184084</v>
      </c>
      <c r="X54" s="114">
        <v>362295</v>
      </c>
      <c r="Y54" s="114">
        <v>733672</v>
      </c>
      <c r="Z54" s="114">
        <v>692456</v>
      </c>
      <c r="AA54" s="114">
        <v>108000</v>
      </c>
      <c r="AB54" s="114">
        <v>-810964</v>
      </c>
      <c r="AC54" s="114">
        <v>-46008</v>
      </c>
      <c r="AD54" s="114">
        <v>27217</v>
      </c>
      <c r="AE54" s="114">
        <v>283</v>
      </c>
      <c r="AF54" s="114">
        <v>110164788</v>
      </c>
      <c r="AG54" s="114">
        <v>143757</v>
      </c>
      <c r="AH54" s="114">
        <v>0</v>
      </c>
      <c r="AI54" s="114">
        <v>8786.8852459016398</v>
      </c>
      <c r="AJ54" s="121">
        <v>0</v>
      </c>
      <c r="AK54" s="82">
        <v>39058052</v>
      </c>
      <c r="AL54" s="83">
        <v>848816</v>
      </c>
      <c r="AM54" s="114">
        <v>0</v>
      </c>
      <c r="AN54" s="114">
        <v>13257635</v>
      </c>
      <c r="AO54" s="114">
        <v>59660</v>
      </c>
      <c r="AP54" s="114">
        <v>523527</v>
      </c>
      <c r="AQ54" s="114">
        <v>12612104</v>
      </c>
      <c r="AR54" s="114">
        <v>3416402</v>
      </c>
      <c r="AS54" s="114">
        <v>858802</v>
      </c>
      <c r="AT54" s="114">
        <v>6052257</v>
      </c>
      <c r="AU54" s="114">
        <v>0</v>
      </c>
      <c r="AV54" s="114">
        <v>0</v>
      </c>
      <c r="AW54" s="114">
        <v>1275612</v>
      </c>
      <c r="AX54" s="114">
        <v>0</v>
      </c>
      <c r="AY54" s="114">
        <v>0</v>
      </c>
      <c r="BD54" s="82">
        <v>2060023.64</v>
      </c>
      <c r="BE54" s="82">
        <v>1030012</v>
      </c>
      <c r="BF54" s="117">
        <v>9549223</v>
      </c>
      <c r="BG54" s="118">
        <v>1787299</v>
      </c>
      <c r="BH54" s="118">
        <v>3437114</v>
      </c>
      <c r="BI54" s="117">
        <v>29766418</v>
      </c>
      <c r="BJ54" s="117">
        <v>29766418</v>
      </c>
      <c r="BK54" s="117">
        <v>46670920.75</v>
      </c>
      <c r="BL54" s="117">
        <v>30805787.75</v>
      </c>
      <c r="BM54" s="117">
        <v>0</v>
      </c>
      <c r="BN54" s="117">
        <v>0</v>
      </c>
      <c r="BO54" s="119"/>
      <c r="BP54" s="86">
        <f t="shared" si="4"/>
        <v>331641977.63524592</v>
      </c>
      <c r="BQ54" s="86">
        <f t="shared" si="5"/>
        <v>228345592.88524589</v>
      </c>
      <c r="BR54" s="87">
        <v>487000</v>
      </c>
      <c r="BT54" s="86">
        <f t="shared" si="7"/>
        <v>202407407</v>
      </c>
      <c r="BU54" s="82">
        <f t="shared" si="8"/>
        <v>39058052</v>
      </c>
      <c r="BV54" s="82">
        <f t="shared" si="9"/>
        <v>848816</v>
      </c>
      <c r="BW54" s="86">
        <f t="shared" si="10"/>
        <v>26788201</v>
      </c>
      <c r="BX54" s="86">
        <f t="shared" si="6"/>
        <v>269102476</v>
      </c>
    </row>
    <row r="55" spans="1:76" x14ac:dyDescent="0.25">
      <c r="A55" s="91" t="s">
        <v>109</v>
      </c>
      <c r="B55" s="114">
        <v>1171461996</v>
      </c>
      <c r="C55" s="114">
        <v>264800718</v>
      </c>
      <c r="D55" s="114">
        <v>453970501</v>
      </c>
      <c r="E55" s="114">
        <v>0</v>
      </c>
      <c r="F55" s="114">
        <v>117993324</v>
      </c>
      <c r="G55" s="114">
        <v>37572735</v>
      </c>
      <c r="H55" s="114">
        <v>16050500</v>
      </c>
      <c r="I55" s="114">
        <v>3671640</v>
      </c>
      <c r="J55" s="114">
        <v>148800</v>
      </c>
      <c r="K55" s="114">
        <v>73100</v>
      </c>
      <c r="L55" s="114">
        <v>299549006</v>
      </c>
      <c r="M55" s="114">
        <v>159405590</v>
      </c>
      <c r="N55" s="114">
        <v>3795</v>
      </c>
      <c r="O55" s="114">
        <v>1276</v>
      </c>
      <c r="P55" s="114">
        <v>14413971</v>
      </c>
      <c r="Q55" s="114">
        <v>5312000</v>
      </c>
      <c r="R55" s="114">
        <v>25701023</v>
      </c>
      <c r="S55" s="114">
        <v>19280145</v>
      </c>
      <c r="T55" s="114">
        <v>3811094</v>
      </c>
      <c r="U55" s="114">
        <v>7102636</v>
      </c>
      <c r="V55" s="114">
        <v>14413971</v>
      </c>
      <c r="W55" s="114">
        <v>7876875</v>
      </c>
      <c r="X55" s="114">
        <v>25701023</v>
      </c>
      <c r="Y55" s="114">
        <v>19280145</v>
      </c>
      <c r="Z55" s="114">
        <v>7791744</v>
      </c>
      <c r="AA55" s="114">
        <v>7102636</v>
      </c>
      <c r="AB55" s="114">
        <v>-84515</v>
      </c>
      <c r="AC55" s="114">
        <v>-17758</v>
      </c>
      <c r="AD55" s="114">
        <v>88357</v>
      </c>
      <c r="AE55" s="114">
        <v>37999</v>
      </c>
      <c r="AF55" s="114">
        <v>16718989</v>
      </c>
      <c r="AG55" s="114">
        <v>321252</v>
      </c>
      <c r="AH55" s="114">
        <v>5048032.7868852466</v>
      </c>
      <c r="AI55" s="114">
        <v>709040.98360655736</v>
      </c>
      <c r="AJ55" s="121">
        <v>10908780.33</v>
      </c>
      <c r="AK55" s="82">
        <v>332634265</v>
      </c>
      <c r="AL55" s="83">
        <v>9362779</v>
      </c>
      <c r="AM55" s="114">
        <v>0</v>
      </c>
      <c r="AN55" s="114">
        <v>214036963</v>
      </c>
      <c r="AO55" s="114">
        <v>9359519</v>
      </c>
      <c r="AP55" s="114">
        <v>195135712</v>
      </c>
      <c r="AQ55" s="114">
        <v>104314159</v>
      </c>
      <c r="AR55" s="114">
        <v>75459236</v>
      </c>
      <c r="AS55" s="114">
        <v>238962126</v>
      </c>
      <c r="AT55" s="114">
        <v>6123035</v>
      </c>
      <c r="AU55" s="114">
        <v>0</v>
      </c>
      <c r="AV55" s="114">
        <v>2775613</v>
      </c>
      <c r="AW55" s="114">
        <v>4214320</v>
      </c>
      <c r="AX55" s="114">
        <v>3112551</v>
      </c>
      <c r="AY55" s="114">
        <v>3895577</v>
      </c>
      <c r="BD55" s="82">
        <v>17543999.640000001</v>
      </c>
      <c r="BE55" s="82">
        <v>8772000</v>
      </c>
      <c r="BF55" s="117">
        <v>1082902</v>
      </c>
      <c r="BG55" s="118">
        <v>11488819</v>
      </c>
      <c r="BH55" s="118">
        <v>22093883</v>
      </c>
      <c r="BI55" s="117">
        <v>77495216</v>
      </c>
      <c r="BJ55" s="117">
        <v>73532659</v>
      </c>
      <c r="BK55" s="117">
        <v>179677331.25</v>
      </c>
      <c r="BL55" s="117">
        <v>167369340.25</v>
      </c>
      <c r="BM55" s="117">
        <v>0</v>
      </c>
      <c r="BN55" s="117">
        <v>0</v>
      </c>
      <c r="BO55" s="119"/>
      <c r="BP55" s="86">
        <f t="shared" si="4"/>
        <v>2837769572.3504915</v>
      </c>
      <c r="BQ55" s="86">
        <f t="shared" si="5"/>
        <v>2234609710.1004915</v>
      </c>
      <c r="BR55" s="87">
        <v>5318116</v>
      </c>
      <c r="BT55" s="86">
        <f t="shared" si="7"/>
        <v>1890233215</v>
      </c>
      <c r="BU55" s="82">
        <f t="shared" si="8"/>
        <v>332634265</v>
      </c>
      <c r="BV55" s="82">
        <f t="shared" si="9"/>
        <v>9362779</v>
      </c>
      <c r="BW55" s="86">
        <f t="shared" si="10"/>
        <v>566672767</v>
      </c>
      <c r="BX55" s="86">
        <f t="shared" si="6"/>
        <v>2798903026</v>
      </c>
    </row>
    <row r="56" spans="1:76" x14ac:dyDescent="0.25">
      <c r="A56" s="91" t="s">
        <v>110</v>
      </c>
      <c r="B56" s="114">
        <v>139747596</v>
      </c>
      <c r="C56" s="114">
        <v>72826825</v>
      </c>
      <c r="D56" s="114">
        <v>40272100</v>
      </c>
      <c r="E56" s="114">
        <v>0</v>
      </c>
      <c r="F56" s="114">
        <v>24355200</v>
      </c>
      <c r="G56" s="114">
        <v>19917875</v>
      </c>
      <c r="H56" s="114">
        <v>13837900</v>
      </c>
      <c r="I56" s="114">
        <v>5039350</v>
      </c>
      <c r="J56" s="114">
        <v>105200</v>
      </c>
      <c r="K56" s="114">
        <v>37600</v>
      </c>
      <c r="L56" s="114">
        <v>114004185</v>
      </c>
      <c r="M56" s="114">
        <v>64892240</v>
      </c>
      <c r="N56" s="114">
        <v>1196</v>
      </c>
      <c r="O56" s="114">
        <v>840</v>
      </c>
      <c r="P56" s="114">
        <v>1146000</v>
      </c>
      <c r="Q56" s="114">
        <v>329160</v>
      </c>
      <c r="R56" s="114">
        <v>1341000</v>
      </c>
      <c r="S56" s="114">
        <v>1229100</v>
      </c>
      <c r="T56" s="114">
        <v>357900</v>
      </c>
      <c r="U56" s="114">
        <v>636000</v>
      </c>
      <c r="V56" s="114">
        <v>1145000</v>
      </c>
      <c r="W56" s="114">
        <v>337000</v>
      </c>
      <c r="X56" s="114">
        <v>1341000</v>
      </c>
      <c r="Y56" s="114">
        <v>1229100</v>
      </c>
      <c r="Z56" s="114">
        <v>575260</v>
      </c>
      <c r="AA56" s="114">
        <v>636000</v>
      </c>
      <c r="AB56" s="114">
        <v>-3469900</v>
      </c>
      <c r="AC56" s="114">
        <v>-1789490</v>
      </c>
      <c r="AD56" s="114">
        <v>75557</v>
      </c>
      <c r="AE56" s="114">
        <v>3093</v>
      </c>
      <c r="AF56" s="114">
        <v>3312601</v>
      </c>
      <c r="AG56" s="114">
        <v>143367</v>
      </c>
      <c r="AH56" s="114">
        <v>0</v>
      </c>
      <c r="AI56" s="114">
        <v>314770.49180327868</v>
      </c>
      <c r="AJ56" s="121">
        <v>0</v>
      </c>
      <c r="AK56" s="82">
        <v>72291189</v>
      </c>
      <c r="AL56" s="83">
        <v>1105279</v>
      </c>
      <c r="AM56" s="114">
        <v>0</v>
      </c>
      <c r="AN56" s="114">
        <v>4460539</v>
      </c>
      <c r="AO56" s="114">
        <v>91560</v>
      </c>
      <c r="AP56" s="114">
        <v>6334294</v>
      </c>
      <c r="AQ56" s="114">
        <v>6428040</v>
      </c>
      <c r="AR56" s="114">
        <v>261543</v>
      </c>
      <c r="AS56" s="114">
        <v>0</v>
      </c>
      <c r="AT56" s="114">
        <v>717838</v>
      </c>
      <c r="AU56" s="114">
        <v>0</v>
      </c>
      <c r="AV56" s="114">
        <v>0</v>
      </c>
      <c r="AW56" s="114">
        <v>0</v>
      </c>
      <c r="AX56" s="114">
        <v>0</v>
      </c>
      <c r="AY56" s="114">
        <v>10000</v>
      </c>
      <c r="BD56" s="82">
        <v>3812826.06</v>
      </c>
      <c r="BE56" s="82">
        <v>1906413</v>
      </c>
      <c r="BF56" s="117">
        <v>0</v>
      </c>
      <c r="BG56" s="118">
        <v>0</v>
      </c>
      <c r="BH56" s="118">
        <v>0</v>
      </c>
      <c r="BI56" s="117">
        <v>6287149</v>
      </c>
      <c r="BJ56" s="117">
        <v>6287149</v>
      </c>
      <c r="BK56" s="117">
        <v>54432523</v>
      </c>
      <c r="BL56" s="117">
        <v>54347509</v>
      </c>
      <c r="BM56" s="117">
        <v>0</v>
      </c>
      <c r="BN56" s="117">
        <v>0</v>
      </c>
      <c r="BO56" s="119"/>
      <c r="BP56" s="86">
        <f t="shared" si="4"/>
        <v>400078969.49180329</v>
      </c>
      <c r="BQ56" s="86">
        <f t="shared" si="5"/>
        <v>264141430.49180329</v>
      </c>
      <c r="BR56" s="87">
        <v>3908000</v>
      </c>
      <c r="BT56" s="86">
        <f t="shared" si="7"/>
        <v>252846521</v>
      </c>
      <c r="BU56" s="82">
        <f t="shared" si="8"/>
        <v>72291189</v>
      </c>
      <c r="BV56" s="82">
        <f t="shared" si="9"/>
        <v>1105279</v>
      </c>
      <c r="BW56" s="86">
        <f t="shared" si="10"/>
        <v>10980139</v>
      </c>
      <c r="BX56" s="86">
        <f t="shared" si="6"/>
        <v>337223128</v>
      </c>
    </row>
    <row r="57" spans="1:76" x14ac:dyDescent="0.25">
      <c r="A57" s="91" t="s">
        <v>111</v>
      </c>
      <c r="B57" s="114">
        <v>41256997180</v>
      </c>
      <c r="C57" s="114">
        <v>170946270</v>
      </c>
      <c r="D57" s="114">
        <v>20103281050</v>
      </c>
      <c r="E57" s="114">
        <v>259016460</v>
      </c>
      <c r="F57" s="114">
        <v>2148012800</v>
      </c>
      <c r="G57" s="114">
        <v>168214890</v>
      </c>
      <c r="H57" s="114">
        <v>6768000</v>
      </c>
      <c r="I57" s="114">
        <v>300800</v>
      </c>
      <c r="J57" s="114">
        <v>4961730</v>
      </c>
      <c r="K57" s="114">
        <v>305980</v>
      </c>
      <c r="L57" s="114">
        <v>356802740</v>
      </c>
      <c r="M57" s="114">
        <v>534817810</v>
      </c>
      <c r="N57" s="114">
        <v>58191</v>
      </c>
      <c r="O57" s="114">
        <v>4717</v>
      </c>
      <c r="P57" s="114">
        <v>327479760</v>
      </c>
      <c r="Q57" s="114">
        <v>4224600</v>
      </c>
      <c r="R57" s="114">
        <v>710809990</v>
      </c>
      <c r="S57" s="114">
        <v>441809630</v>
      </c>
      <c r="T57" s="114">
        <v>10162200</v>
      </c>
      <c r="U57" s="114">
        <v>204919430</v>
      </c>
      <c r="V57" s="114">
        <v>327479760</v>
      </c>
      <c r="W57" s="114">
        <v>9059330</v>
      </c>
      <c r="X57" s="114">
        <v>710809990</v>
      </c>
      <c r="Y57" s="114">
        <v>441809630</v>
      </c>
      <c r="Z57" s="114">
        <v>197951370</v>
      </c>
      <c r="AA57" s="114">
        <v>204919430</v>
      </c>
      <c r="AB57" s="114">
        <v>-88808400</v>
      </c>
      <c r="AC57" s="114">
        <v>39596003</v>
      </c>
      <c r="AD57" s="114">
        <v>0</v>
      </c>
      <c r="AE57" s="114">
        <v>0</v>
      </c>
      <c r="AF57" s="114">
        <v>0</v>
      </c>
      <c r="AG57" s="114">
        <v>0</v>
      </c>
      <c r="AH57" s="114">
        <v>0</v>
      </c>
      <c r="AI57" s="114">
        <v>328442.62295081967</v>
      </c>
      <c r="AJ57" s="121">
        <v>0</v>
      </c>
      <c r="AK57" s="82">
        <v>5224208421</v>
      </c>
      <c r="AL57" s="83">
        <v>70958048</v>
      </c>
      <c r="AM57" s="114">
        <v>4615791</v>
      </c>
      <c r="AN57" s="114">
        <v>2680417764</v>
      </c>
      <c r="AO57" s="114">
        <v>140985634</v>
      </c>
      <c r="AP57" s="114">
        <v>3802307563</v>
      </c>
      <c r="AQ57" s="114">
        <v>2372090540</v>
      </c>
      <c r="AR57" s="114">
        <v>1533267234</v>
      </c>
      <c r="AS57" s="114">
        <v>1802834929</v>
      </c>
      <c r="AT57" s="114">
        <f>3659855+2215738776</f>
        <v>2219398631</v>
      </c>
      <c r="AU57" s="114">
        <v>46399</v>
      </c>
      <c r="AV57" s="114">
        <v>13754712</v>
      </c>
      <c r="AW57" s="114">
        <v>46491093</v>
      </c>
      <c r="AX57" s="114">
        <v>21664030</v>
      </c>
      <c r="AY57" s="114">
        <v>111294122</v>
      </c>
      <c r="BD57" s="82">
        <v>275538392.48000002</v>
      </c>
      <c r="BE57" s="82">
        <v>137769196</v>
      </c>
      <c r="BF57" s="117">
        <v>36818653</v>
      </c>
      <c r="BG57" s="118">
        <v>23441289</v>
      </c>
      <c r="BH57" s="118">
        <v>45079402</v>
      </c>
      <c r="BI57" s="117">
        <v>823149436</v>
      </c>
      <c r="BJ57" s="117">
        <v>819552808</v>
      </c>
      <c r="BK57" s="117">
        <v>1689979972.75</v>
      </c>
      <c r="BL57" s="117">
        <v>1556592109.75</v>
      </c>
      <c r="BM57" s="117">
        <v>270677922</v>
      </c>
      <c r="BN57" s="117">
        <v>0</v>
      </c>
      <c r="BO57" s="119"/>
      <c r="BP57" s="86">
        <f t="shared" si="4"/>
        <v>74828246674.372955</v>
      </c>
      <c r="BQ57" s="86">
        <f t="shared" si="5"/>
        <v>66725046880.622948</v>
      </c>
      <c r="BR57" s="87">
        <v>138011650</v>
      </c>
      <c r="BT57" s="86">
        <f t="shared" si="7"/>
        <v>61531224500</v>
      </c>
      <c r="BU57" s="82">
        <f t="shared" si="8"/>
        <v>5224208421</v>
      </c>
      <c r="BV57" s="82">
        <f t="shared" si="9"/>
        <v>70958048</v>
      </c>
      <c r="BW57" s="86">
        <f t="shared" si="10"/>
        <v>6996328867</v>
      </c>
      <c r="BX57" s="86">
        <f t="shared" si="6"/>
        <v>73822719836</v>
      </c>
    </row>
    <row r="58" spans="1:76" x14ac:dyDescent="0.25">
      <c r="A58" s="91" t="s">
        <v>112</v>
      </c>
      <c r="B58" s="114">
        <v>2717435934</v>
      </c>
      <c r="C58" s="114">
        <v>252833786</v>
      </c>
      <c r="D58" s="114">
        <v>688479337</v>
      </c>
      <c r="E58" s="114">
        <v>0</v>
      </c>
      <c r="F58" s="114">
        <v>117032469</v>
      </c>
      <c r="G58" s="114">
        <v>11355785</v>
      </c>
      <c r="H58" s="114">
        <v>11147641</v>
      </c>
      <c r="I58" s="114">
        <v>899198</v>
      </c>
      <c r="J58" s="114">
        <v>75200</v>
      </c>
      <c r="K58" s="114">
        <v>0</v>
      </c>
      <c r="L58" s="114">
        <v>559022146</v>
      </c>
      <c r="M58" s="114">
        <v>190592182</v>
      </c>
      <c r="N58" s="114">
        <v>3449</v>
      </c>
      <c r="O58" s="114">
        <v>338</v>
      </c>
      <c r="P58" s="114">
        <v>63045166</v>
      </c>
      <c r="Q58" s="114">
        <v>5878076</v>
      </c>
      <c r="R58" s="114">
        <v>13492330</v>
      </c>
      <c r="S58" s="114">
        <v>11820192</v>
      </c>
      <c r="T58" s="114">
        <v>3692033</v>
      </c>
      <c r="U58" s="114">
        <v>4702985</v>
      </c>
      <c r="V58" s="114">
        <v>63045166</v>
      </c>
      <c r="W58" s="114">
        <v>6929866</v>
      </c>
      <c r="X58" s="114">
        <v>13492330</v>
      </c>
      <c r="Y58" s="114">
        <v>11820192</v>
      </c>
      <c r="Z58" s="114">
        <v>7435596</v>
      </c>
      <c r="AA58" s="114">
        <v>4702985</v>
      </c>
      <c r="AB58" s="114">
        <v>-3265650</v>
      </c>
      <c r="AC58" s="114">
        <v>-57449</v>
      </c>
      <c r="AD58" s="114">
        <v>0</v>
      </c>
      <c r="AE58" s="114">
        <v>0</v>
      </c>
      <c r="AF58" s="114">
        <v>0</v>
      </c>
      <c r="AG58" s="114">
        <v>84069</v>
      </c>
      <c r="AH58" s="114">
        <v>0</v>
      </c>
      <c r="AI58" s="114">
        <v>271704.91803278693</v>
      </c>
      <c r="AJ58" s="121">
        <v>0</v>
      </c>
      <c r="AK58" s="82">
        <v>374659834</v>
      </c>
      <c r="AL58" s="83">
        <v>9298681</v>
      </c>
      <c r="AM58" s="114">
        <v>32500</v>
      </c>
      <c r="AN58" s="114">
        <v>101109095</v>
      </c>
      <c r="AO58" s="114">
        <v>3004926</v>
      </c>
      <c r="AP58" s="114">
        <v>113979689</v>
      </c>
      <c r="AQ58" s="114">
        <v>112994454</v>
      </c>
      <c r="AR58" s="114">
        <v>104999185</v>
      </c>
      <c r="AS58" s="114">
        <v>39229210</v>
      </c>
      <c r="AT58" s="114">
        <f>4124324+1823</f>
        <v>4126147</v>
      </c>
      <c r="AU58" s="114">
        <v>0</v>
      </c>
      <c r="AV58" s="114">
        <v>0</v>
      </c>
      <c r="AW58" s="114">
        <v>113705</v>
      </c>
      <c r="AX58" s="114">
        <v>13410</v>
      </c>
      <c r="AY58" s="114">
        <v>15514400</v>
      </c>
      <c r="BD58" s="82">
        <v>19760537.879999999</v>
      </c>
      <c r="BE58" s="82">
        <v>9880269</v>
      </c>
      <c r="BF58" s="117">
        <v>0</v>
      </c>
      <c r="BG58" s="118">
        <v>1799264</v>
      </c>
      <c r="BH58" s="118">
        <v>3460124</v>
      </c>
      <c r="BI58" s="117">
        <v>41389728</v>
      </c>
      <c r="BJ58" s="117">
        <v>41389728</v>
      </c>
      <c r="BK58" s="117">
        <v>68149851.75</v>
      </c>
      <c r="BL58" s="117">
        <v>63384071.75</v>
      </c>
      <c r="BM58" s="117">
        <v>36825037</v>
      </c>
      <c r="BN58" s="117">
        <v>0</v>
      </c>
      <c r="BO58" s="119"/>
      <c r="BP58" s="86">
        <f t="shared" si="4"/>
        <v>4413366121.6680326</v>
      </c>
      <c r="BQ58" s="86">
        <f t="shared" si="5"/>
        <v>3876129236.9180326</v>
      </c>
      <c r="BR58" s="87">
        <v>2005350</v>
      </c>
      <c r="BT58" s="86">
        <f t="shared" si="7"/>
        <v>3658749057</v>
      </c>
      <c r="BU58" s="82">
        <f t="shared" si="8"/>
        <v>374659834</v>
      </c>
      <c r="BV58" s="82">
        <f t="shared" si="9"/>
        <v>9298681</v>
      </c>
      <c r="BW58" s="86">
        <f t="shared" si="10"/>
        <v>256337685</v>
      </c>
      <c r="BX58" s="86">
        <f t="shared" si="6"/>
        <v>4299045257</v>
      </c>
    </row>
    <row r="59" spans="1:76" x14ac:dyDescent="0.25">
      <c r="A59" s="91" t="s">
        <v>113</v>
      </c>
      <c r="B59" s="114">
        <v>437627452</v>
      </c>
      <c r="C59" s="114">
        <v>100545332</v>
      </c>
      <c r="D59" s="114">
        <v>188616341</v>
      </c>
      <c r="E59" s="114">
        <v>0</v>
      </c>
      <c r="F59" s="114">
        <v>51022800</v>
      </c>
      <c r="G59" s="114">
        <v>36394850</v>
      </c>
      <c r="H59" s="114">
        <v>17388824</v>
      </c>
      <c r="I59" s="114">
        <v>7942506</v>
      </c>
      <c r="J59" s="114">
        <v>37600</v>
      </c>
      <c r="K59" s="114">
        <v>37600</v>
      </c>
      <c r="L59" s="114">
        <v>106734764</v>
      </c>
      <c r="M59" s="114">
        <v>97601825</v>
      </c>
      <c r="N59" s="114">
        <v>2024</v>
      </c>
      <c r="O59" s="114">
        <v>1452</v>
      </c>
      <c r="P59" s="114">
        <v>68000</v>
      </c>
      <c r="Q59" s="114">
        <v>53400</v>
      </c>
      <c r="R59" s="114">
        <v>200000</v>
      </c>
      <c r="S59" s="114">
        <v>3414750</v>
      </c>
      <c r="T59" s="114">
        <v>348225</v>
      </c>
      <c r="U59" s="114">
        <v>1065150</v>
      </c>
      <c r="V59" s="114">
        <v>68000</v>
      </c>
      <c r="W59" s="114">
        <v>20000</v>
      </c>
      <c r="X59" s="114">
        <v>200000</v>
      </c>
      <c r="Y59" s="114">
        <v>3414750</v>
      </c>
      <c r="Z59" s="114">
        <v>339950</v>
      </c>
      <c r="AA59" s="114">
        <v>1065150</v>
      </c>
      <c r="AB59" s="114">
        <v>-6024550</v>
      </c>
      <c r="AC59" s="114">
        <v>-1248899</v>
      </c>
      <c r="AD59" s="114">
        <v>127125</v>
      </c>
      <c r="AE59" s="114">
        <v>2</v>
      </c>
      <c r="AF59" s="114">
        <v>0</v>
      </c>
      <c r="AG59" s="114">
        <v>134272</v>
      </c>
      <c r="AH59" s="114">
        <v>1988950.8196721312</v>
      </c>
      <c r="AI59" s="114">
        <v>3084532.7868852462</v>
      </c>
      <c r="AJ59" s="121">
        <v>4118937.7</v>
      </c>
      <c r="AK59" s="82">
        <v>158506861</v>
      </c>
      <c r="AL59" s="83">
        <v>4846835</v>
      </c>
      <c r="AM59" s="114">
        <v>317186</v>
      </c>
      <c r="AN59" s="114">
        <v>53275773</v>
      </c>
      <c r="AO59" s="114">
        <v>1265510</v>
      </c>
      <c r="AP59" s="114">
        <v>2685940</v>
      </c>
      <c r="AQ59" s="114">
        <v>25129819</v>
      </c>
      <c r="AR59" s="114">
        <v>4456490</v>
      </c>
      <c r="AS59" s="114">
        <v>596</v>
      </c>
      <c r="AT59" s="114">
        <f>21542+18</f>
        <v>21560</v>
      </c>
      <c r="AU59" s="114">
        <v>0</v>
      </c>
      <c r="AV59" s="114">
        <v>0</v>
      </c>
      <c r="AW59" s="114">
        <v>0</v>
      </c>
      <c r="AX59" s="114">
        <v>18683</v>
      </c>
      <c r="AY59" s="114">
        <v>24661</v>
      </c>
      <c r="BD59" s="82">
        <v>8360065.71</v>
      </c>
      <c r="BE59" s="82">
        <v>4180033</v>
      </c>
      <c r="BF59" s="117">
        <v>0</v>
      </c>
      <c r="BG59" s="118">
        <v>3039156</v>
      </c>
      <c r="BH59" s="118">
        <v>5844532</v>
      </c>
      <c r="BI59" s="117">
        <v>65165251</v>
      </c>
      <c r="BJ59" s="117">
        <v>65165251</v>
      </c>
      <c r="BK59" s="117">
        <v>97517149.5</v>
      </c>
      <c r="BL59" s="117">
        <v>95183476.5</v>
      </c>
      <c r="BM59" s="117">
        <v>0</v>
      </c>
      <c r="BN59" s="117">
        <v>0</v>
      </c>
      <c r="BO59" s="119"/>
      <c r="BP59" s="86">
        <f t="shared" si="4"/>
        <v>1146574260.8065574</v>
      </c>
      <c r="BQ59" s="86">
        <f t="shared" si="5"/>
        <v>815652648.30655742</v>
      </c>
      <c r="BR59" s="87">
        <v>9373195</v>
      </c>
      <c r="BT59" s="86">
        <f t="shared" si="7"/>
        <v>726789125</v>
      </c>
      <c r="BU59" s="82">
        <f t="shared" si="8"/>
        <v>158506861</v>
      </c>
      <c r="BV59" s="82">
        <f t="shared" si="9"/>
        <v>4846835</v>
      </c>
      <c r="BW59" s="86">
        <f t="shared" si="10"/>
        <v>79671698</v>
      </c>
      <c r="BX59" s="86">
        <f t="shared" si="6"/>
        <v>969814519</v>
      </c>
    </row>
    <row r="60" spans="1:76" x14ac:dyDescent="0.25">
      <c r="A60" s="91" t="s">
        <v>114</v>
      </c>
      <c r="B60" s="114">
        <v>7708974333</v>
      </c>
      <c r="C60" s="114">
        <v>120597600</v>
      </c>
      <c r="D60" s="114">
        <v>2557264634</v>
      </c>
      <c r="E60" s="114">
        <v>1440000</v>
      </c>
      <c r="F60" s="114">
        <v>415918900</v>
      </c>
      <c r="G60" s="114">
        <v>35152650</v>
      </c>
      <c r="H60" s="114">
        <v>7412000</v>
      </c>
      <c r="I60" s="114">
        <v>450300</v>
      </c>
      <c r="J60" s="114">
        <v>1090400</v>
      </c>
      <c r="K60" s="114">
        <v>75200</v>
      </c>
      <c r="L60" s="114">
        <v>218573600</v>
      </c>
      <c r="M60" s="114">
        <v>339171200</v>
      </c>
      <c r="N60" s="114">
        <v>11386</v>
      </c>
      <c r="O60" s="114">
        <v>976</v>
      </c>
      <c r="P60" s="114">
        <v>111459400</v>
      </c>
      <c r="Q60" s="114">
        <v>8687400</v>
      </c>
      <c r="R60" s="114">
        <v>56490800</v>
      </c>
      <c r="S60" s="114">
        <v>49293350</v>
      </c>
      <c r="T60" s="114">
        <v>6601300</v>
      </c>
      <c r="U60" s="114">
        <v>41988400</v>
      </c>
      <c r="V60" s="114">
        <v>111459400</v>
      </c>
      <c r="W60" s="114">
        <v>8687400</v>
      </c>
      <c r="X60" s="114">
        <v>56490800</v>
      </c>
      <c r="Y60" s="114">
        <v>49293350</v>
      </c>
      <c r="Z60" s="114">
        <v>6601300</v>
      </c>
      <c r="AA60" s="114">
        <v>41988400</v>
      </c>
      <c r="AB60" s="114">
        <v>-21980300</v>
      </c>
      <c r="AC60" s="114">
        <v>-5541188</v>
      </c>
      <c r="AD60" s="114">
        <v>69002</v>
      </c>
      <c r="AE60" s="114">
        <v>0</v>
      </c>
      <c r="AF60" s="114">
        <v>0</v>
      </c>
      <c r="AG60" s="114">
        <v>41573</v>
      </c>
      <c r="AH60" s="114">
        <v>0</v>
      </c>
      <c r="AI60" s="114">
        <v>0</v>
      </c>
      <c r="AJ60" s="121">
        <v>0</v>
      </c>
      <c r="AK60" s="82">
        <v>1075818998</v>
      </c>
      <c r="AL60" s="83">
        <v>18502905</v>
      </c>
      <c r="AM60" s="114">
        <v>0</v>
      </c>
      <c r="AN60" s="114">
        <v>284681459</v>
      </c>
      <c r="AO60" s="114">
        <v>7054496</v>
      </c>
      <c r="AP60" s="114">
        <v>376555190</v>
      </c>
      <c r="AQ60" s="114">
        <v>242720554</v>
      </c>
      <c r="AR60" s="114">
        <v>239311303</v>
      </c>
      <c r="AS60" s="114">
        <v>206071994</v>
      </c>
      <c r="AT60" s="114">
        <v>379204</v>
      </c>
      <c r="AU60" s="114">
        <v>0</v>
      </c>
      <c r="AV60" s="114">
        <v>0</v>
      </c>
      <c r="AW60" s="114">
        <v>125087</v>
      </c>
      <c r="AX60" s="114">
        <v>367291</v>
      </c>
      <c r="AY60" s="114">
        <v>18000</v>
      </c>
      <c r="BD60" s="82">
        <v>56741502.909999996</v>
      </c>
      <c r="BE60" s="82">
        <v>28370751</v>
      </c>
      <c r="BF60" s="117">
        <v>10533679</v>
      </c>
      <c r="BG60" s="118">
        <v>15272060</v>
      </c>
      <c r="BH60" s="118">
        <v>29369347</v>
      </c>
      <c r="BI60" s="117">
        <v>170982272</v>
      </c>
      <c r="BJ60" s="117">
        <v>170982272</v>
      </c>
      <c r="BK60" s="117">
        <v>251662301</v>
      </c>
      <c r="BL60" s="117">
        <v>236869184</v>
      </c>
      <c r="BM60" s="117">
        <v>17799</v>
      </c>
      <c r="BN60" s="117">
        <v>0</v>
      </c>
      <c r="BO60" s="119"/>
      <c r="BP60" s="86">
        <f t="shared" si="4"/>
        <v>12467127045</v>
      </c>
      <c r="BQ60" s="86">
        <f t="shared" si="5"/>
        <v>10921293076</v>
      </c>
      <c r="BR60" s="87">
        <v>8128500</v>
      </c>
      <c r="BT60" s="86">
        <f t="shared" si="7"/>
        <v>10386836567</v>
      </c>
      <c r="BU60" s="82">
        <f t="shared" si="8"/>
        <v>1075818998</v>
      </c>
      <c r="BV60" s="82">
        <f t="shared" si="9"/>
        <v>18502905</v>
      </c>
      <c r="BW60" s="86">
        <f t="shared" si="10"/>
        <v>740528503</v>
      </c>
      <c r="BX60" s="86">
        <f t="shared" si="6"/>
        <v>12221686973</v>
      </c>
    </row>
    <row r="61" spans="1:76" x14ac:dyDescent="0.25">
      <c r="A61" s="91" t="s">
        <v>115</v>
      </c>
      <c r="B61" s="114">
        <v>162821434</v>
      </c>
      <c r="C61" s="114">
        <v>51703218</v>
      </c>
      <c r="D61" s="114">
        <v>76699983</v>
      </c>
      <c r="E61" s="114">
        <v>0</v>
      </c>
      <c r="F61" s="114">
        <v>40415266</v>
      </c>
      <c r="G61" s="114">
        <v>32938150</v>
      </c>
      <c r="H61" s="114">
        <v>16163937</v>
      </c>
      <c r="I61" s="114">
        <v>7052600</v>
      </c>
      <c r="J61" s="114">
        <v>150400</v>
      </c>
      <c r="K61" s="114">
        <v>37600</v>
      </c>
      <c r="L61" s="114">
        <v>68003986</v>
      </c>
      <c r="M61" s="114">
        <v>61768966</v>
      </c>
      <c r="N61" s="114">
        <v>1550</v>
      </c>
      <c r="O61" s="114">
        <v>1117</v>
      </c>
      <c r="P61" s="114">
        <v>3093200</v>
      </c>
      <c r="Q61" s="114">
        <v>999307</v>
      </c>
      <c r="R61" s="114">
        <v>339500</v>
      </c>
      <c r="S61" s="114">
        <v>3904600</v>
      </c>
      <c r="T61" s="114">
        <v>1132267</v>
      </c>
      <c r="U61" s="114">
        <v>3783000</v>
      </c>
      <c r="V61" s="114">
        <v>3093200</v>
      </c>
      <c r="W61" s="114">
        <v>1518846</v>
      </c>
      <c r="X61" s="114">
        <v>339500</v>
      </c>
      <c r="Y61" s="114">
        <v>3904600</v>
      </c>
      <c r="Z61" s="114">
        <v>1095833</v>
      </c>
      <c r="AA61" s="114">
        <v>3783000</v>
      </c>
      <c r="AB61" s="114">
        <v>-5979200</v>
      </c>
      <c r="AC61" s="114">
        <v>0</v>
      </c>
      <c r="AD61" s="114">
        <v>180817</v>
      </c>
      <c r="AE61" s="114">
        <v>0</v>
      </c>
      <c r="AF61" s="114">
        <v>0</v>
      </c>
      <c r="AG61" s="114">
        <v>126833</v>
      </c>
      <c r="AH61" s="114">
        <v>5011295.0819672132</v>
      </c>
      <c r="AI61" s="114">
        <v>78408254.098360658</v>
      </c>
      <c r="AJ61" s="121">
        <v>12749521.311475411</v>
      </c>
      <c r="AK61" s="82">
        <v>96597690</v>
      </c>
      <c r="AL61" s="83">
        <v>1642443</v>
      </c>
      <c r="AM61" s="114">
        <v>85000</v>
      </c>
      <c r="AN61" s="114">
        <v>22544674</v>
      </c>
      <c r="AO61" s="114">
        <v>123088</v>
      </c>
      <c r="AP61" s="114">
        <v>9065564</v>
      </c>
      <c r="AQ61" s="114">
        <v>4273313</v>
      </c>
      <c r="AR61" s="114">
        <v>2230086</v>
      </c>
      <c r="AS61" s="114">
        <v>0</v>
      </c>
      <c r="AT61" s="114">
        <v>0</v>
      </c>
      <c r="AU61" s="114">
        <v>0</v>
      </c>
      <c r="AV61" s="114">
        <v>0</v>
      </c>
      <c r="AW61" s="114">
        <v>0</v>
      </c>
      <c r="AX61" s="114">
        <v>0</v>
      </c>
      <c r="AY61" s="114">
        <v>0</v>
      </c>
      <c r="BD61" s="82">
        <v>5094814.3899999997</v>
      </c>
      <c r="BE61" s="82">
        <v>2547407</v>
      </c>
      <c r="BF61" s="117">
        <v>0</v>
      </c>
      <c r="BG61" s="118">
        <v>1361040</v>
      </c>
      <c r="BH61" s="118">
        <v>2617384</v>
      </c>
      <c r="BI61" s="117">
        <v>38545471</v>
      </c>
      <c r="BJ61" s="117">
        <v>38545471</v>
      </c>
      <c r="BK61" s="117">
        <v>91775398.25</v>
      </c>
      <c r="BL61" s="117">
        <v>90848820.25</v>
      </c>
      <c r="BM61" s="117">
        <v>0</v>
      </c>
      <c r="BN61" s="117">
        <v>0</v>
      </c>
      <c r="BO61" s="119"/>
      <c r="BP61" s="86">
        <f t="shared" si="4"/>
        <v>645877651.74180329</v>
      </c>
      <c r="BQ61" s="86">
        <f t="shared" si="5"/>
        <v>414334780.49180329</v>
      </c>
      <c r="BR61" s="87">
        <v>2290650</v>
      </c>
      <c r="BT61" s="86">
        <f t="shared" si="7"/>
        <v>291224635</v>
      </c>
      <c r="BU61" s="82">
        <f t="shared" si="8"/>
        <v>96597690</v>
      </c>
      <c r="BV61" s="82">
        <f t="shared" si="9"/>
        <v>1642443</v>
      </c>
      <c r="BW61" s="86">
        <f t="shared" si="10"/>
        <v>26941075</v>
      </c>
      <c r="BX61" s="86">
        <f t="shared" si="6"/>
        <v>416405843</v>
      </c>
    </row>
    <row r="62" spans="1:76" x14ac:dyDescent="0.25">
      <c r="A62" s="91" t="s">
        <v>116</v>
      </c>
      <c r="B62" s="114">
        <v>513161154</v>
      </c>
      <c r="C62" s="114">
        <v>93594774</v>
      </c>
      <c r="D62" s="114">
        <v>236590195</v>
      </c>
      <c r="E62" s="114">
        <v>0</v>
      </c>
      <c r="F62" s="114">
        <v>78129184</v>
      </c>
      <c r="G62" s="114">
        <v>28468709</v>
      </c>
      <c r="H62" s="114">
        <v>17449008</v>
      </c>
      <c r="I62" s="114">
        <v>4335623</v>
      </c>
      <c r="J62" s="114">
        <v>338400</v>
      </c>
      <c r="K62" s="114">
        <v>112800</v>
      </c>
      <c r="L62" s="114">
        <v>159912536</v>
      </c>
      <c r="M62" s="114">
        <v>81930409</v>
      </c>
      <c r="N62" s="114">
        <v>3018</v>
      </c>
      <c r="O62" s="114">
        <v>1201</v>
      </c>
      <c r="P62" s="114">
        <v>7642433</v>
      </c>
      <c r="Q62" s="114">
        <v>3673351</v>
      </c>
      <c r="R62" s="114">
        <v>1136500</v>
      </c>
      <c r="S62" s="114">
        <v>5645021</v>
      </c>
      <c r="T62" s="114">
        <v>1184050</v>
      </c>
      <c r="U62" s="114">
        <v>247130</v>
      </c>
      <c r="V62" s="114">
        <v>7642433</v>
      </c>
      <c r="W62" s="114">
        <v>4039350</v>
      </c>
      <c r="X62" s="114">
        <v>1136500</v>
      </c>
      <c r="Y62" s="114">
        <v>5645021</v>
      </c>
      <c r="Z62" s="114">
        <v>803100</v>
      </c>
      <c r="AA62" s="114">
        <v>247130</v>
      </c>
      <c r="AB62" s="114">
        <v>-4942791</v>
      </c>
      <c r="AC62" s="114">
        <v>-116973</v>
      </c>
      <c r="AD62" s="114">
        <v>141174</v>
      </c>
      <c r="AE62" s="114">
        <v>0</v>
      </c>
      <c r="AF62" s="114">
        <v>0</v>
      </c>
      <c r="AG62" s="114">
        <v>0</v>
      </c>
      <c r="AH62" s="114">
        <v>13333655.737704918</v>
      </c>
      <c r="AI62" s="114">
        <v>10516114.754098361</v>
      </c>
      <c r="AJ62" s="121">
        <v>1065434.43</v>
      </c>
      <c r="AK62" s="82">
        <v>169319412</v>
      </c>
      <c r="AL62" s="83">
        <v>3703643</v>
      </c>
      <c r="AM62" s="114">
        <v>0</v>
      </c>
      <c r="AN62" s="114">
        <v>36924866</v>
      </c>
      <c r="AO62" s="114">
        <v>4664799</v>
      </c>
      <c r="AP62" s="114">
        <v>48932218</v>
      </c>
      <c r="AQ62" s="114">
        <v>31860681</v>
      </c>
      <c r="AR62" s="114">
        <v>58739255</v>
      </c>
      <c r="AS62" s="114">
        <v>13346192</v>
      </c>
      <c r="AT62" s="114">
        <v>413597</v>
      </c>
      <c r="AU62" s="114">
        <v>0</v>
      </c>
      <c r="AV62" s="114">
        <v>0</v>
      </c>
      <c r="AW62" s="114">
        <v>0</v>
      </c>
      <c r="AX62" s="114">
        <v>191077</v>
      </c>
      <c r="AY62" s="114">
        <v>45000</v>
      </c>
      <c r="BD62" s="82">
        <v>8930347.8800000008</v>
      </c>
      <c r="BE62" s="82">
        <v>4465174</v>
      </c>
      <c r="BF62" s="117">
        <v>0</v>
      </c>
      <c r="BG62" s="118">
        <v>3379416</v>
      </c>
      <c r="BH62" s="118">
        <v>6498878</v>
      </c>
      <c r="BI62" s="117">
        <v>24849822</v>
      </c>
      <c r="BJ62" s="117">
        <v>24849822</v>
      </c>
      <c r="BK62" s="117">
        <v>64799677.75</v>
      </c>
      <c r="BL62" s="117">
        <v>60571656.75</v>
      </c>
      <c r="BM62" s="117">
        <v>0</v>
      </c>
      <c r="BN62" s="117">
        <v>0</v>
      </c>
      <c r="BO62" s="119"/>
      <c r="BP62" s="86">
        <f t="shared" si="4"/>
        <v>1208000797.6718032</v>
      </c>
      <c r="BQ62" s="86">
        <f t="shared" si="5"/>
        <v>941711673.92180324</v>
      </c>
      <c r="BR62" s="87">
        <v>500090</v>
      </c>
      <c r="BT62" s="86">
        <f t="shared" si="7"/>
        <v>843346123</v>
      </c>
      <c r="BU62" s="82">
        <f t="shared" si="8"/>
        <v>169319412</v>
      </c>
      <c r="BV62" s="82">
        <f t="shared" si="9"/>
        <v>3703643</v>
      </c>
      <c r="BW62" s="86">
        <f t="shared" si="10"/>
        <v>86796538</v>
      </c>
      <c r="BX62" s="86">
        <f t="shared" si="6"/>
        <v>1103165716</v>
      </c>
    </row>
    <row r="63" spans="1:76" x14ac:dyDescent="0.25">
      <c r="A63" s="91" t="s">
        <v>117</v>
      </c>
      <c r="B63" s="114">
        <v>347574268</v>
      </c>
      <c r="C63" s="114">
        <v>150651366</v>
      </c>
      <c r="D63" s="114">
        <v>69261521</v>
      </c>
      <c r="E63" s="114">
        <v>0</v>
      </c>
      <c r="F63" s="114">
        <v>38936848</v>
      </c>
      <c r="G63" s="114">
        <v>8873022</v>
      </c>
      <c r="H63" s="114">
        <v>14607940</v>
      </c>
      <c r="I63" s="114">
        <v>1262750</v>
      </c>
      <c r="J63" s="114">
        <v>218000</v>
      </c>
      <c r="K63" s="114">
        <v>37600</v>
      </c>
      <c r="L63" s="114">
        <v>351106170</v>
      </c>
      <c r="M63" s="114">
        <v>111328907</v>
      </c>
      <c r="N63" s="114">
        <v>1473</v>
      </c>
      <c r="O63" s="114">
        <v>294</v>
      </c>
      <c r="P63" s="114">
        <v>13587487</v>
      </c>
      <c r="Q63" s="114">
        <v>2742300</v>
      </c>
      <c r="R63" s="114">
        <v>836000</v>
      </c>
      <c r="S63" s="114">
        <v>3885819</v>
      </c>
      <c r="T63" s="114">
        <v>6654337</v>
      </c>
      <c r="U63" s="114">
        <v>19654686</v>
      </c>
      <c r="V63" s="114">
        <v>13587487</v>
      </c>
      <c r="W63" s="114">
        <v>5988914</v>
      </c>
      <c r="X63" s="114">
        <v>836000</v>
      </c>
      <c r="Y63" s="114">
        <v>3885819</v>
      </c>
      <c r="Z63" s="114">
        <v>9355019</v>
      </c>
      <c r="AA63" s="114">
        <v>19654686</v>
      </c>
      <c r="AB63" s="114">
        <v>-1698058</v>
      </c>
      <c r="AC63" s="114">
        <v>-54955</v>
      </c>
      <c r="AD63" s="114">
        <v>0</v>
      </c>
      <c r="AE63" s="114">
        <v>0</v>
      </c>
      <c r="AF63" s="114">
        <v>0</v>
      </c>
      <c r="AG63" s="114">
        <v>0</v>
      </c>
      <c r="AH63" s="114">
        <v>48024.59016393443</v>
      </c>
      <c r="AI63" s="114">
        <v>0</v>
      </c>
      <c r="AJ63" s="121">
        <v>0</v>
      </c>
      <c r="AK63" s="82">
        <v>94962867</v>
      </c>
      <c r="AL63" s="83">
        <v>2408842</v>
      </c>
      <c r="AM63" s="114">
        <v>0</v>
      </c>
      <c r="AN63" s="114">
        <v>11228938</v>
      </c>
      <c r="AO63" s="114">
        <v>285814</v>
      </c>
      <c r="AP63" s="114">
        <v>13088579</v>
      </c>
      <c r="AQ63" s="114">
        <v>13244189</v>
      </c>
      <c r="AR63" s="114">
        <v>11829420</v>
      </c>
      <c r="AS63" s="114">
        <v>3021763</v>
      </c>
      <c r="AT63" s="114">
        <v>3953031</v>
      </c>
      <c r="AU63" s="114">
        <v>0</v>
      </c>
      <c r="AV63" s="114">
        <v>387005</v>
      </c>
      <c r="AW63" s="114">
        <v>0</v>
      </c>
      <c r="AX63" s="114">
        <v>2276</v>
      </c>
      <c r="AY63" s="114">
        <v>51400</v>
      </c>
      <c r="BD63" s="82">
        <v>5008589.55</v>
      </c>
      <c r="BE63" s="82">
        <v>2504295</v>
      </c>
      <c r="BF63" s="117">
        <v>0</v>
      </c>
      <c r="BG63" s="118">
        <v>91235</v>
      </c>
      <c r="BH63" s="118">
        <v>175451</v>
      </c>
      <c r="BI63" s="117">
        <v>14854031</v>
      </c>
      <c r="BJ63" s="117">
        <v>14854031</v>
      </c>
      <c r="BK63" s="117">
        <v>60616926.25</v>
      </c>
      <c r="BL63" s="117">
        <v>60561799.25</v>
      </c>
      <c r="BM63" s="117">
        <v>0</v>
      </c>
      <c r="BN63" s="117">
        <v>0</v>
      </c>
      <c r="BO63" s="119"/>
      <c r="BP63" s="86">
        <f t="shared" si="4"/>
        <v>767677189.84016395</v>
      </c>
      <c r="BQ63" s="86">
        <f t="shared" si="5"/>
        <v>592294120.59016395</v>
      </c>
      <c r="BR63" s="87">
        <v>2287292</v>
      </c>
      <c r="BT63" s="86">
        <f t="shared" si="7"/>
        <v>567487155</v>
      </c>
      <c r="BU63" s="82">
        <f t="shared" si="8"/>
        <v>94962867</v>
      </c>
      <c r="BV63" s="82">
        <f t="shared" si="9"/>
        <v>2408842</v>
      </c>
      <c r="BW63" s="86">
        <f t="shared" si="10"/>
        <v>27780704</v>
      </c>
      <c r="BX63" s="86">
        <f t="shared" si="6"/>
        <v>692639568</v>
      </c>
    </row>
    <row r="64" spans="1:76" x14ac:dyDescent="0.25">
      <c r="A64" s="91" t="s">
        <v>118</v>
      </c>
      <c r="B64" s="114">
        <v>1473384838</v>
      </c>
      <c r="C64" s="114">
        <v>200660268</v>
      </c>
      <c r="D64" s="114">
        <v>724563282</v>
      </c>
      <c r="E64" s="114">
        <v>35428956</v>
      </c>
      <c r="F64" s="114">
        <v>151832592</v>
      </c>
      <c r="G64" s="114">
        <v>49790895</v>
      </c>
      <c r="H64" s="114">
        <v>29212591</v>
      </c>
      <c r="I64" s="114">
        <v>5132141</v>
      </c>
      <c r="J64" s="114">
        <v>263200</v>
      </c>
      <c r="K64" s="114">
        <v>74100</v>
      </c>
      <c r="L64" s="114">
        <v>422134209</v>
      </c>
      <c r="M64" s="114">
        <v>180791500</v>
      </c>
      <c r="N64" s="114">
        <v>5203</v>
      </c>
      <c r="O64" s="114">
        <v>1738</v>
      </c>
      <c r="P64" s="114">
        <v>9635400</v>
      </c>
      <c r="Q64" s="114">
        <v>4974600</v>
      </c>
      <c r="R64" s="114">
        <v>8055200</v>
      </c>
      <c r="S64" s="114">
        <v>7257210</v>
      </c>
      <c r="T64" s="114">
        <v>1160520</v>
      </c>
      <c r="U64" s="114">
        <v>5781710</v>
      </c>
      <c r="V64" s="114">
        <v>9635400</v>
      </c>
      <c r="W64" s="114">
        <v>4862200</v>
      </c>
      <c r="X64" s="114">
        <v>8055200</v>
      </c>
      <c r="Y64" s="114">
        <v>7257210</v>
      </c>
      <c r="Z64" s="114">
        <v>1630900</v>
      </c>
      <c r="AA64" s="114">
        <v>5781710</v>
      </c>
      <c r="AB64" s="114">
        <v>-8066550</v>
      </c>
      <c r="AC64" s="114">
        <v>37146</v>
      </c>
      <c r="AD64" s="114">
        <v>92683</v>
      </c>
      <c r="AE64" s="114">
        <v>0</v>
      </c>
      <c r="AF64" s="114">
        <v>0</v>
      </c>
      <c r="AG64" s="114">
        <v>165729</v>
      </c>
      <c r="AH64" s="114">
        <v>86688.524590163943</v>
      </c>
      <c r="AI64" s="114">
        <v>54319.672131147541</v>
      </c>
      <c r="AJ64" s="121">
        <v>1026.2295081967213</v>
      </c>
      <c r="AK64" s="82">
        <v>406216259</v>
      </c>
      <c r="AL64" s="83">
        <v>16523136</v>
      </c>
      <c r="AM64" s="114">
        <v>1532091</v>
      </c>
      <c r="AN64" s="114">
        <v>150700996</v>
      </c>
      <c r="AO64" s="114">
        <v>31856605</v>
      </c>
      <c r="AP64" s="114">
        <v>204062024</v>
      </c>
      <c r="AQ64" s="114">
        <v>136191499</v>
      </c>
      <c r="AR64" s="114">
        <v>113728887</v>
      </c>
      <c r="AS64" s="114">
        <v>34770125</v>
      </c>
      <c r="AT64" s="114">
        <v>2363500</v>
      </c>
      <c r="AU64" s="114">
        <v>0</v>
      </c>
      <c r="AV64" s="114">
        <v>36510</v>
      </c>
      <c r="AW64" s="114">
        <v>13237708</v>
      </c>
      <c r="AX64" s="114">
        <v>1232530</v>
      </c>
      <c r="AY64" s="114">
        <v>7165824</v>
      </c>
      <c r="BD64" s="82">
        <v>21424906.129999999</v>
      </c>
      <c r="BE64" s="82">
        <v>10712453</v>
      </c>
      <c r="BF64" s="117">
        <v>0</v>
      </c>
      <c r="BG64" s="118">
        <v>2816305</v>
      </c>
      <c r="BH64" s="118">
        <v>5415971</v>
      </c>
      <c r="BI64" s="117">
        <v>28714536</v>
      </c>
      <c r="BJ64" s="117">
        <v>28714536</v>
      </c>
      <c r="BK64" s="117">
        <v>125962919.25</v>
      </c>
      <c r="BL64" s="117">
        <v>118328404.25</v>
      </c>
      <c r="BM64" s="117">
        <v>0</v>
      </c>
      <c r="BN64" s="117">
        <v>0</v>
      </c>
      <c r="BO64" s="119"/>
      <c r="BP64" s="86">
        <f t="shared" si="4"/>
        <v>3300810615.6762295</v>
      </c>
      <c r="BQ64" s="86">
        <f t="shared" si="5"/>
        <v>2717499522.4262295</v>
      </c>
      <c r="BR64" s="87">
        <v>2837532</v>
      </c>
      <c r="BT64" s="86">
        <f t="shared" si="7"/>
        <v>2398608388</v>
      </c>
      <c r="BU64" s="82">
        <f t="shared" si="8"/>
        <v>406216259</v>
      </c>
      <c r="BV64" s="82">
        <f t="shared" si="9"/>
        <v>16523136</v>
      </c>
      <c r="BW64" s="86">
        <f t="shared" si="10"/>
        <v>353519225</v>
      </c>
      <c r="BX64" s="86">
        <f t="shared" si="6"/>
        <v>3174867008</v>
      </c>
    </row>
    <row r="65" spans="1:76" x14ac:dyDescent="0.25">
      <c r="A65" s="91" t="s">
        <v>119</v>
      </c>
      <c r="B65" s="114">
        <v>249723082</v>
      </c>
      <c r="C65" s="114">
        <v>104583368</v>
      </c>
      <c r="D65" s="114">
        <v>101087767</v>
      </c>
      <c r="E65" s="114">
        <v>0</v>
      </c>
      <c r="F65" s="114">
        <v>29234015</v>
      </c>
      <c r="G65" s="114">
        <v>19165150</v>
      </c>
      <c r="H65" s="114">
        <v>16289093</v>
      </c>
      <c r="I65" s="114">
        <v>6584864</v>
      </c>
      <c r="J65" s="114">
        <v>300800</v>
      </c>
      <c r="K65" s="114">
        <v>37500</v>
      </c>
      <c r="L65" s="114">
        <v>114793019</v>
      </c>
      <c r="M65" s="114">
        <v>81341450</v>
      </c>
      <c r="N65" s="114">
        <v>1399</v>
      </c>
      <c r="O65" s="114">
        <v>848</v>
      </c>
      <c r="P65" s="114">
        <v>3533000</v>
      </c>
      <c r="Q65" s="114">
        <v>1365900</v>
      </c>
      <c r="R65" s="114">
        <v>563000</v>
      </c>
      <c r="S65" s="114">
        <v>633200</v>
      </c>
      <c r="T65" s="114">
        <v>203700</v>
      </c>
      <c r="U65" s="114">
        <v>156337</v>
      </c>
      <c r="V65" s="114">
        <v>3533000</v>
      </c>
      <c r="W65" s="114">
        <v>1430000</v>
      </c>
      <c r="X65" s="114">
        <v>563000</v>
      </c>
      <c r="Y65" s="114">
        <v>633200</v>
      </c>
      <c r="Z65" s="114">
        <v>532700</v>
      </c>
      <c r="AA65" s="114">
        <v>156337</v>
      </c>
      <c r="AB65" s="114">
        <v>-3575827</v>
      </c>
      <c r="AC65" s="114">
        <v>0</v>
      </c>
      <c r="AD65" s="114">
        <v>192494</v>
      </c>
      <c r="AE65" s="114">
        <v>0</v>
      </c>
      <c r="AF65" s="114">
        <v>0</v>
      </c>
      <c r="AG65" s="114">
        <v>223100</v>
      </c>
      <c r="AH65" s="114">
        <v>56634565.573770493</v>
      </c>
      <c r="AI65" s="114">
        <v>10968688.524590164</v>
      </c>
      <c r="AJ65" s="121">
        <v>961459.01639344264</v>
      </c>
      <c r="AK65" s="82">
        <v>99574845</v>
      </c>
      <c r="AL65" s="83">
        <v>3511214</v>
      </c>
      <c r="AM65" s="114">
        <v>370934</v>
      </c>
      <c r="AN65" s="114">
        <v>32486026</v>
      </c>
      <c r="AO65" s="114">
        <v>351782</v>
      </c>
      <c r="AP65" s="114">
        <v>6385828</v>
      </c>
      <c r="AQ65" s="114">
        <v>19788908</v>
      </c>
      <c r="AR65" s="114">
        <v>2256478</v>
      </c>
      <c r="AS65" s="114">
        <v>37</v>
      </c>
      <c r="AT65" s="114">
        <v>340557</v>
      </c>
      <c r="AU65" s="114">
        <v>0</v>
      </c>
      <c r="AV65" s="114">
        <v>0</v>
      </c>
      <c r="AW65" s="114">
        <v>0</v>
      </c>
      <c r="AX65" s="114">
        <v>0</v>
      </c>
      <c r="AY65" s="114">
        <v>3000</v>
      </c>
      <c r="BD65" s="82">
        <v>5251837.3099999996</v>
      </c>
      <c r="BE65" s="82">
        <v>2625919</v>
      </c>
      <c r="BF65" s="117">
        <v>0</v>
      </c>
      <c r="BG65" s="118">
        <v>3481868</v>
      </c>
      <c r="BH65" s="118">
        <v>6695900</v>
      </c>
      <c r="BI65" s="117">
        <v>76380175</v>
      </c>
      <c r="BJ65" s="117">
        <v>76380175</v>
      </c>
      <c r="BK65" s="117">
        <v>103557659</v>
      </c>
      <c r="BL65" s="117">
        <v>99373165</v>
      </c>
      <c r="BM65" s="117">
        <v>0</v>
      </c>
      <c r="BN65" s="117">
        <v>0</v>
      </c>
      <c r="BO65" s="119"/>
      <c r="BP65" s="86">
        <f t="shared" si="4"/>
        <v>861532832.11475408</v>
      </c>
      <c r="BQ65" s="86">
        <f t="shared" si="5"/>
        <v>576585646.11475408</v>
      </c>
      <c r="BR65" s="87">
        <v>619500</v>
      </c>
      <c r="BT65" s="86">
        <f t="shared" si="7"/>
        <v>455394217</v>
      </c>
      <c r="BU65" s="82">
        <f t="shared" si="8"/>
        <v>99574845</v>
      </c>
      <c r="BV65" s="82">
        <f t="shared" si="9"/>
        <v>3511214</v>
      </c>
      <c r="BW65" s="86">
        <f t="shared" si="10"/>
        <v>52626753</v>
      </c>
      <c r="BX65" s="86">
        <f t="shared" si="6"/>
        <v>611107029</v>
      </c>
    </row>
    <row r="66" spans="1:76" x14ac:dyDescent="0.25">
      <c r="A66" s="91" t="s">
        <v>120</v>
      </c>
      <c r="B66" s="114">
        <v>91439559</v>
      </c>
      <c r="C66" s="114">
        <v>42510373</v>
      </c>
      <c r="D66" s="114">
        <v>53723548</v>
      </c>
      <c r="E66" s="114">
        <v>0</v>
      </c>
      <c r="F66" s="114">
        <v>15271050</v>
      </c>
      <c r="G66" s="114">
        <v>8985778</v>
      </c>
      <c r="H66" s="114">
        <v>6812219</v>
      </c>
      <c r="I66" s="114">
        <v>2360253</v>
      </c>
      <c r="J66" s="114">
        <v>0</v>
      </c>
      <c r="K66" s="114">
        <v>0</v>
      </c>
      <c r="L66" s="114">
        <v>60739077</v>
      </c>
      <c r="M66" s="114">
        <v>28748980</v>
      </c>
      <c r="N66" s="114">
        <v>697</v>
      </c>
      <c r="O66" s="114">
        <v>439</v>
      </c>
      <c r="P66" s="114">
        <v>1455000</v>
      </c>
      <c r="Q66" s="114">
        <v>809175</v>
      </c>
      <c r="R66" s="114">
        <v>101100</v>
      </c>
      <c r="S66" s="114">
        <v>871700</v>
      </c>
      <c r="T66" s="114">
        <v>490250</v>
      </c>
      <c r="U66" s="114">
        <v>471500</v>
      </c>
      <c r="V66" s="114">
        <v>1455000</v>
      </c>
      <c r="W66" s="114">
        <v>1138800</v>
      </c>
      <c r="X66" s="114">
        <v>101100</v>
      </c>
      <c r="Y66" s="114">
        <v>871700</v>
      </c>
      <c r="Z66" s="114">
        <v>441750</v>
      </c>
      <c r="AA66" s="114">
        <v>471500</v>
      </c>
      <c r="AB66" s="114">
        <v>-811300</v>
      </c>
      <c r="AC66" s="114">
        <v>-23324</v>
      </c>
      <c r="AD66" s="114">
        <v>94985</v>
      </c>
      <c r="AE66" s="114">
        <v>0</v>
      </c>
      <c r="AF66" s="114">
        <v>0</v>
      </c>
      <c r="AG66" s="114">
        <v>106982</v>
      </c>
      <c r="AH66" s="114">
        <v>17803270.491803281</v>
      </c>
      <c r="AI66" s="114">
        <v>0</v>
      </c>
      <c r="AJ66" s="121">
        <v>0</v>
      </c>
      <c r="AK66" s="82">
        <v>34572931</v>
      </c>
      <c r="AL66" s="83">
        <v>653874</v>
      </c>
      <c r="AM66" s="114">
        <v>0</v>
      </c>
      <c r="AN66" s="114">
        <v>8062937</v>
      </c>
      <c r="AO66" s="114">
        <v>226996</v>
      </c>
      <c r="AP66" s="114">
        <v>1178725</v>
      </c>
      <c r="AQ66" s="114">
        <v>5919111</v>
      </c>
      <c r="AR66" s="114">
        <v>689800</v>
      </c>
      <c r="AS66" s="114">
        <v>0</v>
      </c>
      <c r="AT66" s="114">
        <v>57393</v>
      </c>
      <c r="AU66" s="114">
        <v>0</v>
      </c>
      <c r="AV66" s="114">
        <v>0</v>
      </c>
      <c r="AW66" s="114">
        <v>0</v>
      </c>
      <c r="AX66" s="114">
        <v>0</v>
      </c>
      <c r="AY66" s="114">
        <v>40000</v>
      </c>
      <c r="BD66" s="82">
        <v>1823466.65</v>
      </c>
      <c r="BE66" s="82">
        <v>911733</v>
      </c>
      <c r="BF66" s="117">
        <v>0</v>
      </c>
      <c r="BG66" s="118">
        <v>2499975</v>
      </c>
      <c r="BH66" s="118">
        <v>4807645</v>
      </c>
      <c r="BI66" s="117">
        <v>15063943</v>
      </c>
      <c r="BJ66" s="117">
        <v>15063943</v>
      </c>
      <c r="BK66" s="117">
        <v>32068216.75</v>
      </c>
      <c r="BL66" s="117">
        <v>25864439.75</v>
      </c>
      <c r="BM66" s="117">
        <v>0</v>
      </c>
      <c r="BN66" s="117">
        <v>0</v>
      </c>
      <c r="BO66" s="119"/>
      <c r="BP66" s="86">
        <f t="shared" si="4"/>
        <v>299252690.24180329</v>
      </c>
      <c r="BQ66" s="86">
        <f t="shared" si="5"/>
        <v>219685794.49180329</v>
      </c>
      <c r="BR66" s="87">
        <v>209000</v>
      </c>
      <c r="BT66" s="86">
        <f t="shared" ref="BT66:BT97" si="11">B66+C66+D66</f>
        <v>187673480</v>
      </c>
      <c r="BU66" s="82">
        <f t="shared" ref="BU66:BU97" si="12">AK66</f>
        <v>34572931</v>
      </c>
      <c r="BV66" s="82">
        <f t="shared" ref="BV66:BV97" si="13">AL66</f>
        <v>653874</v>
      </c>
      <c r="BW66" s="86">
        <f t="shared" ref="BW66:BW97" si="14">AN66+AO66+AQ66+AS66</f>
        <v>14209044</v>
      </c>
      <c r="BX66" s="86">
        <f t="shared" si="6"/>
        <v>237109329</v>
      </c>
    </row>
    <row r="67" spans="1:76" x14ac:dyDescent="0.25">
      <c r="A67" s="91" t="s">
        <v>121</v>
      </c>
      <c r="B67" s="114">
        <v>114925969</v>
      </c>
      <c r="C67" s="114">
        <v>56158122</v>
      </c>
      <c r="D67" s="114">
        <v>31805885</v>
      </c>
      <c r="E67" s="114">
        <v>0</v>
      </c>
      <c r="F67" s="114">
        <v>23357295</v>
      </c>
      <c r="G67" s="114">
        <v>25465496</v>
      </c>
      <c r="H67" s="114">
        <v>6808706</v>
      </c>
      <c r="I67" s="114">
        <v>3544509</v>
      </c>
      <c r="J67" s="114">
        <v>112800</v>
      </c>
      <c r="K67" s="114">
        <v>0</v>
      </c>
      <c r="L67" s="114">
        <v>43085275</v>
      </c>
      <c r="M67" s="114">
        <v>0</v>
      </c>
      <c r="N67" s="114">
        <v>1014</v>
      </c>
      <c r="O67" s="114">
        <v>1056</v>
      </c>
      <c r="P67" s="114">
        <v>1114300</v>
      </c>
      <c r="Q67" s="114">
        <v>225500</v>
      </c>
      <c r="R67" s="114">
        <v>0</v>
      </c>
      <c r="S67" s="114">
        <v>2952100</v>
      </c>
      <c r="T67" s="114">
        <v>442473</v>
      </c>
      <c r="U67" s="114">
        <v>338550</v>
      </c>
      <c r="V67" s="114">
        <v>1114300</v>
      </c>
      <c r="W67" s="114">
        <v>175400</v>
      </c>
      <c r="X67" s="114">
        <v>0</v>
      </c>
      <c r="Y67" s="114">
        <v>2952100</v>
      </c>
      <c r="Z67" s="114">
        <v>465691</v>
      </c>
      <c r="AA67" s="114">
        <v>338550</v>
      </c>
      <c r="AB67" s="114">
        <v>-1895851</v>
      </c>
      <c r="AC67" s="114">
        <v>-47000</v>
      </c>
      <c r="AD67" s="114">
        <v>178547</v>
      </c>
      <c r="AE67" s="114">
        <v>0</v>
      </c>
      <c r="AF67" s="114">
        <v>0</v>
      </c>
      <c r="AG67" s="114">
        <v>189060</v>
      </c>
      <c r="AH67" s="114">
        <v>22598631.147540987</v>
      </c>
      <c r="AI67" s="114">
        <v>10058745.901639344</v>
      </c>
      <c r="AJ67" s="121">
        <v>25758594.260000002</v>
      </c>
      <c r="AK67" s="82">
        <v>68367787</v>
      </c>
      <c r="AL67" s="83">
        <v>2586746</v>
      </c>
      <c r="AM67" s="114">
        <v>0</v>
      </c>
      <c r="AN67" s="114">
        <v>30099269</v>
      </c>
      <c r="AO67" s="114">
        <v>357422</v>
      </c>
      <c r="AP67" s="114">
        <v>265777</v>
      </c>
      <c r="AQ67" s="114">
        <v>3604044</v>
      </c>
      <c r="AR67" s="114">
        <v>1493147</v>
      </c>
      <c r="AS67" s="114">
        <v>0</v>
      </c>
      <c r="AT67" s="114">
        <v>9543</v>
      </c>
      <c r="AU67" s="114">
        <v>0</v>
      </c>
      <c r="AV67" s="114">
        <v>0</v>
      </c>
      <c r="AW67" s="114">
        <v>0</v>
      </c>
      <c r="AX67" s="114">
        <v>861</v>
      </c>
      <c r="AY67" s="114">
        <v>0</v>
      </c>
      <c r="BD67" s="82">
        <v>3605895.59</v>
      </c>
      <c r="BE67" s="82">
        <v>1802948</v>
      </c>
      <c r="BF67" s="117">
        <v>0</v>
      </c>
      <c r="BG67" s="118">
        <v>0</v>
      </c>
      <c r="BH67" s="118">
        <v>0</v>
      </c>
      <c r="BI67" s="117">
        <v>6965349</v>
      </c>
      <c r="BJ67" s="117">
        <v>6965349</v>
      </c>
      <c r="BK67" s="117">
        <v>47006597.5</v>
      </c>
      <c r="BL67" s="117">
        <v>46644507.5</v>
      </c>
      <c r="BM67" s="117">
        <v>0</v>
      </c>
      <c r="BN67" s="117">
        <v>0</v>
      </c>
      <c r="BO67" s="119"/>
      <c r="BP67" s="86">
        <f t="shared" ref="BP67:BP121" si="15">B67+C67+D67+AH67+AI67+AJ67+AK67+AL67+AN67+AO67+AQ67+BE67+BG67+BJ67+BL67+BM67+BN67+BO67</f>
        <v>421734019.80918032</v>
      </c>
      <c r="BQ67" s="86">
        <f t="shared" ref="BQ67:BQ120" si="16">B67+C67+D67+AH67+AI67+AJ67+AN67+AO67+AQ67</f>
        <v>295366682.30918032</v>
      </c>
      <c r="BR67" s="87">
        <v>542535</v>
      </c>
      <c r="BT67" s="86">
        <f t="shared" si="11"/>
        <v>202889976</v>
      </c>
      <c r="BU67" s="82">
        <f t="shared" si="12"/>
        <v>68367787</v>
      </c>
      <c r="BV67" s="82">
        <f t="shared" si="13"/>
        <v>2586746</v>
      </c>
      <c r="BW67" s="86">
        <f t="shared" si="14"/>
        <v>34060735</v>
      </c>
      <c r="BX67" s="86">
        <f t="shared" ref="BX67:BX121" si="17">SUM(BT67:BW67)</f>
        <v>307905244</v>
      </c>
    </row>
    <row r="68" spans="1:76" x14ac:dyDescent="0.25">
      <c r="A68" s="91" t="s">
        <v>122</v>
      </c>
      <c r="B68" s="114">
        <v>217712853</v>
      </c>
      <c r="C68" s="114">
        <v>45559226</v>
      </c>
      <c r="D68" s="114">
        <v>113358738</v>
      </c>
      <c r="E68" s="114">
        <v>0</v>
      </c>
      <c r="F68" s="114">
        <v>57281400</v>
      </c>
      <c r="G68" s="114">
        <v>29449500</v>
      </c>
      <c r="H68" s="114">
        <v>14895200</v>
      </c>
      <c r="I68" s="114">
        <v>4666950</v>
      </c>
      <c r="J68" s="114">
        <v>0</v>
      </c>
      <c r="K68" s="114">
        <v>0</v>
      </c>
      <c r="L68" s="114">
        <v>73490834</v>
      </c>
      <c r="M68" s="114">
        <v>56916</v>
      </c>
      <c r="N68" s="114">
        <v>2652</v>
      </c>
      <c r="O68" s="114">
        <v>1304</v>
      </c>
      <c r="P68" s="114">
        <v>2236900</v>
      </c>
      <c r="Q68" s="114">
        <v>0</v>
      </c>
      <c r="R68" s="114">
        <v>1831800</v>
      </c>
      <c r="S68" s="114">
        <v>2954250</v>
      </c>
      <c r="T68" s="114">
        <v>235500</v>
      </c>
      <c r="U68" s="114">
        <v>2414000</v>
      </c>
      <c r="V68" s="114">
        <v>2236900</v>
      </c>
      <c r="W68" s="114">
        <v>0</v>
      </c>
      <c r="X68" s="114">
        <v>1831800</v>
      </c>
      <c r="Y68" s="114">
        <v>2954250</v>
      </c>
      <c r="Z68" s="114">
        <v>342000</v>
      </c>
      <c r="AA68" s="114">
        <v>2414000</v>
      </c>
      <c r="AB68" s="114">
        <v>-6765700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4">
        <v>14822631.147540985</v>
      </c>
      <c r="AI68" s="114">
        <v>68406877.049180314</v>
      </c>
      <c r="AJ68" s="121">
        <v>10284275.409836067</v>
      </c>
      <c r="AK68" s="82">
        <v>131654914</v>
      </c>
      <c r="AL68" s="83">
        <v>3245675</v>
      </c>
      <c r="AM68" s="114">
        <v>0</v>
      </c>
      <c r="AN68" s="114">
        <v>33258098</v>
      </c>
      <c r="AO68" s="114">
        <v>425931</v>
      </c>
      <c r="AP68" s="114">
        <v>21645500</v>
      </c>
      <c r="AQ68" s="114">
        <v>20792962</v>
      </c>
      <c r="AR68" s="114">
        <v>5185968</v>
      </c>
      <c r="AS68" s="114">
        <v>51418</v>
      </c>
      <c r="AT68" s="114">
        <v>9831</v>
      </c>
      <c r="AU68" s="114">
        <v>0</v>
      </c>
      <c r="AV68" s="114">
        <v>0</v>
      </c>
      <c r="AW68" s="114">
        <v>0</v>
      </c>
      <c r="AX68" s="114">
        <v>85039</v>
      </c>
      <c r="AY68" s="114">
        <v>2279000</v>
      </c>
      <c r="BD68" s="82">
        <v>6943823.9100000001</v>
      </c>
      <c r="BE68" s="82">
        <v>3471912</v>
      </c>
      <c r="BF68" s="117">
        <v>0</v>
      </c>
      <c r="BG68" s="118">
        <v>3058600</v>
      </c>
      <c r="BH68" s="118">
        <v>5881923</v>
      </c>
      <c r="BI68" s="117">
        <v>59319896</v>
      </c>
      <c r="BJ68" s="117">
        <v>59319896</v>
      </c>
      <c r="BK68" s="117">
        <v>80461670.25</v>
      </c>
      <c r="BL68" s="117">
        <v>76803182.25</v>
      </c>
      <c r="BM68" s="117">
        <v>0</v>
      </c>
      <c r="BN68" s="117">
        <v>0</v>
      </c>
      <c r="BO68" s="119"/>
      <c r="BP68" s="86">
        <f t="shared" si="15"/>
        <v>802175770.85655737</v>
      </c>
      <c r="BQ68" s="86">
        <f t="shared" si="16"/>
        <v>524621591.60655737</v>
      </c>
      <c r="BR68" s="87">
        <v>144750</v>
      </c>
      <c r="BT68" s="86">
        <f t="shared" si="11"/>
        <v>376630817</v>
      </c>
      <c r="BU68" s="82">
        <f t="shared" si="12"/>
        <v>131654914</v>
      </c>
      <c r="BV68" s="82">
        <f t="shared" si="13"/>
        <v>3245675</v>
      </c>
      <c r="BW68" s="86">
        <f t="shared" si="14"/>
        <v>54528409</v>
      </c>
      <c r="BX68" s="86">
        <f t="shared" si="17"/>
        <v>566059815</v>
      </c>
    </row>
    <row r="69" spans="1:76" x14ac:dyDescent="0.25">
      <c r="A69" s="91" t="s">
        <v>123</v>
      </c>
      <c r="B69" s="114">
        <v>183268575</v>
      </c>
      <c r="C69" s="114">
        <v>113635665</v>
      </c>
      <c r="D69" s="114">
        <v>37369350</v>
      </c>
      <c r="E69" s="114">
        <v>0</v>
      </c>
      <c r="F69" s="114">
        <v>29712000</v>
      </c>
      <c r="G69" s="114">
        <v>12500900</v>
      </c>
      <c r="H69" s="114">
        <v>11464550</v>
      </c>
      <c r="I69" s="114">
        <v>1893800</v>
      </c>
      <c r="J69" s="114">
        <v>37600</v>
      </c>
      <c r="K69" s="114">
        <v>0</v>
      </c>
      <c r="L69" s="114">
        <v>168170631</v>
      </c>
      <c r="M69" s="114">
        <v>52811520</v>
      </c>
      <c r="N69" s="114">
        <v>1288</v>
      </c>
      <c r="O69" s="114">
        <v>489</v>
      </c>
      <c r="P69" s="114">
        <v>4549300</v>
      </c>
      <c r="Q69" s="114">
        <v>2382350</v>
      </c>
      <c r="R69" s="114">
        <v>1481600</v>
      </c>
      <c r="S69" s="114">
        <v>3213100</v>
      </c>
      <c r="T69" s="114">
        <v>2242250</v>
      </c>
      <c r="U69" s="114">
        <v>680900</v>
      </c>
      <c r="V69" s="114">
        <v>4549300</v>
      </c>
      <c r="W69" s="114">
        <v>4332231</v>
      </c>
      <c r="X69" s="114">
        <v>1481600</v>
      </c>
      <c r="Y69" s="114">
        <v>3213100</v>
      </c>
      <c r="Z69" s="114">
        <v>2681000</v>
      </c>
      <c r="AA69" s="114">
        <v>680900</v>
      </c>
      <c r="AB69" s="114">
        <v>-1614500</v>
      </c>
      <c r="AC69" s="114">
        <v>0</v>
      </c>
      <c r="AD69" s="114">
        <v>202018</v>
      </c>
      <c r="AE69" s="114">
        <v>0</v>
      </c>
      <c r="AF69" s="114">
        <v>0</v>
      </c>
      <c r="AG69" s="114">
        <v>289191</v>
      </c>
      <c r="AH69" s="114">
        <v>0</v>
      </c>
      <c r="AI69" s="114">
        <v>66000</v>
      </c>
      <c r="AJ69" s="121">
        <v>0</v>
      </c>
      <c r="AK69" s="82">
        <v>78980183</v>
      </c>
      <c r="AL69" s="83">
        <v>1199668</v>
      </c>
      <c r="AM69" s="114">
        <v>0</v>
      </c>
      <c r="AN69" s="114">
        <v>8535859</v>
      </c>
      <c r="AO69" s="114">
        <v>2377440</v>
      </c>
      <c r="AP69" s="114">
        <v>6508690</v>
      </c>
      <c r="AQ69" s="114">
        <v>5695831</v>
      </c>
      <c r="AR69" s="114">
        <v>651614</v>
      </c>
      <c r="AS69" s="114">
        <v>769622</v>
      </c>
      <c r="AT69" s="114">
        <v>441751</v>
      </c>
      <c r="AU69" s="114">
        <v>0</v>
      </c>
      <c r="AV69" s="114">
        <v>0</v>
      </c>
      <c r="AW69" s="114">
        <v>0</v>
      </c>
      <c r="AX69" s="114">
        <v>0</v>
      </c>
      <c r="AY69" s="114">
        <v>38875</v>
      </c>
      <c r="BD69" s="82">
        <v>4165621.07</v>
      </c>
      <c r="BE69" s="82">
        <v>2082811</v>
      </c>
      <c r="BF69" s="117">
        <v>43316062</v>
      </c>
      <c r="BG69" s="118">
        <v>3108704</v>
      </c>
      <c r="BH69" s="118">
        <v>5978277</v>
      </c>
      <c r="BI69" s="117">
        <v>58513656</v>
      </c>
      <c r="BJ69" s="117">
        <v>58513656</v>
      </c>
      <c r="BK69" s="117">
        <v>65780801.5</v>
      </c>
      <c r="BL69" s="117">
        <v>53987399.5</v>
      </c>
      <c r="BM69" s="117">
        <v>0</v>
      </c>
      <c r="BN69" s="117">
        <v>0</v>
      </c>
      <c r="BO69" s="119"/>
      <c r="BP69" s="86">
        <f t="shared" si="15"/>
        <v>548821141.5</v>
      </c>
      <c r="BQ69" s="86">
        <f t="shared" si="16"/>
        <v>350948720</v>
      </c>
      <c r="BR69" s="87">
        <v>1853000</v>
      </c>
      <c r="BT69" s="86">
        <f t="shared" si="11"/>
        <v>334273590</v>
      </c>
      <c r="BU69" s="82">
        <f t="shared" si="12"/>
        <v>78980183</v>
      </c>
      <c r="BV69" s="82">
        <f t="shared" si="13"/>
        <v>1199668</v>
      </c>
      <c r="BW69" s="86">
        <f t="shared" si="14"/>
        <v>17378752</v>
      </c>
      <c r="BX69" s="86">
        <f t="shared" si="17"/>
        <v>431832193</v>
      </c>
    </row>
    <row r="70" spans="1:76" x14ac:dyDescent="0.25">
      <c r="A70" s="91" t="s">
        <v>124</v>
      </c>
      <c r="B70" s="114">
        <v>472772651</v>
      </c>
      <c r="C70" s="114">
        <v>175106963</v>
      </c>
      <c r="D70" s="114">
        <v>124130276</v>
      </c>
      <c r="E70" s="114">
        <v>0</v>
      </c>
      <c r="F70" s="114">
        <v>72659935</v>
      </c>
      <c r="G70" s="114">
        <v>17990390</v>
      </c>
      <c r="H70" s="114">
        <v>21525700</v>
      </c>
      <c r="I70" s="114">
        <v>2021390</v>
      </c>
      <c r="J70" s="114">
        <v>338400</v>
      </c>
      <c r="K70" s="114">
        <v>75200</v>
      </c>
      <c r="L70" s="114">
        <v>303127689</v>
      </c>
      <c r="M70" s="114">
        <v>113915852</v>
      </c>
      <c r="N70" s="114">
        <v>2798</v>
      </c>
      <c r="O70" s="114">
        <v>677</v>
      </c>
      <c r="P70" s="114">
        <v>6704274</v>
      </c>
      <c r="Q70" s="114">
        <v>4355884</v>
      </c>
      <c r="R70" s="114">
        <v>2387200</v>
      </c>
      <c r="S70" s="114">
        <v>6248691</v>
      </c>
      <c r="T70" s="114">
        <v>1844969</v>
      </c>
      <c r="U70" s="114">
        <v>3194249</v>
      </c>
      <c r="V70" s="114">
        <v>6704274</v>
      </c>
      <c r="W70" s="114">
        <v>4614024</v>
      </c>
      <c r="X70" s="114">
        <v>2387200</v>
      </c>
      <c r="Y70" s="114">
        <v>6248691</v>
      </c>
      <c r="Z70" s="114">
        <v>2732825</v>
      </c>
      <c r="AA70" s="114">
        <v>3194249</v>
      </c>
      <c r="AB70" s="114">
        <v>-2899309</v>
      </c>
      <c r="AC70" s="114">
        <v>-282897</v>
      </c>
      <c r="AD70" s="114">
        <v>0</v>
      </c>
      <c r="AE70" s="114">
        <v>0</v>
      </c>
      <c r="AF70" s="114">
        <v>0</v>
      </c>
      <c r="AG70" s="114">
        <v>0</v>
      </c>
      <c r="AH70" s="114">
        <v>29155.737704918036</v>
      </c>
      <c r="AI70" s="114">
        <v>0</v>
      </c>
      <c r="AJ70" s="121">
        <v>0</v>
      </c>
      <c r="AK70" s="82">
        <v>144904141</v>
      </c>
      <c r="AL70" s="83">
        <v>3736528</v>
      </c>
      <c r="AM70" s="114">
        <v>0</v>
      </c>
      <c r="AN70" s="114">
        <v>14791433</v>
      </c>
      <c r="AO70" s="114">
        <v>3357857</v>
      </c>
      <c r="AP70" s="114">
        <v>13416121</v>
      </c>
      <c r="AQ70" s="114">
        <v>21463437</v>
      </c>
      <c r="AR70" s="114">
        <v>9758982</v>
      </c>
      <c r="AS70" s="114">
        <v>0</v>
      </c>
      <c r="AT70" s="114">
        <f>11854441</f>
        <v>11854441</v>
      </c>
      <c r="AU70" s="114">
        <v>0</v>
      </c>
      <c r="AV70" s="114">
        <v>0</v>
      </c>
      <c r="AW70" s="114">
        <v>24508</v>
      </c>
      <c r="AX70" s="114">
        <v>397824</v>
      </c>
      <c r="AY70" s="114">
        <v>0</v>
      </c>
      <c r="BD70" s="82">
        <v>7642622.7400000002</v>
      </c>
      <c r="BE70" s="82">
        <v>3821311</v>
      </c>
      <c r="BF70" s="117">
        <v>0</v>
      </c>
      <c r="BG70" s="118">
        <v>2683192</v>
      </c>
      <c r="BH70" s="118">
        <v>5159985</v>
      </c>
      <c r="BI70" s="117">
        <v>51849568</v>
      </c>
      <c r="BJ70" s="117">
        <v>51849568</v>
      </c>
      <c r="BK70" s="117">
        <v>95035659.25</v>
      </c>
      <c r="BL70" s="117">
        <v>87197358.25</v>
      </c>
      <c r="BM70" s="117">
        <v>0</v>
      </c>
      <c r="BN70" s="117">
        <v>0</v>
      </c>
      <c r="BO70" s="119"/>
      <c r="BP70" s="86">
        <f t="shared" si="15"/>
        <v>1105843870.9877048</v>
      </c>
      <c r="BQ70" s="86">
        <f t="shared" si="16"/>
        <v>811651772.73770487</v>
      </c>
      <c r="BR70" s="87">
        <v>513600</v>
      </c>
      <c r="BT70" s="86">
        <f t="shared" si="11"/>
        <v>772009890</v>
      </c>
      <c r="BU70" s="82">
        <f t="shared" si="12"/>
        <v>144904141</v>
      </c>
      <c r="BV70" s="82">
        <f t="shared" si="13"/>
        <v>3736528</v>
      </c>
      <c r="BW70" s="86">
        <f t="shared" si="14"/>
        <v>39612727</v>
      </c>
      <c r="BX70" s="86">
        <f t="shared" si="17"/>
        <v>960263286</v>
      </c>
    </row>
    <row r="71" spans="1:76" x14ac:dyDescent="0.25">
      <c r="A71" s="91" t="s">
        <v>125</v>
      </c>
      <c r="B71" s="114">
        <v>246764553</v>
      </c>
      <c r="C71" s="114">
        <v>115902961</v>
      </c>
      <c r="D71" s="114">
        <v>87525775</v>
      </c>
      <c r="E71" s="114">
        <v>0</v>
      </c>
      <c r="F71" s="114">
        <v>32543300</v>
      </c>
      <c r="G71" s="114">
        <v>6137775</v>
      </c>
      <c r="H71" s="114">
        <v>9290000</v>
      </c>
      <c r="I71" s="114">
        <v>1124500</v>
      </c>
      <c r="J71" s="114">
        <v>37600</v>
      </c>
      <c r="K71" s="114">
        <v>0</v>
      </c>
      <c r="L71" s="114">
        <v>220595739</v>
      </c>
      <c r="M71" s="114">
        <v>65361450</v>
      </c>
      <c r="N71" s="114">
        <v>1204</v>
      </c>
      <c r="O71" s="114">
        <v>225</v>
      </c>
      <c r="P71" s="114">
        <v>2951850</v>
      </c>
      <c r="Q71" s="114">
        <v>1239435</v>
      </c>
      <c r="R71" s="114">
        <v>176965</v>
      </c>
      <c r="S71" s="114">
        <v>3337520</v>
      </c>
      <c r="T71" s="114">
        <v>1124700</v>
      </c>
      <c r="U71" s="114">
        <v>934000</v>
      </c>
      <c r="V71" s="114">
        <v>2951850</v>
      </c>
      <c r="W71" s="114">
        <v>2074350</v>
      </c>
      <c r="X71" s="114">
        <v>176965</v>
      </c>
      <c r="Y71" s="114">
        <v>3337520</v>
      </c>
      <c r="Z71" s="114">
        <v>2587260</v>
      </c>
      <c r="AA71" s="114">
        <v>934000</v>
      </c>
      <c r="AB71" s="114">
        <v>-1703022</v>
      </c>
      <c r="AC71" s="114">
        <v>0</v>
      </c>
      <c r="AD71" s="114">
        <v>88694</v>
      </c>
      <c r="AE71" s="114">
        <v>0</v>
      </c>
      <c r="AF71" s="114">
        <v>0</v>
      </c>
      <c r="AG71" s="114">
        <v>176842</v>
      </c>
      <c r="AH71" s="114">
        <v>0</v>
      </c>
      <c r="AI71" s="114">
        <v>17766065.57377049</v>
      </c>
      <c r="AJ71" s="121">
        <v>0</v>
      </c>
      <c r="AK71" s="82">
        <v>79512821</v>
      </c>
      <c r="AL71" s="83">
        <v>5195083</v>
      </c>
      <c r="AM71" s="114">
        <v>10183420</v>
      </c>
      <c r="AN71" s="114">
        <v>62262806</v>
      </c>
      <c r="AO71" s="114">
        <v>2431930</v>
      </c>
      <c r="AP71" s="114">
        <v>70221513</v>
      </c>
      <c r="AQ71" s="114">
        <v>39577896</v>
      </c>
      <c r="AR71" s="114">
        <v>1186695</v>
      </c>
      <c r="AS71" s="114">
        <v>18127178</v>
      </c>
      <c r="AT71" s="114">
        <v>3607280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BD71" s="82">
        <v>4193713.79</v>
      </c>
      <c r="BE71" s="82">
        <v>2096857</v>
      </c>
      <c r="BF71" s="117">
        <v>77722798</v>
      </c>
      <c r="BG71" s="118">
        <v>427007</v>
      </c>
      <c r="BH71" s="118">
        <v>821168</v>
      </c>
      <c r="BI71" s="117">
        <v>131357368</v>
      </c>
      <c r="BJ71" s="117">
        <v>131030868</v>
      </c>
      <c r="BK71" s="117">
        <v>60793702</v>
      </c>
      <c r="BL71" s="117">
        <v>59928567</v>
      </c>
      <c r="BM71" s="117">
        <v>0</v>
      </c>
      <c r="BN71" s="117">
        <v>0</v>
      </c>
      <c r="BO71" s="119"/>
      <c r="BP71" s="86">
        <f t="shared" si="15"/>
        <v>850423189.57377052</v>
      </c>
      <c r="BQ71" s="86">
        <f t="shared" si="16"/>
        <v>572231986.57377052</v>
      </c>
      <c r="BR71" s="87">
        <v>492810</v>
      </c>
      <c r="BT71" s="86">
        <f t="shared" si="11"/>
        <v>450193289</v>
      </c>
      <c r="BU71" s="82">
        <f t="shared" si="12"/>
        <v>79512821</v>
      </c>
      <c r="BV71" s="82">
        <f t="shared" si="13"/>
        <v>5195083</v>
      </c>
      <c r="BW71" s="86">
        <f t="shared" si="14"/>
        <v>122399810</v>
      </c>
      <c r="BX71" s="86">
        <f t="shared" si="17"/>
        <v>657301003</v>
      </c>
    </row>
    <row r="72" spans="1:76" x14ac:dyDescent="0.25">
      <c r="A72" s="91" t="s">
        <v>126</v>
      </c>
      <c r="B72" s="114">
        <v>610511206</v>
      </c>
      <c r="C72" s="114">
        <v>330039764</v>
      </c>
      <c r="D72" s="114">
        <v>227684293</v>
      </c>
      <c r="E72" s="114">
        <v>0</v>
      </c>
      <c r="F72" s="114">
        <v>73176675</v>
      </c>
      <c r="G72" s="114">
        <v>12615880</v>
      </c>
      <c r="H72" s="114">
        <v>16839210</v>
      </c>
      <c r="I72" s="114">
        <v>1423530</v>
      </c>
      <c r="J72" s="114">
        <v>104200</v>
      </c>
      <c r="K72" s="114">
        <v>0</v>
      </c>
      <c r="L72" s="114">
        <v>1057320599</v>
      </c>
      <c r="M72" s="114">
        <v>135274690</v>
      </c>
      <c r="N72" s="114">
        <v>2535</v>
      </c>
      <c r="O72" s="114">
        <v>417</v>
      </c>
      <c r="P72" s="114">
        <v>9777905</v>
      </c>
      <c r="Q72" s="114">
        <v>5985615</v>
      </c>
      <c r="R72" s="114">
        <v>2137005</v>
      </c>
      <c r="S72" s="114">
        <v>5841797</v>
      </c>
      <c r="T72" s="114">
        <v>2482285</v>
      </c>
      <c r="U72" s="114">
        <v>1734764</v>
      </c>
      <c r="V72" s="114">
        <v>9777905</v>
      </c>
      <c r="W72" s="114">
        <v>13915277</v>
      </c>
      <c r="X72" s="114">
        <v>2137005</v>
      </c>
      <c r="Y72" s="114">
        <v>5841797</v>
      </c>
      <c r="Z72" s="114">
        <v>8155273</v>
      </c>
      <c r="AA72" s="114">
        <v>1734764</v>
      </c>
      <c r="AB72" s="114">
        <v>-3811780</v>
      </c>
      <c r="AC72" s="114">
        <v>-5475862</v>
      </c>
      <c r="AD72" s="114">
        <v>106601</v>
      </c>
      <c r="AE72" s="114">
        <v>0</v>
      </c>
      <c r="AF72" s="114">
        <v>663067562</v>
      </c>
      <c r="AG72" s="114">
        <v>323974</v>
      </c>
      <c r="AH72" s="114">
        <v>13155.737704918034</v>
      </c>
      <c r="AI72" s="114">
        <v>218229.50819672132</v>
      </c>
      <c r="AJ72" s="121">
        <v>0</v>
      </c>
      <c r="AK72" s="82">
        <v>183436585</v>
      </c>
      <c r="AL72" s="83">
        <v>5212579</v>
      </c>
      <c r="AM72" s="114">
        <v>0</v>
      </c>
      <c r="AN72" s="114">
        <v>54161379</v>
      </c>
      <c r="AO72" s="114">
        <v>16802498</v>
      </c>
      <c r="AP72" s="114">
        <v>581242019</v>
      </c>
      <c r="AQ72" s="114">
        <v>109733322</v>
      </c>
      <c r="AR72" s="114">
        <v>239467597</v>
      </c>
      <c r="AS72" s="114">
        <v>36974362</v>
      </c>
      <c r="AT72" s="114">
        <v>7016426</v>
      </c>
      <c r="AU72" s="114">
        <v>0</v>
      </c>
      <c r="AV72" s="114">
        <v>64991</v>
      </c>
      <c r="AW72" s="114">
        <v>20055682</v>
      </c>
      <c r="AX72" s="114">
        <v>2562587</v>
      </c>
      <c r="AY72" s="114">
        <v>1077550</v>
      </c>
      <c r="BD72" s="82">
        <v>9674924.4399999995</v>
      </c>
      <c r="BE72" s="82">
        <v>4837462</v>
      </c>
      <c r="BF72" s="117">
        <v>0</v>
      </c>
      <c r="BG72" s="118">
        <v>2748253</v>
      </c>
      <c r="BH72" s="118">
        <v>5285102</v>
      </c>
      <c r="BI72" s="117">
        <v>11411834</v>
      </c>
      <c r="BJ72" s="117">
        <v>11411834</v>
      </c>
      <c r="BK72" s="117">
        <v>67981737.25</v>
      </c>
      <c r="BL72" s="117">
        <v>64053037.25</v>
      </c>
      <c r="BM72" s="117">
        <v>0</v>
      </c>
      <c r="BN72" s="117">
        <v>8639727</v>
      </c>
      <c r="BO72" s="119"/>
      <c r="BP72" s="86">
        <f t="shared" si="15"/>
        <v>1629503324.4959018</v>
      </c>
      <c r="BQ72" s="86">
        <f t="shared" si="16"/>
        <v>1349163847.2459018</v>
      </c>
      <c r="BR72" s="87">
        <v>3753392</v>
      </c>
      <c r="BT72" s="86">
        <f t="shared" si="11"/>
        <v>1168235263</v>
      </c>
      <c r="BU72" s="82">
        <f t="shared" si="12"/>
        <v>183436585</v>
      </c>
      <c r="BV72" s="82">
        <f t="shared" si="13"/>
        <v>5212579</v>
      </c>
      <c r="BW72" s="86">
        <f t="shared" si="14"/>
        <v>217671561</v>
      </c>
      <c r="BX72" s="86">
        <f t="shared" si="17"/>
        <v>1574555988</v>
      </c>
    </row>
    <row r="73" spans="1:76" x14ac:dyDescent="0.25">
      <c r="A73" s="91" t="s">
        <v>127</v>
      </c>
      <c r="B73" s="114">
        <v>478583307</v>
      </c>
      <c r="C73" s="114">
        <v>61434008</v>
      </c>
      <c r="D73" s="114">
        <v>88444463</v>
      </c>
      <c r="E73" s="114">
        <v>0</v>
      </c>
      <c r="F73" s="114">
        <v>30834610</v>
      </c>
      <c r="G73" s="114">
        <v>5678625</v>
      </c>
      <c r="H73" s="114">
        <v>6022002</v>
      </c>
      <c r="I73" s="114">
        <v>804400</v>
      </c>
      <c r="J73" s="114">
        <v>75200</v>
      </c>
      <c r="K73" s="114">
        <v>0</v>
      </c>
      <c r="L73" s="114">
        <v>153024243</v>
      </c>
      <c r="M73" s="114">
        <v>42661480</v>
      </c>
      <c r="N73" s="114">
        <v>1028</v>
      </c>
      <c r="O73" s="114">
        <v>194</v>
      </c>
      <c r="P73" s="114">
        <v>4614275</v>
      </c>
      <c r="Q73" s="114">
        <v>375000</v>
      </c>
      <c r="R73" s="114">
        <v>1492460</v>
      </c>
      <c r="S73" s="114">
        <v>2545938</v>
      </c>
      <c r="T73" s="114">
        <v>237793</v>
      </c>
      <c r="U73" s="114">
        <v>1947020</v>
      </c>
      <c r="V73" s="114">
        <v>4614275</v>
      </c>
      <c r="W73" s="114">
        <v>375000</v>
      </c>
      <c r="X73" s="114">
        <v>1492460</v>
      </c>
      <c r="Y73" s="114">
        <v>2595938</v>
      </c>
      <c r="Z73" s="114">
        <v>1074160</v>
      </c>
      <c r="AA73" s="114">
        <v>1947020</v>
      </c>
      <c r="AB73" s="114">
        <v>-3389550</v>
      </c>
      <c r="AC73" s="114">
        <v>-100000</v>
      </c>
      <c r="AD73" s="114">
        <v>29253</v>
      </c>
      <c r="AE73" s="114">
        <v>0</v>
      </c>
      <c r="AF73" s="114">
        <v>0</v>
      </c>
      <c r="AG73" s="114">
        <v>81789</v>
      </c>
      <c r="AH73" s="114">
        <v>0</v>
      </c>
      <c r="AI73" s="114">
        <v>0</v>
      </c>
      <c r="AJ73" s="121">
        <v>0</v>
      </c>
      <c r="AK73" s="82">
        <v>63828910</v>
      </c>
      <c r="AL73" s="83">
        <v>14063745</v>
      </c>
      <c r="AM73" s="114">
        <v>2902232</v>
      </c>
      <c r="AN73" s="114">
        <v>12008853</v>
      </c>
      <c r="AO73" s="114">
        <v>406852</v>
      </c>
      <c r="AP73" s="114">
        <v>6243487</v>
      </c>
      <c r="AQ73" s="114">
        <v>7981023</v>
      </c>
      <c r="AR73" s="114">
        <v>4517147</v>
      </c>
      <c r="AS73" s="114">
        <v>27014558</v>
      </c>
      <c r="AT73" s="114">
        <v>299538</v>
      </c>
      <c r="AU73" s="114">
        <v>0</v>
      </c>
      <c r="AV73" s="114">
        <v>29331</v>
      </c>
      <c r="AW73" s="114">
        <v>0</v>
      </c>
      <c r="AX73" s="114">
        <v>4918</v>
      </c>
      <c r="AY73" s="114">
        <v>0</v>
      </c>
      <c r="BD73" s="82">
        <v>3366503.37</v>
      </c>
      <c r="BE73" s="82">
        <v>1683252</v>
      </c>
      <c r="BF73" s="117">
        <v>32733161</v>
      </c>
      <c r="BG73" s="118">
        <v>1118745</v>
      </c>
      <c r="BH73" s="118">
        <v>2151432</v>
      </c>
      <c r="BI73" s="117">
        <v>12437212</v>
      </c>
      <c r="BJ73" s="117">
        <v>10747772</v>
      </c>
      <c r="BK73" s="117">
        <v>22644359.75</v>
      </c>
      <c r="BL73" s="117">
        <v>21162018.75</v>
      </c>
      <c r="BM73" s="117">
        <v>0</v>
      </c>
      <c r="BN73" s="117">
        <v>0</v>
      </c>
      <c r="BO73" s="119"/>
      <c r="BP73" s="86">
        <f t="shared" si="15"/>
        <v>761462948.75</v>
      </c>
      <c r="BQ73" s="86">
        <f t="shared" si="16"/>
        <v>648858506</v>
      </c>
      <c r="BR73" s="87">
        <v>681625</v>
      </c>
      <c r="BT73" s="86">
        <f t="shared" si="11"/>
        <v>628461778</v>
      </c>
      <c r="BU73" s="82">
        <f t="shared" si="12"/>
        <v>63828910</v>
      </c>
      <c r="BV73" s="82">
        <f t="shared" si="13"/>
        <v>14063745</v>
      </c>
      <c r="BW73" s="86">
        <f t="shared" si="14"/>
        <v>47411286</v>
      </c>
      <c r="BX73" s="86">
        <f t="shared" si="17"/>
        <v>753765719</v>
      </c>
    </row>
    <row r="74" spans="1:76" x14ac:dyDescent="0.25">
      <c r="A74" s="91" t="s">
        <v>128</v>
      </c>
      <c r="B74" s="114">
        <v>2524196989</v>
      </c>
      <c r="C74" s="114">
        <v>139817306</v>
      </c>
      <c r="D74" s="114">
        <v>1205770497</v>
      </c>
      <c r="E74" s="114">
        <v>0</v>
      </c>
      <c r="F74" s="114">
        <v>217341911</v>
      </c>
      <c r="G74" s="114">
        <v>25106007</v>
      </c>
      <c r="H74" s="114">
        <v>10783776</v>
      </c>
      <c r="I74" s="114">
        <v>810438</v>
      </c>
      <c r="J74" s="114">
        <v>669800</v>
      </c>
      <c r="K74" s="114">
        <v>37600</v>
      </c>
      <c r="L74" s="114">
        <v>203703052</v>
      </c>
      <c r="M74" s="114">
        <v>0</v>
      </c>
      <c r="N74" s="114">
        <v>6373</v>
      </c>
      <c r="O74" s="114">
        <v>810</v>
      </c>
      <c r="P74" s="114">
        <v>27234674</v>
      </c>
      <c r="Q74" s="114">
        <v>4238597</v>
      </c>
      <c r="R74" s="114">
        <v>48868650</v>
      </c>
      <c r="S74" s="114">
        <v>20490786</v>
      </c>
      <c r="T74" s="114">
        <v>1476521</v>
      </c>
      <c r="U74" s="114">
        <v>16213810</v>
      </c>
      <c r="V74" s="114">
        <v>27234674</v>
      </c>
      <c r="W74" s="114">
        <v>5588678</v>
      </c>
      <c r="X74" s="114">
        <v>48868650</v>
      </c>
      <c r="Y74" s="114">
        <v>20490786</v>
      </c>
      <c r="Z74" s="114">
        <v>2868064</v>
      </c>
      <c r="AA74" s="114">
        <v>16213810</v>
      </c>
      <c r="AB74" s="114">
        <v>-38264147</v>
      </c>
      <c r="AC74" s="114">
        <v>-8735285</v>
      </c>
      <c r="AD74" s="114">
        <v>0</v>
      </c>
      <c r="AE74" s="114">
        <v>0</v>
      </c>
      <c r="AF74" s="114">
        <v>0</v>
      </c>
      <c r="AG74" s="114">
        <v>0</v>
      </c>
      <c r="AH74" s="114">
        <v>0</v>
      </c>
      <c r="AI74" s="114">
        <v>288401.63934426231</v>
      </c>
      <c r="AJ74" s="121">
        <v>0</v>
      </c>
      <c r="AK74" s="82">
        <v>509217196</v>
      </c>
      <c r="AL74" s="83">
        <v>14707772</v>
      </c>
      <c r="AM74" s="114">
        <v>52520</v>
      </c>
      <c r="AN74" s="114">
        <v>387425866</v>
      </c>
      <c r="AO74" s="114">
        <v>15315749</v>
      </c>
      <c r="AP74" s="114">
        <v>80174077</v>
      </c>
      <c r="AQ74" s="114">
        <v>291890671</v>
      </c>
      <c r="AR74" s="114">
        <v>176947096</v>
      </c>
      <c r="AS74" s="114">
        <v>274231555</v>
      </c>
      <c r="AT74" s="114">
        <f>3925607+663970</f>
        <v>4589577</v>
      </c>
      <c r="AU74" s="114">
        <v>0</v>
      </c>
      <c r="AV74" s="114">
        <v>0</v>
      </c>
      <c r="AW74" s="114">
        <v>0</v>
      </c>
      <c r="AX74" s="114">
        <v>897765</v>
      </c>
      <c r="AY74" s="114">
        <v>23626795</v>
      </c>
      <c r="BD74" s="82">
        <v>26857444.48</v>
      </c>
      <c r="BE74" s="82">
        <v>13428722</v>
      </c>
      <c r="BF74" s="117">
        <v>31601036</v>
      </c>
      <c r="BG74" s="118">
        <v>5506975</v>
      </c>
      <c r="BH74" s="118">
        <v>10590337</v>
      </c>
      <c r="BI74" s="117">
        <v>76494379</v>
      </c>
      <c r="BJ74" s="117">
        <v>67875097</v>
      </c>
      <c r="BK74" s="117">
        <v>140745026.5</v>
      </c>
      <c r="BL74" s="117">
        <v>120201193.5</v>
      </c>
      <c r="BM74" s="117">
        <v>0</v>
      </c>
      <c r="BN74" s="117">
        <v>68114506</v>
      </c>
      <c r="BO74" s="119"/>
      <c r="BP74" s="86">
        <f t="shared" si="15"/>
        <v>5363756941.1393442</v>
      </c>
      <c r="BQ74" s="86">
        <f t="shared" si="16"/>
        <v>4564705479.6393442</v>
      </c>
      <c r="BR74" s="87">
        <v>4971898</v>
      </c>
      <c r="BT74" s="86">
        <f t="shared" si="11"/>
        <v>3869784792</v>
      </c>
      <c r="BU74" s="82">
        <f t="shared" si="12"/>
        <v>509217196</v>
      </c>
      <c r="BV74" s="82">
        <f t="shared" si="13"/>
        <v>14707772</v>
      </c>
      <c r="BW74" s="86">
        <f t="shared" si="14"/>
        <v>968863841</v>
      </c>
      <c r="BX74" s="86">
        <f t="shared" si="17"/>
        <v>5362573601</v>
      </c>
    </row>
    <row r="75" spans="1:76" x14ac:dyDescent="0.25">
      <c r="A75" s="91" t="s">
        <v>129</v>
      </c>
      <c r="B75" s="114">
        <v>228440938</v>
      </c>
      <c r="C75" s="114">
        <v>44922593</v>
      </c>
      <c r="D75" s="114">
        <v>82713410</v>
      </c>
      <c r="E75" s="114">
        <v>0</v>
      </c>
      <c r="F75" s="114">
        <v>45249700</v>
      </c>
      <c r="G75" s="114">
        <v>20031164</v>
      </c>
      <c r="H75" s="114">
        <v>6118100</v>
      </c>
      <c r="I75" s="114">
        <v>1381650</v>
      </c>
      <c r="J75" s="114">
        <v>95200</v>
      </c>
      <c r="K75" s="114">
        <v>0</v>
      </c>
      <c r="L75" s="114">
        <v>26466467</v>
      </c>
      <c r="M75" s="114">
        <v>0</v>
      </c>
      <c r="N75" s="114">
        <v>1544</v>
      </c>
      <c r="O75" s="114">
        <v>698</v>
      </c>
      <c r="P75" s="114">
        <v>6019700</v>
      </c>
      <c r="Q75" s="114">
        <v>269270</v>
      </c>
      <c r="R75" s="114">
        <v>831000</v>
      </c>
      <c r="S75" s="114">
        <v>3710874</v>
      </c>
      <c r="T75" s="114">
        <v>5697200</v>
      </c>
      <c r="U75" s="114">
        <v>644025</v>
      </c>
      <c r="V75" s="114">
        <v>6019700</v>
      </c>
      <c r="W75" s="114">
        <v>541770</v>
      </c>
      <c r="X75" s="114">
        <v>831000</v>
      </c>
      <c r="Y75" s="114">
        <v>3710874</v>
      </c>
      <c r="Z75" s="114">
        <v>8283100</v>
      </c>
      <c r="AA75" s="114">
        <v>644025</v>
      </c>
      <c r="AB75" s="114">
        <v>-2033001</v>
      </c>
      <c r="AC75" s="114">
        <v>31517</v>
      </c>
      <c r="AD75" s="114">
        <v>0</v>
      </c>
      <c r="AE75" s="114">
        <v>0</v>
      </c>
      <c r="AF75" s="114">
        <v>0</v>
      </c>
      <c r="AG75" s="114">
        <v>0</v>
      </c>
      <c r="AH75" s="114">
        <v>440270.49180327868</v>
      </c>
      <c r="AI75" s="114">
        <v>598303.27868852462</v>
      </c>
      <c r="AJ75" s="121">
        <v>17659.016393442624</v>
      </c>
      <c r="AK75" s="82">
        <v>67660774</v>
      </c>
      <c r="AL75" s="83">
        <v>2030190</v>
      </c>
      <c r="AM75" s="114">
        <v>0</v>
      </c>
      <c r="AN75" s="114">
        <v>7155755</v>
      </c>
      <c r="AO75" s="114">
        <v>83034</v>
      </c>
      <c r="AP75" s="114">
        <v>4142318</v>
      </c>
      <c r="AQ75" s="114">
        <v>8195868</v>
      </c>
      <c r="AR75" s="114">
        <v>7686650</v>
      </c>
      <c r="AS75" s="114">
        <v>0</v>
      </c>
      <c r="AT75" s="114">
        <v>1084368</v>
      </c>
      <c r="AU75" s="114">
        <v>0</v>
      </c>
      <c r="AV75" s="114">
        <v>0</v>
      </c>
      <c r="AW75" s="114">
        <v>0</v>
      </c>
      <c r="AX75" s="114">
        <v>0</v>
      </c>
      <c r="AY75" s="114">
        <v>4000</v>
      </c>
      <c r="BD75" s="82">
        <v>3568605.88</v>
      </c>
      <c r="BE75" s="82">
        <v>1784303</v>
      </c>
      <c r="BF75" s="117">
        <v>0</v>
      </c>
      <c r="BG75" s="118">
        <v>4024788</v>
      </c>
      <c r="BH75" s="118">
        <v>7739978</v>
      </c>
      <c r="BI75" s="117">
        <v>35519917</v>
      </c>
      <c r="BJ75" s="117">
        <v>35519917</v>
      </c>
      <c r="BK75" s="117">
        <v>51344592.25</v>
      </c>
      <c r="BL75" s="117">
        <v>42315680.25</v>
      </c>
      <c r="BM75" s="117">
        <v>0</v>
      </c>
      <c r="BN75" s="117">
        <v>0</v>
      </c>
      <c r="BO75" s="119"/>
      <c r="BP75" s="86">
        <f t="shared" si="15"/>
        <v>525903483.03688526</v>
      </c>
      <c r="BQ75" s="86">
        <f t="shared" si="16"/>
        <v>372567830.78688526</v>
      </c>
      <c r="BR75" s="87">
        <v>642100</v>
      </c>
      <c r="BT75" s="86">
        <f t="shared" si="11"/>
        <v>356076941</v>
      </c>
      <c r="BU75" s="82">
        <f t="shared" si="12"/>
        <v>67660774</v>
      </c>
      <c r="BV75" s="82">
        <f t="shared" si="13"/>
        <v>2030190</v>
      </c>
      <c r="BW75" s="86">
        <f t="shared" si="14"/>
        <v>15434657</v>
      </c>
      <c r="BX75" s="86">
        <f t="shared" si="17"/>
        <v>441202562</v>
      </c>
    </row>
    <row r="76" spans="1:76" x14ac:dyDescent="0.25">
      <c r="A76" s="91" t="s">
        <v>130</v>
      </c>
      <c r="B76" s="114">
        <v>181724423</v>
      </c>
      <c r="C76" s="114">
        <v>149131247</v>
      </c>
      <c r="D76" s="114">
        <v>54451283</v>
      </c>
      <c r="E76" s="114">
        <v>0</v>
      </c>
      <c r="F76" s="114">
        <v>28532560</v>
      </c>
      <c r="G76" s="114">
        <v>8077500</v>
      </c>
      <c r="H76" s="114">
        <v>6415625</v>
      </c>
      <c r="I76" s="114">
        <v>697300</v>
      </c>
      <c r="J76" s="114">
        <v>55700</v>
      </c>
      <c r="K76" s="114">
        <v>0</v>
      </c>
      <c r="L76" s="114">
        <v>350474660</v>
      </c>
      <c r="M76" s="114">
        <v>25723452</v>
      </c>
      <c r="N76" s="114">
        <v>1026</v>
      </c>
      <c r="O76" s="114">
        <v>275</v>
      </c>
      <c r="P76" s="114">
        <v>2199643</v>
      </c>
      <c r="Q76" s="114">
        <v>2701498</v>
      </c>
      <c r="R76" s="114">
        <v>14750</v>
      </c>
      <c r="S76" s="114">
        <v>395971</v>
      </c>
      <c r="T76" s="114">
        <v>297139</v>
      </c>
      <c r="U76" s="114">
        <v>78000</v>
      </c>
      <c r="V76" s="114">
        <v>1890643</v>
      </c>
      <c r="W76" s="114">
        <v>2684178</v>
      </c>
      <c r="X76" s="114">
        <v>14750</v>
      </c>
      <c r="Y76" s="114">
        <v>395971</v>
      </c>
      <c r="Z76" s="114">
        <v>273759</v>
      </c>
      <c r="AA76" s="114">
        <v>78000</v>
      </c>
      <c r="AB76" s="114">
        <v>-2738050</v>
      </c>
      <c r="AC76" s="114">
        <v>-4901</v>
      </c>
      <c r="AD76" s="114">
        <v>15856</v>
      </c>
      <c r="AE76" s="114">
        <v>2939</v>
      </c>
      <c r="AF76" s="114">
        <v>6228514</v>
      </c>
      <c r="AG76" s="114">
        <v>154450</v>
      </c>
      <c r="AH76" s="114">
        <v>2786245.9016393442</v>
      </c>
      <c r="AI76" s="114">
        <v>24139.344262295082</v>
      </c>
      <c r="AJ76" s="121">
        <v>6690845.9000000004</v>
      </c>
      <c r="AK76" s="82">
        <v>75688088</v>
      </c>
      <c r="AL76" s="83">
        <v>2528685</v>
      </c>
      <c r="AM76" s="114">
        <v>0</v>
      </c>
      <c r="AN76" s="114">
        <v>25626111</v>
      </c>
      <c r="AO76" s="114">
        <v>1166341</v>
      </c>
      <c r="AP76" s="114">
        <v>14010066</v>
      </c>
      <c r="AQ76" s="114">
        <v>10147470</v>
      </c>
      <c r="AR76" s="114">
        <v>7997450</v>
      </c>
      <c r="AS76" s="114">
        <v>0</v>
      </c>
      <c r="AT76" s="114">
        <v>25244607</v>
      </c>
      <c r="AU76" s="114">
        <v>0</v>
      </c>
      <c r="AV76" s="114">
        <v>14483724</v>
      </c>
      <c r="AW76" s="114">
        <v>2761034</v>
      </c>
      <c r="AX76" s="114">
        <v>0</v>
      </c>
      <c r="AY76" s="114">
        <v>103500</v>
      </c>
      <c r="BD76" s="82">
        <v>3991987.38</v>
      </c>
      <c r="BE76" s="82">
        <v>1995994</v>
      </c>
      <c r="BF76" s="117">
        <v>14077720</v>
      </c>
      <c r="BG76" s="118">
        <v>0</v>
      </c>
      <c r="BH76" s="118">
        <v>0</v>
      </c>
      <c r="BI76" s="117">
        <v>7506313</v>
      </c>
      <c r="BJ76" s="117">
        <v>7506313</v>
      </c>
      <c r="BK76" s="117">
        <v>23259401</v>
      </c>
      <c r="BL76" s="117">
        <v>23256852</v>
      </c>
      <c r="BM76" s="117">
        <v>0</v>
      </c>
      <c r="BN76" s="117">
        <v>0</v>
      </c>
      <c r="BO76" s="119"/>
      <c r="BP76" s="86">
        <f t="shared" si="15"/>
        <v>542724038.14590168</v>
      </c>
      <c r="BQ76" s="86">
        <f t="shared" si="16"/>
        <v>431748106.14590162</v>
      </c>
      <c r="BR76" s="87">
        <v>574394</v>
      </c>
      <c r="BT76" s="86">
        <f t="shared" si="11"/>
        <v>385306953</v>
      </c>
      <c r="BU76" s="82">
        <f t="shared" si="12"/>
        <v>75688088</v>
      </c>
      <c r="BV76" s="82">
        <f t="shared" si="13"/>
        <v>2528685</v>
      </c>
      <c r="BW76" s="86">
        <f t="shared" si="14"/>
        <v>36939922</v>
      </c>
      <c r="BX76" s="86">
        <f t="shared" si="17"/>
        <v>500463648</v>
      </c>
    </row>
    <row r="77" spans="1:76" x14ac:dyDescent="0.25">
      <c r="A77" s="91" t="s">
        <v>131</v>
      </c>
      <c r="B77" s="114">
        <v>3144498654</v>
      </c>
      <c r="C77" s="114">
        <v>285720799</v>
      </c>
      <c r="D77" s="114">
        <v>1079812765</v>
      </c>
      <c r="E77" s="114">
        <v>0</v>
      </c>
      <c r="F77" s="114">
        <v>218180083</v>
      </c>
      <c r="G77" s="114">
        <v>24299264</v>
      </c>
      <c r="H77" s="114">
        <v>21403139</v>
      </c>
      <c r="I77" s="114">
        <v>1396900</v>
      </c>
      <c r="J77" s="114">
        <v>488800</v>
      </c>
      <c r="K77" s="114">
        <v>36000</v>
      </c>
      <c r="L77" s="114">
        <v>449592424</v>
      </c>
      <c r="M77" s="114">
        <v>209010205</v>
      </c>
      <c r="N77" s="114">
        <v>6586</v>
      </c>
      <c r="O77" s="114">
        <v>743</v>
      </c>
      <c r="P77" s="114">
        <v>68337211</v>
      </c>
      <c r="Q77" s="114">
        <v>7796534</v>
      </c>
      <c r="R77" s="114">
        <v>10225000</v>
      </c>
      <c r="S77" s="114">
        <v>17470434</v>
      </c>
      <c r="T77" s="114">
        <v>3728787</v>
      </c>
      <c r="U77" s="114">
        <v>11177042</v>
      </c>
      <c r="V77" s="114">
        <v>68337211</v>
      </c>
      <c r="W77" s="114">
        <v>8270639</v>
      </c>
      <c r="X77" s="114">
        <v>10225000</v>
      </c>
      <c r="Y77" s="114">
        <v>17470434</v>
      </c>
      <c r="Z77" s="114">
        <v>14026008</v>
      </c>
      <c r="AA77" s="114">
        <v>11177042</v>
      </c>
      <c r="AB77" s="114">
        <v>-4731180</v>
      </c>
      <c r="AC77" s="114">
        <v>-100914</v>
      </c>
      <c r="AD77" s="114">
        <v>2222</v>
      </c>
      <c r="AE77" s="114">
        <v>11230</v>
      </c>
      <c r="AF77" s="114">
        <v>89604276</v>
      </c>
      <c r="AG77" s="114">
        <v>251555</v>
      </c>
      <c r="AH77" s="114">
        <v>0</v>
      </c>
      <c r="AI77" s="114">
        <v>882155.73770491814</v>
      </c>
      <c r="AJ77" s="121">
        <v>0</v>
      </c>
      <c r="AK77" s="82">
        <v>563008589</v>
      </c>
      <c r="AL77" s="83">
        <v>11512868</v>
      </c>
      <c r="AM77" s="114">
        <v>50000</v>
      </c>
      <c r="AN77" s="114">
        <v>149450890</v>
      </c>
      <c r="AO77" s="114">
        <v>13791117</v>
      </c>
      <c r="AP77" s="114">
        <v>466429468</v>
      </c>
      <c r="AQ77" s="114">
        <v>161119436</v>
      </c>
      <c r="AR77" s="114">
        <v>167094897</v>
      </c>
      <c r="AS77" s="114">
        <v>50035235</v>
      </c>
      <c r="AT77" s="114">
        <f>5029611+94837145</f>
        <v>99866756</v>
      </c>
      <c r="AU77" s="114">
        <v>2176911</v>
      </c>
      <c r="AV77" s="114">
        <v>0</v>
      </c>
      <c r="AW77" s="114">
        <v>1761520</v>
      </c>
      <c r="AX77" s="114">
        <v>177094</v>
      </c>
      <c r="AY77" s="114">
        <v>893530</v>
      </c>
      <c r="BD77" s="82">
        <v>29694542.989999998</v>
      </c>
      <c r="BE77" s="82">
        <v>14847271</v>
      </c>
      <c r="BF77" s="117">
        <v>0</v>
      </c>
      <c r="BG77" s="118">
        <v>2200846</v>
      </c>
      <c r="BH77" s="118">
        <v>4232396</v>
      </c>
      <c r="BI77" s="117">
        <v>58404279</v>
      </c>
      <c r="BJ77" s="117">
        <v>58404279</v>
      </c>
      <c r="BK77" s="117">
        <v>139267806.25</v>
      </c>
      <c r="BL77" s="117">
        <v>134404180.25</v>
      </c>
      <c r="BM77" s="117">
        <v>0</v>
      </c>
      <c r="BN77" s="117">
        <v>0</v>
      </c>
      <c r="BO77" s="119"/>
      <c r="BP77" s="86">
        <f t="shared" si="15"/>
        <v>5619653849.9877052</v>
      </c>
      <c r="BQ77" s="86">
        <f t="shared" si="16"/>
        <v>4835275816.7377052</v>
      </c>
      <c r="BR77" s="87">
        <v>3264114</v>
      </c>
      <c r="BT77" s="86">
        <f t="shared" si="11"/>
        <v>4510032218</v>
      </c>
      <c r="BU77" s="82">
        <f t="shared" si="12"/>
        <v>563008589</v>
      </c>
      <c r="BV77" s="82">
        <f t="shared" si="13"/>
        <v>11512868</v>
      </c>
      <c r="BW77" s="86">
        <f t="shared" si="14"/>
        <v>374396678</v>
      </c>
      <c r="BX77" s="86">
        <f t="shared" si="17"/>
        <v>5458950353</v>
      </c>
    </row>
    <row r="78" spans="1:76" x14ac:dyDescent="0.25">
      <c r="A78" s="91" t="s">
        <v>132</v>
      </c>
      <c r="B78" s="114">
        <v>108996070</v>
      </c>
      <c r="C78" s="114">
        <v>47394490</v>
      </c>
      <c r="D78" s="114">
        <v>37934011</v>
      </c>
      <c r="E78" s="114">
        <v>0</v>
      </c>
      <c r="F78" s="114">
        <v>21398700</v>
      </c>
      <c r="G78" s="114">
        <v>24642110</v>
      </c>
      <c r="H78" s="114">
        <v>9465389</v>
      </c>
      <c r="I78" s="114">
        <v>7362190</v>
      </c>
      <c r="J78" s="114">
        <v>15000</v>
      </c>
      <c r="K78" s="114">
        <v>0</v>
      </c>
      <c r="L78" s="114">
        <v>78792040</v>
      </c>
      <c r="M78" s="114">
        <v>37327950</v>
      </c>
      <c r="N78" s="114">
        <v>1026</v>
      </c>
      <c r="O78" s="114">
        <v>1185</v>
      </c>
      <c r="P78" s="114">
        <v>1093800</v>
      </c>
      <c r="Q78" s="114">
        <v>176800</v>
      </c>
      <c r="R78" s="114">
        <v>0</v>
      </c>
      <c r="S78" s="114">
        <v>2129900</v>
      </c>
      <c r="T78" s="114">
        <v>475060</v>
      </c>
      <c r="U78" s="114">
        <v>992000</v>
      </c>
      <c r="V78" s="114">
        <v>1093800</v>
      </c>
      <c r="W78" s="114">
        <v>229900</v>
      </c>
      <c r="X78" s="114">
        <v>0</v>
      </c>
      <c r="Y78" s="114">
        <v>2129900</v>
      </c>
      <c r="Z78" s="114">
        <v>445500</v>
      </c>
      <c r="AA78" s="114">
        <v>992000</v>
      </c>
      <c r="AB78" s="114">
        <v>-1650518</v>
      </c>
      <c r="AC78" s="114">
        <v>0</v>
      </c>
      <c r="AD78" s="114">
        <v>147712</v>
      </c>
      <c r="AE78" s="114">
        <v>3</v>
      </c>
      <c r="AF78" s="114">
        <v>0</v>
      </c>
      <c r="AG78" s="114">
        <v>190711</v>
      </c>
      <c r="AH78" s="114">
        <v>5324549.180327869</v>
      </c>
      <c r="AI78" s="114">
        <v>3553303.2786885244</v>
      </c>
      <c r="AJ78" s="121">
        <v>1566691.8032786886</v>
      </c>
      <c r="AK78" s="82">
        <v>76440523</v>
      </c>
      <c r="AL78" s="83">
        <v>1386241</v>
      </c>
      <c r="AM78" s="114">
        <v>0</v>
      </c>
      <c r="AN78" s="114">
        <v>19974249</v>
      </c>
      <c r="AO78" s="114">
        <v>134225</v>
      </c>
      <c r="AP78" s="114">
        <v>301743</v>
      </c>
      <c r="AQ78" s="114">
        <v>8314857</v>
      </c>
      <c r="AR78" s="114">
        <v>556816</v>
      </c>
      <c r="AS78" s="114">
        <v>0</v>
      </c>
      <c r="AT78" s="114">
        <v>254887</v>
      </c>
      <c r="AU78" s="114">
        <v>0</v>
      </c>
      <c r="AV78" s="114">
        <v>0</v>
      </c>
      <c r="AW78" s="114">
        <v>0</v>
      </c>
      <c r="AX78" s="114">
        <v>0</v>
      </c>
      <c r="AY78" s="114">
        <v>0</v>
      </c>
      <c r="BD78" s="82">
        <v>4031672.77</v>
      </c>
      <c r="BE78" s="82">
        <v>2015836</v>
      </c>
      <c r="BF78" s="117">
        <v>0</v>
      </c>
      <c r="BG78" s="118">
        <v>0</v>
      </c>
      <c r="BH78" s="118">
        <v>0</v>
      </c>
      <c r="BI78" s="117">
        <v>1820009</v>
      </c>
      <c r="BJ78" s="117">
        <v>1820009</v>
      </c>
      <c r="BK78" s="117">
        <v>37270658</v>
      </c>
      <c r="BL78" s="117">
        <v>37230175</v>
      </c>
      <c r="BM78" s="117">
        <v>0</v>
      </c>
      <c r="BN78" s="117">
        <v>0</v>
      </c>
      <c r="BO78" s="119"/>
      <c r="BP78" s="86">
        <f t="shared" si="15"/>
        <v>352085230.26229507</v>
      </c>
      <c r="BQ78" s="86">
        <f t="shared" si="16"/>
        <v>233192446.26229507</v>
      </c>
      <c r="BR78" s="87">
        <v>345914</v>
      </c>
      <c r="BT78" s="86">
        <f t="shared" si="11"/>
        <v>194324571</v>
      </c>
      <c r="BU78" s="82">
        <f t="shared" si="12"/>
        <v>76440523</v>
      </c>
      <c r="BV78" s="82">
        <f t="shared" si="13"/>
        <v>1386241</v>
      </c>
      <c r="BW78" s="86">
        <f t="shared" si="14"/>
        <v>28423331</v>
      </c>
      <c r="BX78" s="86">
        <f t="shared" si="17"/>
        <v>300574666</v>
      </c>
    </row>
    <row r="79" spans="1:76" x14ac:dyDescent="0.25">
      <c r="A79" s="91" t="s">
        <v>133</v>
      </c>
      <c r="B79" s="114">
        <v>459216724</v>
      </c>
      <c r="C79" s="114">
        <v>192182492</v>
      </c>
      <c r="D79" s="114">
        <v>269900239</v>
      </c>
      <c r="E79" s="114">
        <v>14750000</v>
      </c>
      <c r="F79" s="114">
        <v>49471850</v>
      </c>
      <c r="G79" s="114">
        <v>11894115</v>
      </c>
      <c r="H79" s="114">
        <v>14833900</v>
      </c>
      <c r="I79" s="114">
        <v>2382100</v>
      </c>
      <c r="J79" s="114">
        <v>150400</v>
      </c>
      <c r="K79" s="114">
        <v>0</v>
      </c>
      <c r="L79" s="114">
        <v>344086795</v>
      </c>
      <c r="M79" s="114">
        <v>118647350</v>
      </c>
      <c r="N79" s="114">
        <v>1768</v>
      </c>
      <c r="O79" s="114">
        <v>427</v>
      </c>
      <c r="P79" s="114">
        <v>7770970</v>
      </c>
      <c r="Q79" s="114">
        <v>2940936</v>
      </c>
      <c r="R79" s="114">
        <v>6247000</v>
      </c>
      <c r="S79" s="114">
        <v>3186745</v>
      </c>
      <c r="T79" s="114">
        <v>2741100</v>
      </c>
      <c r="U79" s="114">
        <v>2518969</v>
      </c>
      <c r="V79" s="114">
        <v>7709420</v>
      </c>
      <c r="W79" s="114">
        <v>3700309</v>
      </c>
      <c r="X79" s="114">
        <v>6247000</v>
      </c>
      <c r="Y79" s="114">
        <v>3385945</v>
      </c>
      <c r="Z79" s="114">
        <v>4432429</v>
      </c>
      <c r="AA79" s="114">
        <v>2518969</v>
      </c>
      <c r="AB79" s="114">
        <v>-1394200</v>
      </c>
      <c r="AC79" s="114">
        <v>-1260435</v>
      </c>
      <c r="AD79" s="114">
        <v>53445</v>
      </c>
      <c r="AE79" s="114">
        <v>0</v>
      </c>
      <c r="AF79" s="114">
        <v>0</v>
      </c>
      <c r="AG79" s="114">
        <v>204033</v>
      </c>
      <c r="AH79" s="114">
        <v>33549.180327868853</v>
      </c>
      <c r="AI79" s="114">
        <v>261147.5409836066</v>
      </c>
      <c r="AJ79" s="121">
        <v>0</v>
      </c>
      <c r="AK79" s="82">
        <v>122685383</v>
      </c>
      <c r="AL79" s="83">
        <v>1957508</v>
      </c>
      <c r="AM79" s="114">
        <v>0</v>
      </c>
      <c r="AN79" s="114">
        <v>37329335</v>
      </c>
      <c r="AO79" s="114">
        <v>13263622</v>
      </c>
      <c r="AP79" s="114">
        <v>380752473</v>
      </c>
      <c r="AQ79" s="114">
        <v>45766005</v>
      </c>
      <c r="AR79" s="114">
        <v>83105899</v>
      </c>
      <c r="AS79" s="114">
        <v>6471847</v>
      </c>
      <c r="AT79" s="114">
        <v>8034390</v>
      </c>
      <c r="AU79" s="114">
        <v>0</v>
      </c>
      <c r="AV79" s="114">
        <v>0</v>
      </c>
      <c r="AW79" s="114">
        <v>254000</v>
      </c>
      <c r="AX79" s="114">
        <v>270270</v>
      </c>
      <c r="AY79" s="114">
        <v>21000</v>
      </c>
      <c r="BD79" s="82">
        <v>6470747.4299999997</v>
      </c>
      <c r="BE79" s="82">
        <v>3235374</v>
      </c>
      <c r="BF79" s="117">
        <v>0</v>
      </c>
      <c r="BG79" s="118">
        <v>0</v>
      </c>
      <c r="BH79" s="118">
        <v>0</v>
      </c>
      <c r="BI79" s="117">
        <v>19132999</v>
      </c>
      <c r="BJ79" s="117">
        <v>19132999</v>
      </c>
      <c r="BK79" s="117">
        <v>46944150.5</v>
      </c>
      <c r="BL79" s="117">
        <v>46722070.5</v>
      </c>
      <c r="BM79" s="117">
        <v>140639347</v>
      </c>
      <c r="BN79" s="117">
        <v>0</v>
      </c>
      <c r="BO79" s="119"/>
      <c r="BP79" s="86">
        <f t="shared" si="15"/>
        <v>1352325795.2213116</v>
      </c>
      <c r="BQ79" s="86">
        <f t="shared" si="16"/>
        <v>1017953113.7213115</v>
      </c>
      <c r="BR79" s="87">
        <v>1010000</v>
      </c>
      <c r="BT79" s="86">
        <f t="shared" si="11"/>
        <v>921299455</v>
      </c>
      <c r="BU79" s="82">
        <f t="shared" si="12"/>
        <v>122685383</v>
      </c>
      <c r="BV79" s="82">
        <f t="shared" si="13"/>
        <v>1957508</v>
      </c>
      <c r="BW79" s="86">
        <f t="shared" si="14"/>
        <v>102830809</v>
      </c>
      <c r="BX79" s="86">
        <f t="shared" si="17"/>
        <v>1148773155</v>
      </c>
    </row>
    <row r="80" spans="1:76" x14ac:dyDescent="0.25">
      <c r="A80" s="91" t="s">
        <v>134</v>
      </c>
      <c r="B80" s="114">
        <v>1268888924</v>
      </c>
      <c r="C80" s="114">
        <v>210295023</v>
      </c>
      <c r="D80" s="114">
        <v>399975588</v>
      </c>
      <c r="E80" s="114">
        <v>0</v>
      </c>
      <c r="F80" s="114">
        <v>116125300</v>
      </c>
      <c r="G80" s="114">
        <v>15213570</v>
      </c>
      <c r="H80" s="114">
        <v>21489439</v>
      </c>
      <c r="I80" s="114">
        <v>1701356</v>
      </c>
      <c r="J80" s="114">
        <v>612000</v>
      </c>
      <c r="K80" s="114">
        <v>37600</v>
      </c>
      <c r="L80" s="114">
        <v>223632334</v>
      </c>
      <c r="M80" s="114">
        <v>141484271</v>
      </c>
      <c r="N80" s="114">
        <v>3893</v>
      </c>
      <c r="O80" s="114">
        <v>530</v>
      </c>
      <c r="P80" s="114">
        <v>19518341</v>
      </c>
      <c r="Q80" s="114">
        <v>5187692</v>
      </c>
      <c r="R80" s="114">
        <v>11480685</v>
      </c>
      <c r="S80" s="114">
        <v>11523498</v>
      </c>
      <c r="T80" s="114">
        <v>1896346</v>
      </c>
      <c r="U80" s="114">
        <v>3278540</v>
      </c>
      <c r="V80" s="114">
        <v>19518341</v>
      </c>
      <c r="W80" s="114">
        <v>7375750</v>
      </c>
      <c r="X80" s="114">
        <v>11480685</v>
      </c>
      <c r="Y80" s="114">
        <v>11523498</v>
      </c>
      <c r="Z80" s="114">
        <v>3667616</v>
      </c>
      <c r="AA80" s="114">
        <v>3278540</v>
      </c>
      <c r="AB80" s="114">
        <v>-11520249</v>
      </c>
      <c r="AC80" s="114">
        <v>-3348635</v>
      </c>
      <c r="AD80" s="114">
        <v>0</v>
      </c>
      <c r="AE80" s="114">
        <v>0</v>
      </c>
      <c r="AF80" s="114">
        <v>0</v>
      </c>
      <c r="AG80" s="114">
        <v>131909</v>
      </c>
      <c r="AH80" s="114">
        <v>0</v>
      </c>
      <c r="AI80" s="114">
        <v>37254.098360655742</v>
      </c>
      <c r="AJ80" s="121">
        <v>0</v>
      </c>
      <c r="AK80" s="82">
        <v>266939230</v>
      </c>
      <c r="AL80" s="83">
        <v>24994506</v>
      </c>
      <c r="AM80" s="114">
        <v>7423381</v>
      </c>
      <c r="AN80" s="114">
        <v>102180550</v>
      </c>
      <c r="AO80" s="114">
        <v>49289021</v>
      </c>
      <c r="AP80" s="114">
        <v>1259566633</v>
      </c>
      <c r="AQ80" s="114">
        <v>78517972</v>
      </c>
      <c r="AR80" s="114">
        <v>104351461</v>
      </c>
      <c r="AS80" s="114">
        <v>125296397</v>
      </c>
      <c r="AT80" s="114">
        <v>1424421</v>
      </c>
      <c r="AU80" s="114">
        <v>0</v>
      </c>
      <c r="AV80" s="114">
        <v>0</v>
      </c>
      <c r="AW80" s="114">
        <v>0</v>
      </c>
      <c r="AX80" s="114">
        <v>98959</v>
      </c>
      <c r="AY80" s="114">
        <v>60000</v>
      </c>
      <c r="BD80" s="82">
        <v>14079071.970000001</v>
      </c>
      <c r="BE80" s="82">
        <v>7039536</v>
      </c>
      <c r="BF80" s="117">
        <v>17375648</v>
      </c>
      <c r="BG80" s="118">
        <v>1330379</v>
      </c>
      <c r="BH80" s="118">
        <v>2558421</v>
      </c>
      <c r="BI80" s="117">
        <v>21026353</v>
      </c>
      <c r="BJ80" s="117">
        <v>18385420</v>
      </c>
      <c r="BK80" s="117">
        <v>66636138.5</v>
      </c>
      <c r="BL80" s="117">
        <v>64731148.5</v>
      </c>
      <c r="BM80" s="117">
        <v>0</v>
      </c>
      <c r="BN80" s="117">
        <v>12494313</v>
      </c>
      <c r="BO80" s="119"/>
      <c r="BP80" s="86">
        <f t="shared" si="15"/>
        <v>2505098864.5983605</v>
      </c>
      <c r="BQ80" s="86">
        <f t="shared" si="16"/>
        <v>2109184332.0983605</v>
      </c>
      <c r="BR80" s="87">
        <v>2004491</v>
      </c>
      <c r="BT80" s="86">
        <f t="shared" si="11"/>
        <v>1879159535</v>
      </c>
      <c r="BU80" s="82">
        <f t="shared" si="12"/>
        <v>266939230</v>
      </c>
      <c r="BV80" s="82">
        <f t="shared" si="13"/>
        <v>24994506</v>
      </c>
      <c r="BW80" s="86">
        <f t="shared" si="14"/>
        <v>355283940</v>
      </c>
      <c r="BX80" s="86">
        <f t="shared" si="17"/>
        <v>2526377211</v>
      </c>
    </row>
    <row r="81" spans="1:76" x14ac:dyDescent="0.25">
      <c r="A81" s="91" t="s">
        <v>135</v>
      </c>
      <c r="B81" s="114">
        <v>95707659</v>
      </c>
      <c r="C81" s="114">
        <v>28264677</v>
      </c>
      <c r="D81" s="114">
        <v>79053604</v>
      </c>
      <c r="E81" s="114">
        <v>0</v>
      </c>
      <c r="F81" s="114">
        <v>19743035</v>
      </c>
      <c r="G81" s="114">
        <v>22509455</v>
      </c>
      <c r="H81" s="114">
        <v>7951350</v>
      </c>
      <c r="I81" s="114">
        <v>4067075</v>
      </c>
      <c r="J81" s="114">
        <v>112800</v>
      </c>
      <c r="K81" s="114">
        <v>0</v>
      </c>
      <c r="L81" s="114">
        <v>16332523</v>
      </c>
      <c r="M81" s="114">
        <v>59650</v>
      </c>
      <c r="N81" s="114">
        <v>945</v>
      </c>
      <c r="O81" s="114">
        <v>952</v>
      </c>
      <c r="P81" s="114">
        <v>1906855</v>
      </c>
      <c r="Q81" s="114">
        <v>70000</v>
      </c>
      <c r="R81" s="114">
        <v>356000</v>
      </c>
      <c r="S81" s="114">
        <v>2091050</v>
      </c>
      <c r="T81" s="114">
        <v>15600</v>
      </c>
      <c r="U81" s="114">
        <v>1834600</v>
      </c>
      <c r="V81" s="114">
        <v>1906855</v>
      </c>
      <c r="W81" s="114">
        <v>34000</v>
      </c>
      <c r="X81" s="114">
        <v>356000</v>
      </c>
      <c r="Y81" s="114">
        <v>2091050</v>
      </c>
      <c r="Z81" s="114">
        <v>5000</v>
      </c>
      <c r="AA81" s="114">
        <v>1834600</v>
      </c>
      <c r="AB81" s="114">
        <v>-4480177</v>
      </c>
      <c r="AC81" s="114">
        <v>-3820</v>
      </c>
      <c r="AD81" s="114">
        <v>0</v>
      </c>
      <c r="AE81" s="114">
        <v>0</v>
      </c>
      <c r="AF81" s="114">
        <v>0</v>
      </c>
      <c r="AG81" s="114">
        <v>0</v>
      </c>
      <c r="AH81" s="114">
        <v>1127401.6393442624</v>
      </c>
      <c r="AI81" s="114">
        <v>46189122.950819679</v>
      </c>
      <c r="AJ81" s="121">
        <v>3302239.3442622954</v>
      </c>
      <c r="AK81" s="82">
        <v>74450224</v>
      </c>
      <c r="AL81" s="83">
        <v>2672980</v>
      </c>
      <c r="AM81" s="114">
        <v>19000</v>
      </c>
      <c r="AN81" s="114">
        <v>32647848</v>
      </c>
      <c r="AO81" s="114">
        <v>313871</v>
      </c>
      <c r="AP81" s="114">
        <v>25412019</v>
      </c>
      <c r="AQ81" s="114">
        <v>8858764</v>
      </c>
      <c r="AR81" s="114">
        <v>3393495</v>
      </c>
      <c r="AS81" s="114">
        <v>538165</v>
      </c>
      <c r="AT81" s="114">
        <v>262694</v>
      </c>
      <c r="AU81" s="114">
        <v>0</v>
      </c>
      <c r="AV81" s="114">
        <v>0</v>
      </c>
      <c r="AW81" s="114">
        <v>0</v>
      </c>
      <c r="AX81" s="114">
        <v>0</v>
      </c>
      <c r="AY81" s="114">
        <v>5888800</v>
      </c>
      <c r="BD81" s="82">
        <v>3926699.2</v>
      </c>
      <c r="BE81" s="82">
        <v>1963350</v>
      </c>
      <c r="BF81" s="117">
        <v>0</v>
      </c>
      <c r="BG81" s="118">
        <v>4531813</v>
      </c>
      <c r="BH81" s="118">
        <v>8715025</v>
      </c>
      <c r="BI81" s="117">
        <v>29784977</v>
      </c>
      <c r="BJ81" s="117">
        <v>29784977</v>
      </c>
      <c r="BK81" s="117">
        <v>51114359</v>
      </c>
      <c r="BL81" s="117">
        <v>43684913</v>
      </c>
      <c r="BM81" s="117">
        <v>0</v>
      </c>
      <c r="BN81" s="117">
        <v>0</v>
      </c>
      <c r="BO81" s="119"/>
      <c r="BP81" s="86">
        <f t="shared" si="15"/>
        <v>452553443.93442625</v>
      </c>
      <c r="BQ81" s="86">
        <f t="shared" si="16"/>
        <v>295465186.93442625</v>
      </c>
      <c r="BR81" s="87">
        <v>1288730</v>
      </c>
      <c r="BT81" s="86">
        <f t="shared" si="11"/>
        <v>203025940</v>
      </c>
      <c r="BU81" s="82">
        <f t="shared" si="12"/>
        <v>74450224</v>
      </c>
      <c r="BV81" s="82">
        <f t="shared" si="13"/>
        <v>2672980</v>
      </c>
      <c r="BW81" s="86">
        <f t="shared" si="14"/>
        <v>42358648</v>
      </c>
      <c r="BX81" s="86">
        <f t="shared" si="17"/>
        <v>322507792</v>
      </c>
    </row>
    <row r="82" spans="1:76" x14ac:dyDescent="0.25">
      <c r="A82" s="91" t="s">
        <v>136</v>
      </c>
      <c r="B82" s="114">
        <v>401953419</v>
      </c>
      <c r="C82" s="114">
        <v>110034748</v>
      </c>
      <c r="D82" s="114">
        <v>238563248</v>
      </c>
      <c r="E82" s="114">
        <v>28792954</v>
      </c>
      <c r="F82" s="114">
        <v>48872868</v>
      </c>
      <c r="G82" s="114">
        <v>7961324</v>
      </c>
      <c r="H82" s="114">
        <v>7753520</v>
      </c>
      <c r="I82" s="114">
        <v>875787</v>
      </c>
      <c r="J82" s="114">
        <v>156400</v>
      </c>
      <c r="K82" s="114">
        <v>37600</v>
      </c>
      <c r="L82" s="114">
        <v>282596583</v>
      </c>
      <c r="M82" s="114">
        <v>72315426</v>
      </c>
      <c r="N82" s="114">
        <v>1589</v>
      </c>
      <c r="O82" s="114">
        <v>264</v>
      </c>
      <c r="P82" s="114">
        <v>5177765</v>
      </c>
      <c r="Q82" s="114">
        <v>1973606</v>
      </c>
      <c r="R82" s="114">
        <v>255632</v>
      </c>
      <c r="S82" s="114">
        <v>3318647</v>
      </c>
      <c r="T82" s="114">
        <v>211872</v>
      </c>
      <c r="U82" s="114">
        <v>4698065</v>
      </c>
      <c r="V82" s="114">
        <v>5177765</v>
      </c>
      <c r="W82" s="114">
        <v>2056205</v>
      </c>
      <c r="X82" s="114">
        <v>255632</v>
      </c>
      <c r="Y82" s="114">
        <v>3318647</v>
      </c>
      <c r="Z82" s="114">
        <v>1516603</v>
      </c>
      <c r="AA82" s="114">
        <v>4698065</v>
      </c>
      <c r="AB82" s="114">
        <v>-4341981</v>
      </c>
      <c r="AC82" s="114">
        <v>-1948</v>
      </c>
      <c r="AD82" s="114">
        <v>0</v>
      </c>
      <c r="AE82" s="114">
        <v>0</v>
      </c>
      <c r="AF82" s="114">
        <v>0</v>
      </c>
      <c r="AG82" s="114">
        <v>134285</v>
      </c>
      <c r="AH82" s="114">
        <v>0</v>
      </c>
      <c r="AI82" s="114">
        <v>1847745.9016393444</v>
      </c>
      <c r="AJ82" s="121">
        <v>0</v>
      </c>
      <c r="AK82" s="82">
        <v>117306778</v>
      </c>
      <c r="AL82" s="83">
        <v>2034537</v>
      </c>
      <c r="AM82" s="114">
        <v>0</v>
      </c>
      <c r="AN82" s="114">
        <v>71839596</v>
      </c>
      <c r="AO82" s="114">
        <v>12704840</v>
      </c>
      <c r="AP82" s="114">
        <v>223936182</v>
      </c>
      <c r="AQ82" s="114">
        <v>37357555</v>
      </c>
      <c r="AR82" s="114">
        <v>49829144</v>
      </c>
      <c r="AS82" s="114">
        <v>65432633</v>
      </c>
      <c r="AT82" s="114">
        <v>0</v>
      </c>
      <c r="AU82" s="114">
        <v>0</v>
      </c>
      <c r="AV82" s="114">
        <v>0</v>
      </c>
      <c r="AW82" s="114">
        <v>24917878</v>
      </c>
      <c r="AX82" s="114">
        <v>85474</v>
      </c>
      <c r="AY82" s="114">
        <v>836150</v>
      </c>
      <c r="BD82" s="82">
        <v>6187065.2300000004</v>
      </c>
      <c r="BE82" s="82">
        <v>3093533</v>
      </c>
      <c r="BF82" s="117">
        <v>19590674</v>
      </c>
      <c r="BG82" s="118">
        <v>3866998</v>
      </c>
      <c r="BH82" s="118">
        <v>7436534</v>
      </c>
      <c r="BI82" s="117">
        <v>286119237</v>
      </c>
      <c r="BJ82" s="117">
        <v>286119237</v>
      </c>
      <c r="BK82" s="117">
        <v>86856764.75</v>
      </c>
      <c r="BL82" s="117">
        <v>79704771.75</v>
      </c>
      <c r="BM82" s="117">
        <v>12251</v>
      </c>
      <c r="BN82" s="117">
        <v>0</v>
      </c>
      <c r="BO82" s="119"/>
      <c r="BP82" s="86">
        <f t="shared" si="15"/>
        <v>1366439257.6516395</v>
      </c>
      <c r="BQ82" s="86">
        <f t="shared" si="16"/>
        <v>874301151.90163934</v>
      </c>
      <c r="BR82" s="87">
        <v>496424</v>
      </c>
      <c r="BT82" s="86">
        <f t="shared" si="11"/>
        <v>750551415</v>
      </c>
      <c r="BU82" s="82">
        <f t="shared" si="12"/>
        <v>117306778</v>
      </c>
      <c r="BV82" s="82">
        <f t="shared" si="13"/>
        <v>2034537</v>
      </c>
      <c r="BW82" s="86">
        <f t="shared" si="14"/>
        <v>187334624</v>
      </c>
      <c r="BX82" s="86">
        <f t="shared" si="17"/>
        <v>1057227354</v>
      </c>
    </row>
    <row r="83" spans="1:76" x14ac:dyDescent="0.25">
      <c r="A83" s="91" t="s">
        <v>137</v>
      </c>
      <c r="B83" s="114">
        <v>909490609</v>
      </c>
      <c r="C83" s="114">
        <v>175092690</v>
      </c>
      <c r="D83" s="114">
        <v>120871050</v>
      </c>
      <c r="E83" s="114">
        <v>0</v>
      </c>
      <c r="F83" s="114">
        <v>65491376</v>
      </c>
      <c r="G83" s="114">
        <v>15021490</v>
      </c>
      <c r="H83" s="114">
        <v>16601210</v>
      </c>
      <c r="I83" s="114">
        <v>1161350</v>
      </c>
      <c r="J83" s="114">
        <v>112800</v>
      </c>
      <c r="K83" s="114">
        <v>0</v>
      </c>
      <c r="L83" s="114">
        <v>403660860</v>
      </c>
      <c r="M83" s="114">
        <v>127352600</v>
      </c>
      <c r="N83" s="114">
        <v>2278</v>
      </c>
      <c r="O83" s="114">
        <v>468</v>
      </c>
      <c r="P83" s="114">
        <v>8427850</v>
      </c>
      <c r="Q83" s="114">
        <v>2365900</v>
      </c>
      <c r="R83" s="114">
        <v>3756400</v>
      </c>
      <c r="S83" s="114">
        <v>2126300</v>
      </c>
      <c r="T83" s="114">
        <v>54700</v>
      </c>
      <c r="U83" s="114">
        <v>286000</v>
      </c>
      <c r="V83" s="114">
        <v>8427850</v>
      </c>
      <c r="W83" s="114">
        <v>2365900</v>
      </c>
      <c r="X83" s="114">
        <v>3756400</v>
      </c>
      <c r="Y83" s="114">
        <v>2126300</v>
      </c>
      <c r="Z83" s="114">
        <v>54700</v>
      </c>
      <c r="AA83" s="114">
        <v>286000</v>
      </c>
      <c r="AB83" s="114">
        <v>-2009500</v>
      </c>
      <c r="AC83" s="114">
        <v>-1141534</v>
      </c>
      <c r="AD83" s="114">
        <v>57817</v>
      </c>
      <c r="AE83" s="114">
        <v>0</v>
      </c>
      <c r="AF83" s="114">
        <v>0</v>
      </c>
      <c r="AG83" s="114">
        <v>143383</v>
      </c>
      <c r="AH83" s="114">
        <v>0</v>
      </c>
      <c r="AI83" s="114">
        <v>10420319.672131147</v>
      </c>
      <c r="AJ83" s="121">
        <v>0</v>
      </c>
      <c r="AK83" s="82">
        <v>186315879</v>
      </c>
      <c r="AL83" s="83">
        <v>8041777</v>
      </c>
      <c r="AM83" s="114">
        <v>0</v>
      </c>
      <c r="AN83" s="114">
        <v>48002791</v>
      </c>
      <c r="AO83" s="114">
        <v>2831955</v>
      </c>
      <c r="AP83" s="114">
        <v>43649033</v>
      </c>
      <c r="AQ83" s="114">
        <v>16667806</v>
      </c>
      <c r="AR83" s="114">
        <v>28840827</v>
      </c>
      <c r="AS83" s="114">
        <v>24090183</v>
      </c>
      <c r="AT83" s="114">
        <v>1495733</v>
      </c>
      <c r="AU83" s="114">
        <v>0</v>
      </c>
      <c r="AV83" s="114">
        <v>0</v>
      </c>
      <c r="AW83" s="114">
        <v>1909963</v>
      </c>
      <c r="AX83" s="114">
        <v>14974</v>
      </c>
      <c r="AY83" s="114">
        <v>0</v>
      </c>
      <c r="BD83" s="82">
        <v>9826785.9299999997</v>
      </c>
      <c r="BE83" s="82">
        <v>4913393</v>
      </c>
      <c r="BF83" s="117">
        <v>56113990</v>
      </c>
      <c r="BG83" s="118">
        <v>2057264</v>
      </c>
      <c r="BH83" s="118">
        <v>3956276</v>
      </c>
      <c r="BI83" s="117">
        <v>24053818</v>
      </c>
      <c r="BJ83" s="117">
        <v>23765548</v>
      </c>
      <c r="BK83" s="117">
        <v>73137440.5</v>
      </c>
      <c r="BL83" s="117">
        <v>70785436.5</v>
      </c>
      <c r="BM83" s="117">
        <v>0</v>
      </c>
      <c r="BN83" s="117">
        <v>0</v>
      </c>
      <c r="BO83" s="119"/>
      <c r="BP83" s="86">
        <f t="shared" si="15"/>
        <v>1579256518.1721311</v>
      </c>
      <c r="BQ83" s="86">
        <f t="shared" si="16"/>
        <v>1283377220.6721311</v>
      </c>
      <c r="BR83" s="87">
        <v>4261050</v>
      </c>
      <c r="BT83" s="86">
        <f t="shared" si="11"/>
        <v>1205454349</v>
      </c>
      <c r="BU83" s="82">
        <f t="shared" si="12"/>
        <v>186315879</v>
      </c>
      <c r="BV83" s="82">
        <f t="shared" si="13"/>
        <v>8041777</v>
      </c>
      <c r="BW83" s="86">
        <f t="shared" si="14"/>
        <v>91592735</v>
      </c>
      <c r="BX83" s="86">
        <f t="shared" si="17"/>
        <v>1491404740</v>
      </c>
    </row>
    <row r="84" spans="1:76" x14ac:dyDescent="0.25">
      <c r="A84" s="91" t="s">
        <v>138</v>
      </c>
      <c r="B84" s="114">
        <v>93971331</v>
      </c>
      <c r="C84" s="114">
        <v>32527567</v>
      </c>
      <c r="D84" s="114">
        <v>9631630</v>
      </c>
      <c r="E84" s="114">
        <v>0</v>
      </c>
      <c r="F84" s="114">
        <v>11705531</v>
      </c>
      <c r="G84" s="114">
        <v>10578616</v>
      </c>
      <c r="H84" s="114">
        <v>5854045</v>
      </c>
      <c r="I84" s="114">
        <v>2030380</v>
      </c>
      <c r="J84" s="114">
        <v>0</v>
      </c>
      <c r="K84" s="114">
        <v>0</v>
      </c>
      <c r="L84" s="114">
        <v>33576756</v>
      </c>
      <c r="M84" s="114">
        <v>23259219</v>
      </c>
      <c r="N84" s="114">
        <v>571</v>
      </c>
      <c r="O84" s="114">
        <v>446</v>
      </c>
      <c r="P84" s="114">
        <v>2688641</v>
      </c>
      <c r="Q84" s="114">
        <v>0</v>
      </c>
      <c r="R84" s="114">
        <v>65000</v>
      </c>
      <c r="S84" s="114">
        <v>1674680</v>
      </c>
      <c r="T84" s="114">
        <v>0</v>
      </c>
      <c r="U84" s="114">
        <v>52000</v>
      </c>
      <c r="V84" s="114">
        <v>2688641</v>
      </c>
      <c r="W84" s="114">
        <v>0</v>
      </c>
      <c r="X84" s="114">
        <v>65000</v>
      </c>
      <c r="Y84" s="114">
        <v>1674680</v>
      </c>
      <c r="Z84" s="114">
        <v>0</v>
      </c>
      <c r="AA84" s="114">
        <v>52000</v>
      </c>
      <c r="AB84" s="114">
        <v>-1908111</v>
      </c>
      <c r="AC84" s="114">
        <v>0</v>
      </c>
      <c r="AD84" s="114">
        <v>0</v>
      </c>
      <c r="AE84" s="114">
        <v>0</v>
      </c>
      <c r="AF84" s="114">
        <v>0</v>
      </c>
      <c r="AG84" s="114">
        <v>0</v>
      </c>
      <c r="AH84" s="114">
        <v>0</v>
      </c>
      <c r="AI84" s="114">
        <v>232926.22950819673</v>
      </c>
      <c r="AJ84" s="121">
        <v>0</v>
      </c>
      <c r="AK84" s="82">
        <v>27676070</v>
      </c>
      <c r="AL84" s="83">
        <v>1381013</v>
      </c>
      <c r="AM84" s="114">
        <v>0</v>
      </c>
      <c r="AN84" s="114">
        <v>2208172</v>
      </c>
      <c r="AO84" s="114">
        <v>13443</v>
      </c>
      <c r="AP84" s="114">
        <v>3566669</v>
      </c>
      <c r="AQ84" s="114">
        <v>2505648</v>
      </c>
      <c r="AR84" s="114">
        <v>2488376</v>
      </c>
      <c r="AS84" s="114">
        <v>0</v>
      </c>
      <c r="AT84" s="114">
        <f>129180+250</f>
        <v>129430</v>
      </c>
      <c r="AU84" s="114">
        <v>0</v>
      </c>
      <c r="AV84" s="114">
        <v>0</v>
      </c>
      <c r="AW84" s="114">
        <v>0</v>
      </c>
      <c r="AX84" s="114">
        <v>0</v>
      </c>
      <c r="AY84" s="114">
        <v>0</v>
      </c>
      <c r="BD84" s="82">
        <v>1459708.19</v>
      </c>
      <c r="BE84" s="82">
        <v>729854</v>
      </c>
      <c r="BF84" s="117">
        <v>0</v>
      </c>
      <c r="BG84" s="118">
        <v>0</v>
      </c>
      <c r="BH84" s="118">
        <v>0</v>
      </c>
      <c r="BI84" s="117">
        <v>4533604</v>
      </c>
      <c r="BJ84" s="117">
        <v>4533604</v>
      </c>
      <c r="BK84" s="117">
        <v>20241180</v>
      </c>
      <c r="BL84" s="117">
        <v>20228921</v>
      </c>
      <c r="BM84" s="117">
        <v>0</v>
      </c>
      <c r="BN84" s="117">
        <v>0</v>
      </c>
      <c r="BO84" s="119"/>
      <c r="BP84" s="86">
        <f t="shared" si="15"/>
        <v>195640179.22950819</v>
      </c>
      <c r="BQ84" s="86">
        <f t="shared" si="16"/>
        <v>141090717.22950819</v>
      </c>
      <c r="BR84" s="87">
        <v>210092</v>
      </c>
      <c r="BT84" s="86">
        <f t="shared" si="11"/>
        <v>136130528</v>
      </c>
      <c r="BU84" s="82">
        <f t="shared" si="12"/>
        <v>27676070</v>
      </c>
      <c r="BV84" s="82">
        <f t="shared" si="13"/>
        <v>1381013</v>
      </c>
      <c r="BW84" s="86">
        <f t="shared" si="14"/>
        <v>4727263</v>
      </c>
      <c r="BX84" s="86">
        <f t="shared" si="17"/>
        <v>169914874</v>
      </c>
    </row>
    <row r="85" spans="1:76" x14ac:dyDescent="0.25">
      <c r="A85" s="91" t="s">
        <v>139</v>
      </c>
      <c r="B85" s="114">
        <v>748883921</v>
      </c>
      <c r="C85" s="114">
        <v>255568716</v>
      </c>
      <c r="D85" s="114">
        <v>240426600</v>
      </c>
      <c r="E85" s="114">
        <v>0</v>
      </c>
      <c r="F85" s="114">
        <v>66588141</v>
      </c>
      <c r="G85" s="114">
        <v>9997981</v>
      </c>
      <c r="H85" s="114">
        <v>18441679</v>
      </c>
      <c r="I85" s="114">
        <v>2226068</v>
      </c>
      <c r="J85" s="114">
        <v>112800</v>
      </c>
      <c r="K85" s="114">
        <v>0</v>
      </c>
      <c r="L85" s="114">
        <v>327729734</v>
      </c>
      <c r="M85" s="114">
        <v>191632568</v>
      </c>
      <c r="N85" s="114">
        <v>2303</v>
      </c>
      <c r="O85" s="114">
        <v>334</v>
      </c>
      <c r="P85" s="114">
        <v>4501389</v>
      </c>
      <c r="Q85" s="114">
        <v>4138580</v>
      </c>
      <c r="R85" s="114">
        <v>2093523</v>
      </c>
      <c r="S85" s="114">
        <v>4812928</v>
      </c>
      <c r="T85" s="114">
        <v>2226269</v>
      </c>
      <c r="U85" s="114">
        <v>986248</v>
      </c>
      <c r="V85" s="114">
        <v>4501389</v>
      </c>
      <c r="W85" s="114">
        <v>4492262</v>
      </c>
      <c r="X85" s="114">
        <v>2093523</v>
      </c>
      <c r="Y85" s="114">
        <v>4812928</v>
      </c>
      <c r="Z85" s="114">
        <v>4524187</v>
      </c>
      <c r="AA85" s="114">
        <v>986248</v>
      </c>
      <c r="AB85" s="114">
        <v>-2249311</v>
      </c>
      <c r="AC85" s="114">
        <v>2792</v>
      </c>
      <c r="AD85" s="114">
        <v>3569</v>
      </c>
      <c r="AE85" s="114">
        <v>0</v>
      </c>
      <c r="AF85" s="114">
        <v>0</v>
      </c>
      <c r="AG85" s="114">
        <v>137599</v>
      </c>
      <c r="AH85" s="114">
        <v>0</v>
      </c>
      <c r="AI85" s="114">
        <v>167000.00000000003</v>
      </c>
      <c r="AJ85" s="121">
        <v>0</v>
      </c>
      <c r="AK85" s="82">
        <v>158315843</v>
      </c>
      <c r="AL85" s="83">
        <v>8798489</v>
      </c>
      <c r="AM85" s="114">
        <v>312535</v>
      </c>
      <c r="AN85" s="114">
        <v>31448281</v>
      </c>
      <c r="AO85" s="114">
        <v>10793752</v>
      </c>
      <c r="AP85" s="114">
        <v>443429219</v>
      </c>
      <c r="AQ85" s="114">
        <v>17175026</v>
      </c>
      <c r="AR85" s="114">
        <v>35465054</v>
      </c>
      <c r="AS85" s="114">
        <v>13161349</v>
      </c>
      <c r="AT85" s="114">
        <f>954238+233986963</f>
        <v>234941201</v>
      </c>
      <c r="AU85" s="114">
        <v>0</v>
      </c>
      <c r="AV85" s="114">
        <v>0</v>
      </c>
      <c r="AW85" s="114">
        <v>25787</v>
      </c>
      <c r="AX85" s="114">
        <v>86846</v>
      </c>
      <c r="AY85" s="114">
        <v>21000</v>
      </c>
      <c r="BD85" s="82">
        <v>8349990.9199999999</v>
      </c>
      <c r="BE85" s="82">
        <v>4174995</v>
      </c>
      <c r="BF85" s="117">
        <v>0</v>
      </c>
      <c r="BG85" s="118">
        <v>2571766</v>
      </c>
      <c r="BH85" s="118">
        <v>4945705</v>
      </c>
      <c r="BI85" s="117">
        <v>73534839</v>
      </c>
      <c r="BJ85" s="117">
        <v>73534839</v>
      </c>
      <c r="BK85" s="117">
        <v>72506950</v>
      </c>
      <c r="BL85" s="117">
        <v>67804655</v>
      </c>
      <c r="BM85" s="117">
        <v>0</v>
      </c>
      <c r="BN85" s="117">
        <v>0</v>
      </c>
      <c r="BO85" s="119"/>
      <c r="BP85" s="86">
        <f t="shared" si="15"/>
        <v>1619663883</v>
      </c>
      <c r="BQ85" s="86">
        <f t="shared" si="16"/>
        <v>1304463296</v>
      </c>
      <c r="BR85" s="87">
        <v>823913</v>
      </c>
      <c r="BT85" s="86">
        <f t="shared" si="11"/>
        <v>1244879237</v>
      </c>
      <c r="BU85" s="82">
        <f t="shared" si="12"/>
        <v>158315843</v>
      </c>
      <c r="BV85" s="82">
        <f t="shared" si="13"/>
        <v>8798489</v>
      </c>
      <c r="BW85" s="86">
        <f t="shared" si="14"/>
        <v>72578408</v>
      </c>
      <c r="BX85" s="86">
        <f t="shared" si="17"/>
        <v>1484571977</v>
      </c>
    </row>
    <row r="86" spans="1:76" x14ac:dyDescent="0.25">
      <c r="A86" s="91" t="s">
        <v>140</v>
      </c>
      <c r="B86" s="114">
        <v>112667203</v>
      </c>
      <c r="C86" s="114">
        <v>114210664</v>
      </c>
      <c r="D86" s="114">
        <v>47264024</v>
      </c>
      <c r="E86" s="114">
        <v>0</v>
      </c>
      <c r="F86" s="114">
        <v>20865880</v>
      </c>
      <c r="G86" s="114">
        <v>6991210</v>
      </c>
      <c r="H86" s="114">
        <v>15080023</v>
      </c>
      <c r="I86" s="114">
        <v>2175479</v>
      </c>
      <c r="J86" s="114">
        <v>112800</v>
      </c>
      <c r="K86" s="114">
        <v>0</v>
      </c>
      <c r="L86" s="114">
        <v>201774511</v>
      </c>
      <c r="M86" s="114">
        <v>9962900</v>
      </c>
      <c r="N86" s="114">
        <v>1051</v>
      </c>
      <c r="O86" s="114">
        <v>316</v>
      </c>
      <c r="P86" s="114">
        <v>1009705</v>
      </c>
      <c r="Q86" s="114">
        <v>1478473</v>
      </c>
      <c r="R86" s="114">
        <v>522000</v>
      </c>
      <c r="S86" s="114">
        <v>1798353</v>
      </c>
      <c r="T86" s="114">
        <v>1191404</v>
      </c>
      <c r="U86" s="114">
        <v>588950</v>
      </c>
      <c r="V86" s="114">
        <v>1009705</v>
      </c>
      <c r="W86" s="114">
        <v>2219335</v>
      </c>
      <c r="X86" s="114">
        <v>522000</v>
      </c>
      <c r="Y86" s="114">
        <v>1798353</v>
      </c>
      <c r="Z86" s="114">
        <v>2206069</v>
      </c>
      <c r="AA86" s="114">
        <v>588950</v>
      </c>
      <c r="AB86" s="114">
        <v>-3045242</v>
      </c>
      <c r="AC86" s="114">
        <v>-106</v>
      </c>
      <c r="AD86" s="114">
        <v>73452</v>
      </c>
      <c r="AE86" s="114">
        <v>0</v>
      </c>
      <c r="AF86" s="114">
        <v>0</v>
      </c>
      <c r="AG86" s="114">
        <v>77151</v>
      </c>
      <c r="AH86" s="114">
        <v>649606.55737704923</v>
      </c>
      <c r="AI86" s="114">
        <v>0</v>
      </c>
      <c r="AJ86" s="121">
        <v>0</v>
      </c>
      <c r="AK86" s="82">
        <v>56913566</v>
      </c>
      <c r="AL86" s="83">
        <v>1108175</v>
      </c>
      <c r="AM86" s="114">
        <v>0</v>
      </c>
      <c r="AN86" s="114">
        <v>8814431</v>
      </c>
      <c r="AO86" s="114">
        <v>1924946</v>
      </c>
      <c r="AP86" s="114">
        <v>69360662</v>
      </c>
      <c r="AQ86" s="114">
        <v>9062833</v>
      </c>
      <c r="AR86" s="114">
        <v>32221277</v>
      </c>
      <c r="AS86" s="114">
        <v>4044954</v>
      </c>
      <c r="AT86" s="114">
        <v>1551275</v>
      </c>
      <c r="AU86" s="114">
        <v>0</v>
      </c>
      <c r="AV86" s="114">
        <v>0</v>
      </c>
      <c r="AW86" s="114">
        <v>0</v>
      </c>
      <c r="AX86" s="114">
        <v>0</v>
      </c>
      <c r="AY86" s="114">
        <v>0</v>
      </c>
      <c r="BD86" s="82">
        <v>3001770.07</v>
      </c>
      <c r="BE86" s="82">
        <v>1500885</v>
      </c>
      <c r="BF86" s="117">
        <v>0</v>
      </c>
      <c r="BG86" s="118">
        <v>0</v>
      </c>
      <c r="BH86" s="118">
        <v>0</v>
      </c>
      <c r="BI86" s="117">
        <v>29478987</v>
      </c>
      <c r="BJ86" s="117">
        <v>29478987</v>
      </c>
      <c r="BK86" s="117">
        <v>54988592</v>
      </c>
      <c r="BL86" s="117">
        <v>54964302</v>
      </c>
      <c r="BM86" s="117">
        <v>0</v>
      </c>
      <c r="BN86" s="117">
        <v>0</v>
      </c>
      <c r="BO86" s="119"/>
      <c r="BP86" s="86">
        <f t="shared" si="15"/>
        <v>438559622.55737704</v>
      </c>
      <c r="BQ86" s="86">
        <f t="shared" si="16"/>
        <v>294593707.55737704</v>
      </c>
      <c r="BR86" s="87">
        <v>601398</v>
      </c>
      <c r="BT86" s="86">
        <f t="shared" si="11"/>
        <v>274141891</v>
      </c>
      <c r="BU86" s="82">
        <f t="shared" si="12"/>
        <v>56913566</v>
      </c>
      <c r="BV86" s="82">
        <f t="shared" si="13"/>
        <v>1108175</v>
      </c>
      <c r="BW86" s="86">
        <f t="shared" si="14"/>
        <v>23847164</v>
      </c>
      <c r="BX86" s="86">
        <f t="shared" si="17"/>
        <v>356010796</v>
      </c>
    </row>
    <row r="87" spans="1:76" x14ac:dyDescent="0.25">
      <c r="A87" s="91" t="s">
        <v>141</v>
      </c>
      <c r="B87" s="114">
        <v>148972251</v>
      </c>
      <c r="C87" s="114">
        <v>102316097</v>
      </c>
      <c r="D87" s="114">
        <v>51528996</v>
      </c>
      <c r="E87" s="114">
        <v>0</v>
      </c>
      <c r="F87" s="114">
        <v>30780000</v>
      </c>
      <c r="G87" s="114">
        <v>7388550</v>
      </c>
      <c r="H87" s="114">
        <v>10312475</v>
      </c>
      <c r="I87" s="114">
        <v>652600</v>
      </c>
      <c r="J87" s="114">
        <v>0</v>
      </c>
      <c r="K87" s="114">
        <v>0</v>
      </c>
      <c r="L87" s="114">
        <v>284899996</v>
      </c>
      <c r="M87" s="114">
        <v>0</v>
      </c>
      <c r="N87" s="114">
        <v>1190</v>
      </c>
      <c r="O87" s="114">
        <v>275</v>
      </c>
      <c r="P87" s="114">
        <v>2963346</v>
      </c>
      <c r="Q87" s="114">
        <v>1959215</v>
      </c>
      <c r="R87" s="114">
        <v>1704050</v>
      </c>
      <c r="S87" s="114">
        <v>1512869</v>
      </c>
      <c r="T87" s="114">
        <v>789690</v>
      </c>
      <c r="U87" s="114">
        <v>430900</v>
      </c>
      <c r="V87" s="114">
        <v>2963346</v>
      </c>
      <c r="W87" s="114">
        <v>1989215</v>
      </c>
      <c r="X87" s="114">
        <v>1704050</v>
      </c>
      <c r="Y87" s="114">
        <v>1512869</v>
      </c>
      <c r="Z87" s="114">
        <v>969475</v>
      </c>
      <c r="AA87" s="114">
        <v>430900</v>
      </c>
      <c r="AB87" s="114">
        <v>-718000</v>
      </c>
      <c r="AC87" s="114">
        <v>-18042</v>
      </c>
      <c r="AD87" s="114">
        <v>90704</v>
      </c>
      <c r="AE87" s="114">
        <v>0</v>
      </c>
      <c r="AF87" s="114">
        <v>0</v>
      </c>
      <c r="AG87" s="114">
        <v>200809</v>
      </c>
      <c r="AH87" s="114">
        <v>510172.13114754099</v>
      </c>
      <c r="AI87" s="114">
        <v>157598.36065573772</v>
      </c>
      <c r="AJ87" s="121">
        <v>0</v>
      </c>
      <c r="AK87" s="82">
        <v>67994255</v>
      </c>
      <c r="AL87" s="83">
        <v>1454058</v>
      </c>
      <c r="AM87" s="114">
        <v>0</v>
      </c>
      <c r="AN87" s="114">
        <v>16375316</v>
      </c>
      <c r="AO87" s="114">
        <v>269666</v>
      </c>
      <c r="AP87" s="114">
        <v>19836279</v>
      </c>
      <c r="AQ87" s="114">
        <v>22133183</v>
      </c>
      <c r="AR87" s="114">
        <v>24493591</v>
      </c>
      <c r="AS87" s="114">
        <v>60674</v>
      </c>
      <c r="AT87" s="114">
        <v>1076585</v>
      </c>
      <c r="AU87" s="114">
        <v>0</v>
      </c>
      <c r="AV87" s="114">
        <v>0</v>
      </c>
      <c r="AW87" s="114">
        <v>0</v>
      </c>
      <c r="AX87" s="114">
        <v>2165</v>
      </c>
      <c r="AY87" s="114">
        <v>0</v>
      </c>
      <c r="BD87" s="82">
        <v>3586194.54</v>
      </c>
      <c r="BE87" s="82">
        <v>1793097</v>
      </c>
      <c r="BF87" s="117">
        <v>0</v>
      </c>
      <c r="BG87" s="118">
        <v>0</v>
      </c>
      <c r="BH87" s="118">
        <v>0</v>
      </c>
      <c r="BI87" s="117">
        <v>19813790</v>
      </c>
      <c r="BJ87" s="117">
        <v>19813790</v>
      </c>
      <c r="BK87" s="117">
        <v>47191557</v>
      </c>
      <c r="BL87" s="117">
        <v>46908605</v>
      </c>
      <c r="BM87" s="117">
        <v>0</v>
      </c>
      <c r="BN87" s="117">
        <v>0</v>
      </c>
      <c r="BO87" s="119"/>
      <c r="BP87" s="86">
        <f t="shared" si="15"/>
        <v>480227084.49180329</v>
      </c>
      <c r="BQ87" s="86">
        <f t="shared" si="16"/>
        <v>342263279.49180329</v>
      </c>
      <c r="BR87" s="87">
        <v>361816</v>
      </c>
      <c r="BT87" s="86">
        <f t="shared" si="11"/>
        <v>302817344</v>
      </c>
      <c r="BU87" s="82">
        <f t="shared" si="12"/>
        <v>67994255</v>
      </c>
      <c r="BV87" s="82">
        <f t="shared" si="13"/>
        <v>1454058</v>
      </c>
      <c r="BW87" s="86">
        <f t="shared" si="14"/>
        <v>38838839</v>
      </c>
      <c r="BX87" s="86">
        <f t="shared" si="17"/>
        <v>411104496</v>
      </c>
    </row>
    <row r="88" spans="1:76" x14ac:dyDescent="0.25">
      <c r="A88" s="91" t="s">
        <v>142</v>
      </c>
      <c r="B88" s="114">
        <v>731087635</v>
      </c>
      <c r="C88" s="114">
        <v>114579980</v>
      </c>
      <c r="D88" s="114">
        <v>329269704</v>
      </c>
      <c r="E88" s="114">
        <v>19360000</v>
      </c>
      <c r="F88" s="114">
        <v>68131430</v>
      </c>
      <c r="G88" s="114">
        <v>19688531</v>
      </c>
      <c r="H88" s="114">
        <v>10597000</v>
      </c>
      <c r="I88" s="114">
        <v>2556900</v>
      </c>
      <c r="J88" s="114">
        <v>188000</v>
      </c>
      <c r="K88" s="114">
        <v>37600</v>
      </c>
      <c r="L88" s="114">
        <v>223188691</v>
      </c>
      <c r="M88" s="114">
        <v>89208200</v>
      </c>
      <c r="N88" s="114">
        <v>2182</v>
      </c>
      <c r="O88" s="114">
        <v>666</v>
      </c>
      <c r="P88" s="114">
        <v>4028300</v>
      </c>
      <c r="Q88" s="114">
        <v>541000</v>
      </c>
      <c r="R88" s="114">
        <v>5897000</v>
      </c>
      <c r="S88" s="114">
        <v>6430817</v>
      </c>
      <c r="T88" s="114">
        <v>305500</v>
      </c>
      <c r="U88" s="114">
        <v>1690000</v>
      </c>
      <c r="V88" s="114">
        <v>4028300</v>
      </c>
      <c r="W88" s="114">
        <v>1107500</v>
      </c>
      <c r="X88" s="114">
        <v>5897000</v>
      </c>
      <c r="Y88" s="114">
        <v>6430817</v>
      </c>
      <c r="Z88" s="114">
        <v>929900</v>
      </c>
      <c r="AA88" s="114">
        <v>1690000</v>
      </c>
      <c r="AB88" s="114">
        <v>-22074400</v>
      </c>
      <c r="AC88" s="114">
        <v>-228811</v>
      </c>
      <c r="AD88" s="114">
        <v>4920</v>
      </c>
      <c r="AE88" s="114">
        <v>0</v>
      </c>
      <c r="AF88" s="114">
        <v>0</v>
      </c>
      <c r="AG88" s="114">
        <v>109590</v>
      </c>
      <c r="AH88" s="114">
        <v>0</v>
      </c>
      <c r="AI88" s="114">
        <v>160508.19672131148</v>
      </c>
      <c r="AJ88" s="121">
        <v>0</v>
      </c>
      <c r="AK88" s="82">
        <v>176282250</v>
      </c>
      <c r="AL88" s="83">
        <v>4522425</v>
      </c>
      <c r="AM88" s="114">
        <v>0</v>
      </c>
      <c r="AN88" s="114">
        <v>54949365</v>
      </c>
      <c r="AO88" s="114">
        <v>3067297</v>
      </c>
      <c r="AP88" s="114">
        <v>162351277</v>
      </c>
      <c r="AQ88" s="114">
        <v>50315515</v>
      </c>
      <c r="AR88" s="114">
        <v>60012707</v>
      </c>
      <c r="AS88" s="114">
        <v>3113389</v>
      </c>
      <c r="AT88" s="114">
        <v>583202</v>
      </c>
      <c r="AU88" s="114">
        <v>0</v>
      </c>
      <c r="AV88" s="114">
        <v>1641286</v>
      </c>
      <c r="AW88" s="114">
        <v>26277</v>
      </c>
      <c r="AX88" s="114">
        <v>17034</v>
      </c>
      <c r="AY88" s="114">
        <v>1304237</v>
      </c>
      <c r="BD88" s="131">
        <v>9297586.1400000006</v>
      </c>
      <c r="BE88" s="82">
        <v>4648793</v>
      </c>
      <c r="BF88" s="117">
        <v>0</v>
      </c>
      <c r="BG88" s="118">
        <v>0</v>
      </c>
      <c r="BH88" s="118">
        <v>0</v>
      </c>
      <c r="BI88" s="117">
        <v>42009793</v>
      </c>
      <c r="BJ88" s="117">
        <v>42009793</v>
      </c>
      <c r="BK88" s="117">
        <v>53446702.75</v>
      </c>
      <c r="BL88" s="117">
        <v>52406491.75</v>
      </c>
      <c r="BM88" s="117">
        <v>0</v>
      </c>
      <c r="BN88" s="117">
        <v>0</v>
      </c>
      <c r="BO88" s="119"/>
      <c r="BP88" s="86">
        <f t="shared" si="15"/>
        <v>1563299756.9467213</v>
      </c>
      <c r="BQ88" s="86">
        <f t="shared" si="16"/>
        <v>1283430004.1967213</v>
      </c>
      <c r="BR88" s="87">
        <v>1307100</v>
      </c>
      <c r="BT88" s="86">
        <f t="shared" si="11"/>
        <v>1174937319</v>
      </c>
      <c r="BU88" s="82">
        <f t="shared" si="12"/>
        <v>176282250</v>
      </c>
      <c r="BV88" s="82">
        <f t="shared" si="13"/>
        <v>4522425</v>
      </c>
      <c r="BW88" s="86">
        <f t="shared" si="14"/>
        <v>111445566</v>
      </c>
      <c r="BX88" s="86">
        <f t="shared" si="17"/>
        <v>1467187560</v>
      </c>
    </row>
    <row r="89" spans="1:76" x14ac:dyDescent="0.25">
      <c r="A89" s="91" t="s">
        <v>143</v>
      </c>
      <c r="B89" s="114">
        <v>127397350</v>
      </c>
      <c r="C89" s="114">
        <v>91942350</v>
      </c>
      <c r="D89" s="114">
        <v>49578040</v>
      </c>
      <c r="E89" s="114">
        <v>0</v>
      </c>
      <c r="F89" s="114">
        <v>19141400</v>
      </c>
      <c r="G89" s="114">
        <v>15224900</v>
      </c>
      <c r="H89" s="114">
        <v>12725900</v>
      </c>
      <c r="I89" s="114">
        <v>7292000</v>
      </c>
      <c r="J89" s="114">
        <v>0</v>
      </c>
      <c r="K89" s="114">
        <v>0</v>
      </c>
      <c r="L89" s="114">
        <v>72663625</v>
      </c>
      <c r="M89" s="114">
        <v>7333000</v>
      </c>
      <c r="N89" s="114">
        <v>1029</v>
      </c>
      <c r="O89" s="114">
        <v>768</v>
      </c>
      <c r="P89" s="114">
        <v>855000</v>
      </c>
      <c r="Q89" s="114">
        <v>1105000</v>
      </c>
      <c r="R89" s="114">
        <v>417000</v>
      </c>
      <c r="S89" s="114">
        <v>214900</v>
      </c>
      <c r="T89" s="114">
        <v>31500</v>
      </c>
      <c r="U89" s="114">
        <v>0</v>
      </c>
      <c r="V89" s="114">
        <v>855000</v>
      </c>
      <c r="W89" s="114">
        <v>1299000</v>
      </c>
      <c r="X89" s="114">
        <v>417000</v>
      </c>
      <c r="Y89" s="114">
        <v>214900</v>
      </c>
      <c r="Z89" s="114">
        <v>42500</v>
      </c>
      <c r="AA89" s="114">
        <v>0</v>
      </c>
      <c r="AB89" s="114">
        <v>-2457050</v>
      </c>
      <c r="AC89" s="114">
        <v>-2479</v>
      </c>
      <c r="AD89" s="114">
        <v>175715</v>
      </c>
      <c r="AE89" s="114">
        <v>0</v>
      </c>
      <c r="AF89" s="114">
        <v>0</v>
      </c>
      <c r="AG89" s="114">
        <v>220234</v>
      </c>
      <c r="AH89" s="114">
        <v>308614.75409836066</v>
      </c>
      <c r="AI89" s="114">
        <v>317418.03278688528</v>
      </c>
      <c r="AJ89" s="121">
        <v>2472.1311475409839</v>
      </c>
      <c r="AK89" s="87">
        <v>76384223</v>
      </c>
      <c r="AL89" s="83">
        <v>1899627</v>
      </c>
      <c r="AM89" s="114">
        <v>0</v>
      </c>
      <c r="AN89" s="114">
        <v>16956818</v>
      </c>
      <c r="AO89" s="114">
        <v>147085</v>
      </c>
      <c r="AP89" s="114">
        <v>6023961</v>
      </c>
      <c r="AQ89" s="114">
        <v>8366630</v>
      </c>
      <c r="AR89" s="114">
        <v>4514922</v>
      </c>
      <c r="AS89" s="114">
        <v>0</v>
      </c>
      <c r="AT89" s="114">
        <v>1378455</v>
      </c>
      <c r="AU89" s="114">
        <v>0</v>
      </c>
      <c r="AV89" s="114">
        <v>0</v>
      </c>
      <c r="AW89" s="114">
        <v>0</v>
      </c>
      <c r="AX89" s="114">
        <v>0</v>
      </c>
      <c r="AY89" s="114">
        <v>203535</v>
      </c>
      <c r="BD89" s="82">
        <v>4028703.36</v>
      </c>
      <c r="BE89" s="82">
        <v>2014352</v>
      </c>
      <c r="BF89" s="117">
        <v>0</v>
      </c>
      <c r="BG89" s="118">
        <v>0</v>
      </c>
      <c r="BH89" s="118">
        <v>0</v>
      </c>
      <c r="BI89" s="117">
        <v>1910028</v>
      </c>
      <c r="BJ89" s="117">
        <v>1910028</v>
      </c>
      <c r="BK89" s="117">
        <v>42143703.75</v>
      </c>
      <c r="BL89" s="117">
        <v>42131558.75</v>
      </c>
      <c r="BM89" s="117">
        <v>0</v>
      </c>
      <c r="BN89" s="117">
        <v>0</v>
      </c>
      <c r="BO89" s="119"/>
      <c r="BP89" s="86">
        <f t="shared" si="15"/>
        <v>419356566.66803282</v>
      </c>
      <c r="BQ89" s="86">
        <f t="shared" si="16"/>
        <v>295016777.91803282</v>
      </c>
      <c r="BR89" s="87">
        <v>5830500</v>
      </c>
      <c r="BT89" s="86">
        <f t="shared" si="11"/>
        <v>268917740</v>
      </c>
      <c r="BU89" s="82">
        <f t="shared" si="12"/>
        <v>76384223</v>
      </c>
      <c r="BV89" s="82">
        <f t="shared" si="13"/>
        <v>1899627</v>
      </c>
      <c r="BW89" s="86">
        <f t="shared" si="14"/>
        <v>25470533</v>
      </c>
      <c r="BX89" s="86">
        <f t="shared" si="17"/>
        <v>372672123</v>
      </c>
    </row>
    <row r="90" spans="1:76" x14ac:dyDescent="0.25">
      <c r="A90" s="91" t="s">
        <v>144</v>
      </c>
      <c r="B90" s="114">
        <v>601993256</v>
      </c>
      <c r="C90" s="114">
        <v>173903168</v>
      </c>
      <c r="D90" s="114">
        <v>202495494</v>
      </c>
      <c r="E90" s="114">
        <v>0</v>
      </c>
      <c r="F90" s="114">
        <v>93430680</v>
      </c>
      <c r="G90" s="114">
        <v>29696210</v>
      </c>
      <c r="H90" s="114">
        <v>14096100</v>
      </c>
      <c r="I90" s="114">
        <v>2773900</v>
      </c>
      <c r="J90" s="114">
        <v>130200</v>
      </c>
      <c r="K90" s="114">
        <v>75200</v>
      </c>
      <c r="L90" s="114">
        <v>193217493</v>
      </c>
      <c r="M90" s="114">
        <v>99452300</v>
      </c>
      <c r="N90" s="114">
        <v>3045</v>
      </c>
      <c r="O90" s="114">
        <v>984</v>
      </c>
      <c r="P90" s="114">
        <v>8445930</v>
      </c>
      <c r="Q90" s="114">
        <v>2561150</v>
      </c>
      <c r="R90" s="114">
        <v>8270200</v>
      </c>
      <c r="S90" s="114">
        <v>7205412</v>
      </c>
      <c r="T90" s="114">
        <v>3735250</v>
      </c>
      <c r="U90" s="114">
        <v>4188565</v>
      </c>
      <c r="V90" s="114">
        <v>8445930</v>
      </c>
      <c r="W90" s="114">
        <v>4096100</v>
      </c>
      <c r="X90" s="114">
        <v>8320200</v>
      </c>
      <c r="Y90" s="114">
        <v>7205412</v>
      </c>
      <c r="Z90" s="114">
        <v>8650200</v>
      </c>
      <c r="AA90" s="114">
        <v>4187965</v>
      </c>
      <c r="AB90" s="114">
        <v>-7027783</v>
      </c>
      <c r="AC90" s="114">
        <v>-357862</v>
      </c>
      <c r="AD90" s="114">
        <v>64833</v>
      </c>
      <c r="AE90" s="114">
        <v>123674</v>
      </c>
      <c r="AF90" s="114">
        <v>11474</v>
      </c>
      <c r="AG90" s="114">
        <v>189095</v>
      </c>
      <c r="AH90" s="114">
        <v>7277713.1147540985</v>
      </c>
      <c r="AI90" s="114">
        <v>372827.86885245901</v>
      </c>
      <c r="AJ90" s="121">
        <v>41432354.100000001</v>
      </c>
      <c r="AK90" s="82">
        <v>221277130</v>
      </c>
      <c r="AL90" s="83">
        <v>6274306</v>
      </c>
      <c r="AM90" s="114">
        <v>0</v>
      </c>
      <c r="AN90" s="114">
        <v>58813816</v>
      </c>
      <c r="AO90" s="114">
        <v>4028929</v>
      </c>
      <c r="AP90" s="114">
        <v>71710314</v>
      </c>
      <c r="AQ90" s="114">
        <v>99595747</v>
      </c>
      <c r="AR90" s="114">
        <v>43856851</v>
      </c>
      <c r="AS90" s="114">
        <v>1541642</v>
      </c>
      <c r="AT90" s="114">
        <v>27889196</v>
      </c>
      <c r="AU90" s="114">
        <v>0</v>
      </c>
      <c r="AV90" s="114">
        <v>0</v>
      </c>
      <c r="AW90" s="114">
        <v>458892</v>
      </c>
      <c r="AX90" s="114">
        <v>1940</v>
      </c>
      <c r="AY90" s="114">
        <v>4961004</v>
      </c>
      <c r="BD90" s="82">
        <v>11670733.59</v>
      </c>
      <c r="BE90" s="82">
        <v>5835367</v>
      </c>
      <c r="BF90" s="117">
        <v>7851036</v>
      </c>
      <c r="BG90" s="118">
        <v>4019554</v>
      </c>
      <c r="BH90" s="118">
        <v>7729911</v>
      </c>
      <c r="BI90" s="117">
        <v>78413372</v>
      </c>
      <c r="BJ90" s="117">
        <v>76117899</v>
      </c>
      <c r="BK90" s="117">
        <v>171264951</v>
      </c>
      <c r="BL90" s="117">
        <v>168333089</v>
      </c>
      <c r="BM90" s="117">
        <v>0</v>
      </c>
      <c r="BN90" s="117">
        <v>0</v>
      </c>
      <c r="BO90" s="119"/>
      <c r="BP90" s="86">
        <f t="shared" si="15"/>
        <v>1671770650.0836067</v>
      </c>
      <c r="BQ90" s="86">
        <f t="shared" si="16"/>
        <v>1189913305.0836067</v>
      </c>
      <c r="BR90" s="87">
        <v>895700</v>
      </c>
      <c r="BT90" s="86">
        <f t="shared" si="11"/>
        <v>978391918</v>
      </c>
      <c r="BU90" s="82">
        <f t="shared" si="12"/>
        <v>221277130</v>
      </c>
      <c r="BV90" s="82">
        <f t="shared" si="13"/>
        <v>6274306</v>
      </c>
      <c r="BW90" s="86">
        <f t="shared" si="14"/>
        <v>163980134</v>
      </c>
      <c r="BX90" s="86">
        <f t="shared" si="17"/>
        <v>1369923488</v>
      </c>
    </row>
    <row r="91" spans="1:76" x14ac:dyDescent="0.25">
      <c r="A91" s="91" t="s">
        <v>145</v>
      </c>
      <c r="B91" s="114">
        <v>1742163277</v>
      </c>
      <c r="C91" s="114">
        <v>354708727</v>
      </c>
      <c r="D91" s="114">
        <v>560419519</v>
      </c>
      <c r="E91" s="114">
        <v>108271750</v>
      </c>
      <c r="F91" s="114">
        <v>113480656</v>
      </c>
      <c r="G91" s="114">
        <v>18454665</v>
      </c>
      <c r="H91" s="114">
        <v>24852065</v>
      </c>
      <c r="I91" s="114">
        <v>1940535</v>
      </c>
      <c r="J91" s="114">
        <v>300800</v>
      </c>
      <c r="K91" s="114">
        <v>37600</v>
      </c>
      <c r="L91" s="114">
        <v>639665566</v>
      </c>
      <c r="M91" s="114">
        <v>297974052</v>
      </c>
      <c r="N91" s="114">
        <v>3735</v>
      </c>
      <c r="O91" s="114">
        <v>575</v>
      </c>
      <c r="P91" s="114">
        <v>20936300</v>
      </c>
      <c r="Q91" s="114">
        <v>3713900</v>
      </c>
      <c r="R91" s="114">
        <v>44670370</v>
      </c>
      <c r="S91" s="114">
        <v>2967110</v>
      </c>
      <c r="T91" s="114">
        <v>290315</v>
      </c>
      <c r="U91" s="114">
        <v>1513250</v>
      </c>
      <c r="V91" s="114">
        <v>20936300</v>
      </c>
      <c r="W91" s="114">
        <v>3713900</v>
      </c>
      <c r="X91" s="114">
        <v>44670370</v>
      </c>
      <c r="Y91" s="114">
        <v>2967110</v>
      </c>
      <c r="Z91" s="114">
        <v>290315</v>
      </c>
      <c r="AA91" s="114">
        <v>1513250</v>
      </c>
      <c r="AB91" s="114">
        <v>-7958382</v>
      </c>
      <c r="AC91" s="114">
        <v>-2001425</v>
      </c>
      <c r="AD91" s="114">
        <v>28468</v>
      </c>
      <c r="AE91" s="114">
        <v>1012017</v>
      </c>
      <c r="AF91" s="114">
        <v>489788</v>
      </c>
      <c r="AG91" s="114">
        <v>255423</v>
      </c>
      <c r="AH91" s="114">
        <v>0</v>
      </c>
      <c r="AI91" s="114">
        <v>1502885.2459016393</v>
      </c>
      <c r="AJ91" s="121">
        <v>0</v>
      </c>
      <c r="AK91" s="82">
        <v>341558094</v>
      </c>
      <c r="AL91" s="83">
        <v>7489519</v>
      </c>
      <c r="AM91" s="114">
        <v>0</v>
      </c>
      <c r="AN91" s="114">
        <v>84892888</v>
      </c>
      <c r="AO91" s="114">
        <v>7977542</v>
      </c>
      <c r="AP91" s="114">
        <v>323037528</v>
      </c>
      <c r="AQ91" s="114">
        <v>67442387</v>
      </c>
      <c r="AR91" s="114">
        <v>73814365</v>
      </c>
      <c r="AS91" s="87">
        <v>23946009</v>
      </c>
      <c r="AT91" s="114">
        <f>2077722+609</f>
        <v>2078331</v>
      </c>
      <c r="AU91" s="114">
        <v>0</v>
      </c>
      <c r="AV91" s="114">
        <v>0</v>
      </c>
      <c r="AW91" s="114">
        <v>1495182</v>
      </c>
      <c r="AX91" s="114">
        <v>175478</v>
      </c>
      <c r="AY91" s="114">
        <v>1485500</v>
      </c>
      <c r="BD91" s="82">
        <v>18014665.68</v>
      </c>
      <c r="BE91" s="82">
        <v>9007333</v>
      </c>
      <c r="BF91" s="117">
        <v>0</v>
      </c>
      <c r="BG91" s="118">
        <v>960954</v>
      </c>
      <c r="BH91" s="118">
        <v>1847988</v>
      </c>
      <c r="BI91" s="117">
        <v>21705702</v>
      </c>
      <c r="BJ91" s="117">
        <v>20983239</v>
      </c>
      <c r="BK91" s="117">
        <v>61362309.75</v>
      </c>
      <c r="BL91" s="117">
        <v>61067046.75</v>
      </c>
      <c r="BM91" s="117">
        <v>555226717</v>
      </c>
      <c r="BN91" s="117">
        <v>0</v>
      </c>
      <c r="BO91" s="119"/>
      <c r="BP91" s="86">
        <f t="shared" si="15"/>
        <v>3815400127.9959016</v>
      </c>
      <c r="BQ91" s="86">
        <f t="shared" si="16"/>
        <v>2819107225.2459016</v>
      </c>
      <c r="BR91" s="87">
        <v>3017877</v>
      </c>
      <c r="BT91" s="86">
        <f t="shared" si="11"/>
        <v>2657291523</v>
      </c>
      <c r="BU91" s="82">
        <f t="shared" si="12"/>
        <v>341558094</v>
      </c>
      <c r="BV91" s="82">
        <f t="shared" si="13"/>
        <v>7489519</v>
      </c>
      <c r="BW91" s="86">
        <f t="shared" si="14"/>
        <v>184258826</v>
      </c>
      <c r="BX91" s="86">
        <f t="shared" si="17"/>
        <v>3190597962</v>
      </c>
    </row>
    <row r="92" spans="1:76" x14ac:dyDescent="0.25">
      <c r="A92" s="91" t="s">
        <v>146</v>
      </c>
      <c r="B92" s="114">
        <v>111532896</v>
      </c>
      <c r="C92" s="114">
        <v>97066824</v>
      </c>
      <c r="D92" s="114">
        <v>15379394</v>
      </c>
      <c r="E92" s="114">
        <v>0</v>
      </c>
      <c r="F92" s="114">
        <v>19396400</v>
      </c>
      <c r="G92" s="114">
        <v>4167100</v>
      </c>
      <c r="H92" s="114">
        <v>7779100</v>
      </c>
      <c r="I92" s="114">
        <v>1422200</v>
      </c>
      <c r="J92" s="114">
        <v>75200</v>
      </c>
      <c r="K92" s="114">
        <v>0</v>
      </c>
      <c r="L92" s="114">
        <v>91077072</v>
      </c>
      <c r="M92" s="114">
        <v>49663560</v>
      </c>
      <c r="N92" s="114">
        <v>757</v>
      </c>
      <c r="O92" s="114">
        <v>166</v>
      </c>
      <c r="P92" s="114">
        <v>2201650</v>
      </c>
      <c r="Q92" s="114">
        <v>3913428</v>
      </c>
      <c r="R92" s="114">
        <v>80000</v>
      </c>
      <c r="S92" s="114">
        <v>1523504</v>
      </c>
      <c r="T92" s="114">
        <v>714500</v>
      </c>
      <c r="U92" s="114">
        <v>101478</v>
      </c>
      <c r="V92" s="114">
        <v>2201650</v>
      </c>
      <c r="W92" s="114">
        <v>3994233</v>
      </c>
      <c r="X92" s="114">
        <v>80000</v>
      </c>
      <c r="Y92" s="114">
        <v>1523504</v>
      </c>
      <c r="Z92" s="114">
        <v>603261</v>
      </c>
      <c r="AA92" s="114">
        <v>101478</v>
      </c>
      <c r="AB92" s="114">
        <v>-777169</v>
      </c>
      <c r="AC92" s="114">
        <v>0</v>
      </c>
      <c r="AD92" s="114">
        <v>0</v>
      </c>
      <c r="AE92" s="114">
        <v>0</v>
      </c>
      <c r="AF92" s="114">
        <v>0</v>
      </c>
      <c r="AG92" s="114">
        <v>113584</v>
      </c>
      <c r="AH92" s="114">
        <v>0</v>
      </c>
      <c r="AI92" s="114">
        <v>0</v>
      </c>
      <c r="AJ92" s="121">
        <v>0</v>
      </c>
      <c r="AK92" s="82">
        <v>47288711</v>
      </c>
      <c r="AL92" s="83">
        <v>870246</v>
      </c>
      <c r="AM92" s="114">
        <v>38500</v>
      </c>
      <c r="AN92" s="114">
        <v>1944784</v>
      </c>
      <c r="AO92" s="114">
        <v>76001</v>
      </c>
      <c r="AP92" s="114">
        <v>1349041</v>
      </c>
      <c r="AQ92" s="114">
        <v>1881171</v>
      </c>
      <c r="AR92" s="114">
        <v>174906</v>
      </c>
      <c r="AS92" s="114">
        <v>0</v>
      </c>
      <c r="AT92" s="114">
        <v>251143</v>
      </c>
      <c r="AU92" s="114">
        <v>0</v>
      </c>
      <c r="AV92" s="114">
        <v>0</v>
      </c>
      <c r="AW92" s="114">
        <v>13132</v>
      </c>
      <c r="AX92" s="114">
        <v>0</v>
      </c>
      <c r="AY92" s="114">
        <v>0</v>
      </c>
      <c r="BD92" s="82">
        <v>2494130.09</v>
      </c>
      <c r="BE92" s="82">
        <v>1247065</v>
      </c>
      <c r="BF92" s="117">
        <v>0</v>
      </c>
      <c r="BG92" s="118">
        <v>1177075</v>
      </c>
      <c r="BH92" s="118">
        <v>2263606</v>
      </c>
      <c r="BI92" s="117">
        <v>17368551</v>
      </c>
      <c r="BJ92" s="117">
        <v>17368551</v>
      </c>
      <c r="BK92" s="117">
        <v>19326377.75</v>
      </c>
      <c r="BL92" s="117">
        <v>18453875.75</v>
      </c>
      <c r="BM92" s="117">
        <v>0</v>
      </c>
      <c r="BN92" s="117">
        <v>0</v>
      </c>
      <c r="BO92" s="119"/>
      <c r="BP92" s="86">
        <f t="shared" si="15"/>
        <v>314286593.75</v>
      </c>
      <c r="BQ92" s="86">
        <f t="shared" si="16"/>
        <v>227881070</v>
      </c>
      <c r="BR92" s="87">
        <v>241950</v>
      </c>
      <c r="BT92" s="86">
        <f t="shared" si="11"/>
        <v>223979114</v>
      </c>
      <c r="BU92" s="82">
        <f t="shared" si="12"/>
        <v>47288711</v>
      </c>
      <c r="BV92" s="82">
        <f t="shared" si="13"/>
        <v>870246</v>
      </c>
      <c r="BW92" s="86">
        <f t="shared" si="14"/>
        <v>3901956</v>
      </c>
      <c r="BX92" s="86">
        <f t="shared" si="17"/>
        <v>276040027</v>
      </c>
    </row>
    <row r="93" spans="1:76" x14ac:dyDescent="0.25">
      <c r="A93" s="91" t="s">
        <v>147</v>
      </c>
      <c r="B93" s="114">
        <v>370593900</v>
      </c>
      <c r="C93" s="114">
        <v>206069548</v>
      </c>
      <c r="D93" s="114">
        <v>121153832</v>
      </c>
      <c r="E93" s="114">
        <v>0</v>
      </c>
      <c r="F93" s="114">
        <v>53524280</v>
      </c>
      <c r="G93" s="114">
        <v>18636538</v>
      </c>
      <c r="H93" s="114">
        <v>18017052</v>
      </c>
      <c r="I93" s="114">
        <v>4574795</v>
      </c>
      <c r="J93" s="114">
        <v>75200</v>
      </c>
      <c r="K93" s="114">
        <v>37600</v>
      </c>
      <c r="L93" s="114">
        <v>360814899</v>
      </c>
      <c r="M93" s="114">
        <v>16411438</v>
      </c>
      <c r="N93" s="114">
        <v>2106</v>
      </c>
      <c r="O93" s="114">
        <v>758</v>
      </c>
      <c r="P93" s="114">
        <v>2232000</v>
      </c>
      <c r="Q93" s="114">
        <v>1481600</v>
      </c>
      <c r="R93" s="114">
        <v>1013500</v>
      </c>
      <c r="S93" s="114">
        <v>2461062</v>
      </c>
      <c r="T93" s="114">
        <v>495215</v>
      </c>
      <c r="U93" s="114">
        <v>1307410</v>
      </c>
      <c r="V93" s="114">
        <v>2232000</v>
      </c>
      <c r="W93" s="114">
        <v>1481600</v>
      </c>
      <c r="X93" s="114">
        <v>1013500</v>
      </c>
      <c r="Y93" s="114">
        <v>2461062</v>
      </c>
      <c r="Z93" s="114">
        <v>361900</v>
      </c>
      <c r="AA93" s="114">
        <v>1307410</v>
      </c>
      <c r="AB93" s="114">
        <v>-3769800</v>
      </c>
      <c r="AC93" s="114">
        <v>-222860</v>
      </c>
      <c r="AD93" s="114">
        <v>338246</v>
      </c>
      <c r="AE93" s="114">
        <v>19031</v>
      </c>
      <c r="AF93" s="114">
        <v>21829944</v>
      </c>
      <c r="AG93" s="114">
        <v>338225</v>
      </c>
      <c r="AH93" s="114">
        <v>3428475.4098360655</v>
      </c>
      <c r="AI93" s="114">
        <v>356762.29508196726</v>
      </c>
      <c r="AJ93" s="121">
        <v>39421075.409999996</v>
      </c>
      <c r="AK93" s="82">
        <v>136534118</v>
      </c>
      <c r="AL93" s="83">
        <v>3742686</v>
      </c>
      <c r="AM93" s="114">
        <v>0</v>
      </c>
      <c r="AN93" s="114">
        <v>83366187</v>
      </c>
      <c r="AO93" s="114">
        <v>13259099</v>
      </c>
      <c r="AP93" s="114">
        <v>114838456</v>
      </c>
      <c r="AQ93" s="114">
        <v>29951498</v>
      </c>
      <c r="AR93" s="114">
        <v>31289869</v>
      </c>
      <c r="AS93" s="114">
        <v>5591177</v>
      </c>
      <c r="AT93" s="114">
        <v>4747508</v>
      </c>
      <c r="AU93" s="114">
        <v>0</v>
      </c>
      <c r="AV93" s="114">
        <v>0</v>
      </c>
      <c r="AW93" s="114">
        <v>321084</v>
      </c>
      <c r="AX93" s="114">
        <v>9751</v>
      </c>
      <c r="AY93" s="114">
        <v>0</v>
      </c>
      <c r="BD93" s="82">
        <v>7201165.8700000001</v>
      </c>
      <c r="BE93" s="82">
        <v>3600583</v>
      </c>
      <c r="BF93" s="117">
        <v>9253886</v>
      </c>
      <c r="BG93" s="118">
        <v>2417715</v>
      </c>
      <c r="BH93" s="118">
        <v>4649451</v>
      </c>
      <c r="BI93" s="117">
        <v>50134523</v>
      </c>
      <c r="BJ93" s="117">
        <v>46599718</v>
      </c>
      <c r="BK93" s="117">
        <v>71554701.25</v>
      </c>
      <c r="BL93" s="117">
        <v>68309142.25</v>
      </c>
      <c r="BM93" s="117">
        <v>0</v>
      </c>
      <c r="BN93" s="117">
        <v>0</v>
      </c>
      <c r="BO93" s="119"/>
      <c r="BP93" s="86">
        <f t="shared" si="15"/>
        <v>1128804339.364918</v>
      </c>
      <c r="BQ93" s="86">
        <f t="shared" si="16"/>
        <v>867600377.11491799</v>
      </c>
      <c r="BR93" s="87">
        <v>1126312</v>
      </c>
      <c r="BT93" s="86">
        <f t="shared" si="11"/>
        <v>697817280</v>
      </c>
      <c r="BU93" s="82">
        <f t="shared" si="12"/>
        <v>136534118</v>
      </c>
      <c r="BV93" s="82">
        <f t="shared" si="13"/>
        <v>3742686</v>
      </c>
      <c r="BW93" s="86">
        <f t="shared" si="14"/>
        <v>132167961</v>
      </c>
      <c r="BX93" s="86">
        <f t="shared" si="17"/>
        <v>970262045</v>
      </c>
    </row>
    <row r="94" spans="1:76" x14ac:dyDescent="0.25">
      <c r="A94" s="91" t="s">
        <v>148</v>
      </c>
      <c r="B94" s="114">
        <v>5071988040</v>
      </c>
      <c r="C94" s="114">
        <v>233891876</v>
      </c>
      <c r="D94" s="114">
        <v>498086956</v>
      </c>
      <c r="E94" s="114">
        <v>0</v>
      </c>
      <c r="F94" s="114">
        <v>147645000</v>
      </c>
      <c r="G94" s="114">
        <v>12467600</v>
      </c>
      <c r="H94" s="114">
        <v>7138400</v>
      </c>
      <c r="I94" s="114">
        <v>451200</v>
      </c>
      <c r="J94" s="114">
        <v>300800</v>
      </c>
      <c r="K94" s="114">
        <v>37600</v>
      </c>
      <c r="L94" s="114">
        <v>603461685</v>
      </c>
      <c r="M94" s="114">
        <v>197195476</v>
      </c>
      <c r="N94" s="114">
        <v>4142</v>
      </c>
      <c r="O94" s="114">
        <v>350</v>
      </c>
      <c r="P94" s="114">
        <v>121734879</v>
      </c>
      <c r="Q94" s="114">
        <v>7288450</v>
      </c>
      <c r="R94" s="114">
        <v>19906000</v>
      </c>
      <c r="S94" s="114">
        <v>11851475</v>
      </c>
      <c r="T94" s="114">
        <v>3302975</v>
      </c>
      <c r="U94" s="114">
        <v>2125559</v>
      </c>
      <c r="V94" s="114">
        <v>121671879</v>
      </c>
      <c r="W94" s="114">
        <v>10712500</v>
      </c>
      <c r="X94" s="114">
        <v>19906000</v>
      </c>
      <c r="Y94" s="114">
        <v>11949475</v>
      </c>
      <c r="Z94" s="114">
        <v>9710000</v>
      </c>
      <c r="AA94" s="114">
        <v>2125559</v>
      </c>
      <c r="AB94" s="114">
        <v>-7104100</v>
      </c>
      <c r="AC94" s="114">
        <v>-166696</v>
      </c>
      <c r="AD94" s="114">
        <v>0</v>
      </c>
      <c r="AE94" s="114">
        <v>0</v>
      </c>
      <c r="AF94" s="114">
        <v>0</v>
      </c>
      <c r="AG94" s="114">
        <v>64355</v>
      </c>
      <c r="AH94" s="114">
        <v>0</v>
      </c>
      <c r="AI94" s="114">
        <v>952795.08196721319</v>
      </c>
      <c r="AJ94" s="121">
        <v>0</v>
      </c>
      <c r="AK94" s="82">
        <v>546585717</v>
      </c>
      <c r="AL94" s="83">
        <v>15493636</v>
      </c>
      <c r="AM94" s="114">
        <v>4585320</v>
      </c>
      <c r="AN94" s="114">
        <v>66207826</v>
      </c>
      <c r="AO94" s="114">
        <v>2522563</v>
      </c>
      <c r="AP94" s="114">
        <v>70962796</v>
      </c>
      <c r="AQ94" s="114">
        <v>47128166</v>
      </c>
      <c r="AR94" s="114">
        <v>49854836</v>
      </c>
      <c r="AS94" s="114">
        <v>7159712</v>
      </c>
      <c r="AT94" s="114">
        <v>7826759</v>
      </c>
      <c r="AU94" s="114">
        <v>0</v>
      </c>
      <c r="AV94" s="114">
        <v>0</v>
      </c>
      <c r="AW94" s="114">
        <v>0</v>
      </c>
      <c r="AX94" s="114">
        <v>474527</v>
      </c>
      <c r="AY94" s="114">
        <v>65875</v>
      </c>
      <c r="BD94" s="82">
        <v>28828357.84</v>
      </c>
      <c r="BE94" s="82">
        <v>14414179</v>
      </c>
      <c r="BF94" s="117">
        <v>15948187</v>
      </c>
      <c r="BG94" s="118">
        <v>1113510</v>
      </c>
      <c r="BH94" s="118">
        <v>2141365</v>
      </c>
      <c r="BI94" s="117">
        <v>47149064</v>
      </c>
      <c r="BJ94" s="117">
        <v>47149064</v>
      </c>
      <c r="BK94" s="117">
        <v>90674350.5</v>
      </c>
      <c r="BL94" s="117">
        <v>88920064.5</v>
      </c>
      <c r="BM94" s="117">
        <v>828787</v>
      </c>
      <c r="BN94" s="117">
        <v>0</v>
      </c>
      <c r="BO94" s="119"/>
      <c r="BP94" s="86">
        <f t="shared" si="15"/>
        <v>6635283179.5819674</v>
      </c>
      <c r="BQ94" s="86">
        <f t="shared" si="16"/>
        <v>5920778222.0819674</v>
      </c>
      <c r="BR94" s="87">
        <v>1812615</v>
      </c>
      <c r="BT94" s="86">
        <f t="shared" si="11"/>
        <v>5803966872</v>
      </c>
      <c r="BU94" s="82">
        <f t="shared" si="12"/>
        <v>546585717</v>
      </c>
      <c r="BV94" s="82">
        <f t="shared" si="13"/>
        <v>15493636</v>
      </c>
      <c r="BW94" s="86">
        <f t="shared" si="14"/>
        <v>123018267</v>
      </c>
      <c r="BX94" s="86">
        <f t="shared" si="17"/>
        <v>6489064492</v>
      </c>
    </row>
    <row r="95" spans="1:76" x14ac:dyDescent="0.25">
      <c r="A95" s="91" t="s">
        <v>149</v>
      </c>
      <c r="B95" s="114">
        <v>279679161</v>
      </c>
      <c r="C95" s="114">
        <v>168673625</v>
      </c>
      <c r="D95" s="114">
        <v>43156383</v>
      </c>
      <c r="E95" s="114">
        <v>0</v>
      </c>
      <c r="F95" s="114">
        <v>25874900</v>
      </c>
      <c r="G95" s="114">
        <v>4177200</v>
      </c>
      <c r="H95" s="114">
        <v>13858800</v>
      </c>
      <c r="I95" s="114">
        <v>1225500</v>
      </c>
      <c r="J95" s="114">
        <v>66900</v>
      </c>
      <c r="K95" s="114">
        <v>0</v>
      </c>
      <c r="L95" s="114">
        <v>308039648</v>
      </c>
      <c r="M95" s="114">
        <v>112039648</v>
      </c>
      <c r="N95" s="114">
        <v>1112</v>
      </c>
      <c r="O95" s="114">
        <v>160</v>
      </c>
      <c r="P95" s="114">
        <v>4361951</v>
      </c>
      <c r="Q95" s="114">
        <v>3143900</v>
      </c>
      <c r="R95" s="114">
        <v>219500</v>
      </c>
      <c r="S95" s="114">
        <v>2569400</v>
      </c>
      <c r="T95" s="114">
        <v>3378200</v>
      </c>
      <c r="U95" s="114">
        <v>296000</v>
      </c>
      <c r="V95" s="114">
        <v>4361951</v>
      </c>
      <c r="W95" s="114">
        <v>3228600</v>
      </c>
      <c r="X95" s="114">
        <v>219500</v>
      </c>
      <c r="Y95" s="114">
        <v>2569400</v>
      </c>
      <c r="Z95" s="114">
        <v>6665100</v>
      </c>
      <c r="AA95" s="114">
        <v>296000</v>
      </c>
      <c r="AB95" s="114">
        <v>-1608500</v>
      </c>
      <c r="AC95" s="114">
        <v>0</v>
      </c>
      <c r="AD95" s="114">
        <v>70494</v>
      </c>
      <c r="AE95" s="114">
        <v>11092016</v>
      </c>
      <c r="AF95" s="114">
        <v>0</v>
      </c>
      <c r="AG95" s="114">
        <v>203526</v>
      </c>
      <c r="AH95" s="114">
        <v>0</v>
      </c>
      <c r="AI95" s="114">
        <v>0</v>
      </c>
      <c r="AJ95" s="121">
        <v>0</v>
      </c>
      <c r="AK95" s="82">
        <v>80200813</v>
      </c>
      <c r="AL95" s="83">
        <v>2362367</v>
      </c>
      <c r="AM95" s="114">
        <v>0</v>
      </c>
      <c r="AN95" s="114">
        <v>9399930</v>
      </c>
      <c r="AO95" s="114">
        <v>3543396</v>
      </c>
      <c r="AP95" s="114">
        <v>13276312</v>
      </c>
      <c r="AQ95" s="114">
        <v>7318013</v>
      </c>
      <c r="AR95" s="114">
        <v>9001781</v>
      </c>
      <c r="AS95" s="114">
        <v>970190</v>
      </c>
      <c r="AT95" s="114">
        <v>1206833</v>
      </c>
      <c r="AU95" s="114">
        <v>0</v>
      </c>
      <c r="AV95" s="114">
        <v>58933</v>
      </c>
      <c r="AW95" s="114">
        <v>0</v>
      </c>
      <c r="AX95" s="114">
        <v>4215</v>
      </c>
      <c r="AY95" s="114">
        <v>176500</v>
      </c>
      <c r="BD95" s="82">
        <v>4230000.28</v>
      </c>
      <c r="BE95" s="82">
        <v>2115000</v>
      </c>
      <c r="BF95" s="117">
        <v>4873057</v>
      </c>
      <c r="BG95" s="118">
        <v>0</v>
      </c>
      <c r="BH95" s="118">
        <v>0</v>
      </c>
      <c r="BI95" s="117">
        <v>62084925</v>
      </c>
      <c r="BJ95" s="117">
        <v>62084925</v>
      </c>
      <c r="BK95" s="117">
        <v>57496995</v>
      </c>
      <c r="BL95" s="117">
        <v>57466633</v>
      </c>
      <c r="BM95" s="117">
        <v>0</v>
      </c>
      <c r="BN95" s="117">
        <v>0</v>
      </c>
      <c r="BO95" s="119"/>
      <c r="BP95" s="86">
        <f t="shared" si="15"/>
        <v>716000246</v>
      </c>
      <c r="BQ95" s="86">
        <f t="shared" si="16"/>
        <v>511770508</v>
      </c>
      <c r="BR95" s="87">
        <v>246300</v>
      </c>
      <c r="BT95" s="86">
        <f t="shared" si="11"/>
        <v>491509169</v>
      </c>
      <c r="BU95" s="82">
        <f t="shared" si="12"/>
        <v>80200813</v>
      </c>
      <c r="BV95" s="82">
        <f t="shared" si="13"/>
        <v>2362367</v>
      </c>
      <c r="BW95" s="86">
        <f t="shared" si="14"/>
        <v>21231529</v>
      </c>
      <c r="BX95" s="86">
        <f t="shared" si="17"/>
        <v>595303878</v>
      </c>
    </row>
    <row r="96" spans="1:76" x14ac:dyDescent="0.25">
      <c r="A96" s="91" t="s">
        <v>150</v>
      </c>
      <c r="B96" s="114">
        <v>34979659</v>
      </c>
      <c r="C96" s="114">
        <v>36859284</v>
      </c>
      <c r="D96" s="114">
        <v>11444550</v>
      </c>
      <c r="E96" s="114">
        <v>0</v>
      </c>
      <c r="F96" s="114">
        <v>7602833</v>
      </c>
      <c r="G96" s="114">
        <v>9033250</v>
      </c>
      <c r="H96" s="114">
        <v>5551950</v>
      </c>
      <c r="I96" s="114">
        <v>3624000</v>
      </c>
      <c r="J96" s="114">
        <v>26000</v>
      </c>
      <c r="K96" s="114">
        <v>0</v>
      </c>
      <c r="L96" s="114">
        <v>59197197</v>
      </c>
      <c r="M96" s="114">
        <v>4393000</v>
      </c>
      <c r="N96" s="114">
        <v>676</v>
      </c>
      <c r="O96" s="114">
        <v>383</v>
      </c>
      <c r="P96" s="114">
        <v>679675</v>
      </c>
      <c r="Q96" s="114">
        <v>285525</v>
      </c>
      <c r="R96" s="114">
        <v>52500</v>
      </c>
      <c r="S96" s="114">
        <v>6500</v>
      </c>
      <c r="T96" s="114">
        <v>3000</v>
      </c>
      <c r="U96" s="114">
        <v>0</v>
      </c>
      <c r="V96" s="114">
        <v>679675</v>
      </c>
      <c r="W96" s="114">
        <v>584500</v>
      </c>
      <c r="X96" s="114">
        <v>52500</v>
      </c>
      <c r="Y96" s="114">
        <v>6500</v>
      </c>
      <c r="Z96" s="114">
        <v>6000</v>
      </c>
      <c r="AA96" s="114">
        <v>0</v>
      </c>
      <c r="AB96" s="114">
        <v>-1018850</v>
      </c>
      <c r="AC96" s="114">
        <v>0</v>
      </c>
      <c r="AD96" s="114">
        <v>51090</v>
      </c>
      <c r="AE96" s="114">
        <v>0</v>
      </c>
      <c r="AF96" s="114">
        <v>0</v>
      </c>
      <c r="AG96" s="114">
        <v>105570</v>
      </c>
      <c r="AH96" s="114">
        <v>0</v>
      </c>
      <c r="AI96" s="114">
        <v>73573.770491803283</v>
      </c>
      <c r="AJ96" s="121">
        <v>241888.52459016396</v>
      </c>
      <c r="AK96" s="82">
        <v>20739249</v>
      </c>
      <c r="AL96" s="83">
        <v>378806</v>
      </c>
      <c r="AM96" s="114">
        <v>0</v>
      </c>
      <c r="AN96" s="114">
        <v>2398501</v>
      </c>
      <c r="AO96" s="114">
        <v>5359</v>
      </c>
      <c r="AP96" s="114">
        <v>1261730</v>
      </c>
      <c r="AQ96" s="114">
        <v>1119224</v>
      </c>
      <c r="AR96" s="114">
        <v>27782</v>
      </c>
      <c r="AS96" s="114">
        <v>0</v>
      </c>
      <c r="AT96" s="114">
        <v>0</v>
      </c>
      <c r="AU96" s="114">
        <v>0</v>
      </c>
      <c r="AV96" s="114">
        <v>0</v>
      </c>
      <c r="AW96" s="114">
        <v>0</v>
      </c>
      <c r="AX96" s="114">
        <v>0</v>
      </c>
      <c r="AY96" s="114">
        <v>0</v>
      </c>
      <c r="BD96" s="82">
        <v>1093842.1399999999</v>
      </c>
      <c r="BE96" s="82">
        <v>546921</v>
      </c>
      <c r="BF96" s="117">
        <v>0</v>
      </c>
      <c r="BG96" s="118">
        <v>0</v>
      </c>
      <c r="BH96" s="118">
        <v>0</v>
      </c>
      <c r="BI96" s="117">
        <v>1877661</v>
      </c>
      <c r="BJ96" s="117">
        <v>1877661</v>
      </c>
      <c r="BK96" s="117">
        <v>17256242.25</v>
      </c>
      <c r="BL96" s="117">
        <v>17203614.25</v>
      </c>
      <c r="BM96" s="117">
        <v>0</v>
      </c>
      <c r="BN96" s="117">
        <v>0</v>
      </c>
      <c r="BO96" s="119"/>
      <c r="BP96" s="86">
        <f t="shared" si="15"/>
        <v>127868290.54508197</v>
      </c>
      <c r="BQ96" s="86">
        <f t="shared" si="16"/>
        <v>87122039.295081973</v>
      </c>
      <c r="BR96" s="87">
        <v>311100</v>
      </c>
      <c r="BT96" s="86">
        <f t="shared" si="11"/>
        <v>83283493</v>
      </c>
      <c r="BU96" s="82">
        <f t="shared" si="12"/>
        <v>20739249</v>
      </c>
      <c r="BV96" s="82">
        <f t="shared" si="13"/>
        <v>378806</v>
      </c>
      <c r="BW96" s="86">
        <f t="shared" si="14"/>
        <v>3523084</v>
      </c>
      <c r="BX96" s="86">
        <f t="shared" si="17"/>
        <v>107924632</v>
      </c>
    </row>
    <row r="97" spans="1:76" x14ac:dyDescent="0.25">
      <c r="A97" s="91" t="s">
        <v>151</v>
      </c>
      <c r="B97" s="114">
        <v>281378012</v>
      </c>
      <c r="C97" s="114">
        <v>184969574</v>
      </c>
      <c r="D97" s="114">
        <v>61264505</v>
      </c>
      <c r="E97" s="114">
        <v>0</v>
      </c>
      <c r="F97" s="114">
        <v>29726780</v>
      </c>
      <c r="G97" s="114">
        <v>6231730</v>
      </c>
      <c r="H97" s="114">
        <v>17879800</v>
      </c>
      <c r="I97" s="114">
        <v>1878250</v>
      </c>
      <c r="J97" s="114">
        <v>75200</v>
      </c>
      <c r="K97" s="114">
        <v>20000</v>
      </c>
      <c r="L97" s="114">
        <v>244474838</v>
      </c>
      <c r="M97" s="114">
        <v>144975953</v>
      </c>
      <c r="N97" s="114">
        <v>1316</v>
      </c>
      <c r="O97" s="114">
        <v>241</v>
      </c>
      <c r="P97" s="114">
        <v>4962290</v>
      </c>
      <c r="Q97" s="114">
        <v>6128245</v>
      </c>
      <c r="R97" s="114">
        <v>221000</v>
      </c>
      <c r="S97" s="114">
        <v>3688393</v>
      </c>
      <c r="T97" s="114">
        <v>1428765</v>
      </c>
      <c r="U97" s="114">
        <v>882890</v>
      </c>
      <c r="V97" s="114">
        <v>4962290</v>
      </c>
      <c r="W97" s="114">
        <v>6648050</v>
      </c>
      <c r="X97" s="114">
        <v>221000</v>
      </c>
      <c r="Y97" s="114">
        <v>3688393</v>
      </c>
      <c r="Z97" s="114">
        <v>4040490</v>
      </c>
      <c r="AA97" s="114">
        <v>882890</v>
      </c>
      <c r="AB97" s="114">
        <v>-729230</v>
      </c>
      <c r="AC97" s="114">
        <v>0</v>
      </c>
      <c r="AD97" s="114">
        <v>62</v>
      </c>
      <c r="AE97" s="114">
        <v>0</v>
      </c>
      <c r="AF97" s="114">
        <v>0</v>
      </c>
      <c r="AG97" s="114">
        <v>158283</v>
      </c>
      <c r="AH97" s="114">
        <v>0</v>
      </c>
      <c r="AI97" s="114">
        <v>3282549.180327869</v>
      </c>
      <c r="AJ97" s="121">
        <v>0</v>
      </c>
      <c r="AK97" s="82">
        <v>102149370</v>
      </c>
      <c r="AL97" s="83">
        <v>1841368</v>
      </c>
      <c r="AM97" s="114">
        <v>0</v>
      </c>
      <c r="AN97" s="114">
        <v>30280472</v>
      </c>
      <c r="AO97" s="114">
        <v>4881920</v>
      </c>
      <c r="AP97" s="114">
        <v>75303349</v>
      </c>
      <c r="AQ97" s="114">
        <v>5668087</v>
      </c>
      <c r="AR97" s="114">
        <v>8725892</v>
      </c>
      <c r="AS97" s="114">
        <v>2004769</v>
      </c>
      <c r="AT97" s="114">
        <f>395983</f>
        <v>395983</v>
      </c>
      <c r="AU97" s="114">
        <v>0</v>
      </c>
      <c r="AV97" s="114">
        <v>0</v>
      </c>
      <c r="AW97" s="114">
        <v>0</v>
      </c>
      <c r="AX97" s="114">
        <v>212787</v>
      </c>
      <c r="AY97" s="114">
        <v>381285</v>
      </c>
      <c r="BD97" s="82">
        <v>5387624.4800000004</v>
      </c>
      <c r="BE97" s="82">
        <v>2693812</v>
      </c>
      <c r="BF97" s="117">
        <v>3347150</v>
      </c>
      <c r="BG97" s="118">
        <v>3110948</v>
      </c>
      <c r="BH97" s="118">
        <v>5982591</v>
      </c>
      <c r="BI97" s="117">
        <v>32914679</v>
      </c>
      <c r="BJ97" s="117">
        <v>32914679</v>
      </c>
      <c r="BK97" s="117">
        <v>52233676.25</v>
      </c>
      <c r="BL97" s="117">
        <v>46071642.25</v>
      </c>
      <c r="BM97" s="117">
        <v>0</v>
      </c>
      <c r="BN97" s="117">
        <v>0</v>
      </c>
      <c r="BO97" s="119"/>
      <c r="BP97" s="86">
        <f t="shared" si="15"/>
        <v>760506938.43032789</v>
      </c>
      <c r="BQ97" s="86">
        <f t="shared" si="16"/>
        <v>571725119.18032789</v>
      </c>
      <c r="BR97" s="87">
        <v>455525</v>
      </c>
      <c r="BT97" s="86">
        <f t="shared" si="11"/>
        <v>527612091</v>
      </c>
      <c r="BU97" s="82">
        <f t="shared" si="12"/>
        <v>102149370</v>
      </c>
      <c r="BV97" s="82">
        <f t="shared" si="13"/>
        <v>1841368</v>
      </c>
      <c r="BW97" s="86">
        <f t="shared" si="14"/>
        <v>42835248</v>
      </c>
      <c r="BX97" s="86">
        <f t="shared" si="17"/>
        <v>674438077</v>
      </c>
    </row>
    <row r="98" spans="1:76" x14ac:dyDescent="0.25">
      <c r="A98" s="91" t="s">
        <v>152</v>
      </c>
      <c r="B98" s="114">
        <v>459366581</v>
      </c>
      <c r="C98" s="114">
        <v>60677117</v>
      </c>
      <c r="D98" s="114">
        <v>268356874</v>
      </c>
      <c r="E98" s="114">
        <v>0</v>
      </c>
      <c r="F98" s="114">
        <v>68584200</v>
      </c>
      <c r="G98" s="114">
        <v>46182897</v>
      </c>
      <c r="H98" s="114">
        <v>11678525</v>
      </c>
      <c r="I98" s="114">
        <v>4337500</v>
      </c>
      <c r="J98" s="114">
        <v>698400</v>
      </c>
      <c r="K98" s="114">
        <v>188000</v>
      </c>
      <c r="L98" s="114">
        <v>64836796</v>
      </c>
      <c r="M98" s="114">
        <v>45027855</v>
      </c>
      <c r="N98" s="114">
        <v>2499</v>
      </c>
      <c r="O98" s="114">
        <v>1717</v>
      </c>
      <c r="P98" s="114">
        <v>777000</v>
      </c>
      <c r="Q98" s="114">
        <v>280000</v>
      </c>
      <c r="R98" s="114">
        <v>0</v>
      </c>
      <c r="S98" s="114">
        <v>3277003</v>
      </c>
      <c r="T98" s="114">
        <v>112000</v>
      </c>
      <c r="U98" s="114">
        <v>703000</v>
      </c>
      <c r="V98" s="114">
        <v>777000</v>
      </c>
      <c r="W98" s="114">
        <v>280000</v>
      </c>
      <c r="X98" s="114">
        <v>0</v>
      </c>
      <c r="Y98" s="114">
        <v>3277003</v>
      </c>
      <c r="Z98" s="114">
        <v>112000</v>
      </c>
      <c r="AA98" s="114">
        <v>703000</v>
      </c>
      <c r="AB98" s="114">
        <v>-8392170</v>
      </c>
      <c r="AC98" s="114">
        <v>-480448</v>
      </c>
      <c r="AD98" s="114">
        <v>142691</v>
      </c>
      <c r="AE98" s="114">
        <v>35</v>
      </c>
      <c r="AF98" s="114">
        <v>0</v>
      </c>
      <c r="AG98" s="114">
        <v>167229</v>
      </c>
      <c r="AH98" s="114">
        <v>13316991.803278688</v>
      </c>
      <c r="AI98" s="114">
        <v>46897827.868852459</v>
      </c>
      <c r="AJ98" s="121">
        <v>55855323.770000003</v>
      </c>
      <c r="AK98" s="82">
        <v>201453526</v>
      </c>
      <c r="AL98" s="83">
        <v>4671014</v>
      </c>
      <c r="AM98" s="114">
        <v>108000</v>
      </c>
      <c r="AN98" s="114">
        <v>94441348</v>
      </c>
      <c r="AO98" s="114">
        <v>5253427</v>
      </c>
      <c r="AP98" s="114">
        <v>16551513</v>
      </c>
      <c r="AQ98" s="114">
        <v>53639586</v>
      </c>
      <c r="AR98" s="114">
        <v>36942726</v>
      </c>
      <c r="AS98" s="114">
        <v>1148</v>
      </c>
      <c r="AT98" s="114">
        <v>319349</v>
      </c>
      <c r="AU98" s="114">
        <v>0</v>
      </c>
      <c r="AV98" s="114">
        <v>0</v>
      </c>
      <c r="AW98" s="114">
        <v>0</v>
      </c>
      <c r="AX98" s="114">
        <v>18832</v>
      </c>
      <c r="AY98" s="114">
        <v>18191231</v>
      </c>
      <c r="BD98" s="82">
        <v>10625184.949999999</v>
      </c>
      <c r="BE98" s="82">
        <v>5312592</v>
      </c>
      <c r="BF98" s="117">
        <v>0</v>
      </c>
      <c r="BG98" s="118">
        <v>7907490</v>
      </c>
      <c r="BH98" s="118">
        <v>15206712</v>
      </c>
      <c r="BI98" s="117">
        <v>47645117</v>
      </c>
      <c r="BJ98" s="117">
        <v>47645117</v>
      </c>
      <c r="BK98" s="117">
        <v>112285690.25</v>
      </c>
      <c r="BL98" s="117">
        <v>102455143.25</v>
      </c>
      <c r="BM98" s="117">
        <v>0</v>
      </c>
      <c r="BN98" s="117">
        <v>0</v>
      </c>
      <c r="BO98" s="119"/>
      <c r="BP98" s="86">
        <f t="shared" si="15"/>
        <v>1427249958.692131</v>
      </c>
      <c r="BQ98" s="86">
        <f t="shared" si="16"/>
        <v>1057805076.4421312</v>
      </c>
      <c r="BR98" s="87">
        <v>1061467</v>
      </c>
      <c r="BT98" s="86">
        <f t="shared" ref="BT98:BT121" si="18">B98+C98+D98</f>
        <v>788400572</v>
      </c>
      <c r="BU98" s="82">
        <f t="shared" ref="BU98:BU121" si="19">AK98</f>
        <v>201453526</v>
      </c>
      <c r="BV98" s="82">
        <f t="shared" ref="BV98:BV121" si="20">AL98</f>
        <v>4671014</v>
      </c>
      <c r="BW98" s="86">
        <f t="shared" ref="BW98:BW121" si="21">AN98+AO98+AQ98+AS98</f>
        <v>153335509</v>
      </c>
      <c r="BX98" s="86">
        <f t="shared" si="17"/>
        <v>1147860621</v>
      </c>
    </row>
    <row r="99" spans="1:76" x14ac:dyDescent="0.25">
      <c r="A99" s="91" t="s">
        <v>153</v>
      </c>
      <c r="B99" s="114">
        <v>1001877175</v>
      </c>
      <c r="C99" s="114">
        <v>146595079</v>
      </c>
      <c r="D99" s="114">
        <v>425832267</v>
      </c>
      <c r="E99" s="114">
        <v>0</v>
      </c>
      <c r="F99" s="114">
        <v>146681673</v>
      </c>
      <c r="G99" s="114">
        <v>141370150</v>
      </c>
      <c r="H99" s="114">
        <v>30264850</v>
      </c>
      <c r="I99" s="114">
        <v>21442900</v>
      </c>
      <c r="J99" s="114">
        <v>595400</v>
      </c>
      <c r="K99" s="114">
        <v>292600</v>
      </c>
      <c r="L99" s="114">
        <v>161377073</v>
      </c>
      <c r="M99" s="114">
        <v>153422751</v>
      </c>
      <c r="N99" s="114">
        <v>5630</v>
      </c>
      <c r="O99" s="114">
        <v>5666</v>
      </c>
      <c r="P99" s="114">
        <v>20166355</v>
      </c>
      <c r="Q99" s="114">
        <v>1171300</v>
      </c>
      <c r="R99" s="114">
        <v>4934350</v>
      </c>
      <c r="S99" s="114">
        <v>13151133</v>
      </c>
      <c r="T99" s="114">
        <v>434370</v>
      </c>
      <c r="U99" s="114">
        <v>2893722</v>
      </c>
      <c r="V99" s="114">
        <v>20166355</v>
      </c>
      <c r="W99" s="114">
        <v>1205700</v>
      </c>
      <c r="X99" s="114">
        <v>4934350</v>
      </c>
      <c r="Y99" s="114">
        <v>13151133</v>
      </c>
      <c r="Z99" s="114">
        <v>476000</v>
      </c>
      <c r="AA99" s="114">
        <v>2893722</v>
      </c>
      <c r="AB99" s="114">
        <v>-11436523</v>
      </c>
      <c r="AC99" s="114">
        <v>131316</v>
      </c>
      <c r="AD99" s="114">
        <v>462287</v>
      </c>
      <c r="AE99" s="114">
        <v>0</v>
      </c>
      <c r="AF99" s="114">
        <v>0</v>
      </c>
      <c r="AG99" s="114">
        <v>584683</v>
      </c>
      <c r="AH99" s="114">
        <v>7983418.0327868862</v>
      </c>
      <c r="AI99" s="114">
        <v>211781655.7377049</v>
      </c>
      <c r="AJ99" s="121">
        <v>67149892.620000005</v>
      </c>
      <c r="AK99" s="82">
        <v>457045135</v>
      </c>
      <c r="AL99" s="83">
        <v>10109410</v>
      </c>
      <c r="AM99" s="114">
        <v>0</v>
      </c>
      <c r="AN99" s="114">
        <v>178357401</v>
      </c>
      <c r="AO99" s="114">
        <v>9543125</v>
      </c>
      <c r="AP99" s="114">
        <v>108448619</v>
      </c>
      <c r="AQ99" s="114">
        <v>107952332</v>
      </c>
      <c r="AR99" s="114">
        <v>64500999</v>
      </c>
      <c r="AS99" s="114">
        <v>147301</v>
      </c>
      <c r="AT99" s="114">
        <v>117971</v>
      </c>
      <c r="AU99" s="114">
        <v>0</v>
      </c>
      <c r="AV99" s="114">
        <v>0</v>
      </c>
      <c r="AW99" s="114">
        <v>0</v>
      </c>
      <c r="AX99" s="114">
        <v>24536</v>
      </c>
      <c r="AY99" s="114">
        <v>1330800</v>
      </c>
      <c r="BD99" s="82">
        <v>24105753.760000002</v>
      </c>
      <c r="BE99" s="82">
        <v>12052877</v>
      </c>
      <c r="BF99" s="117">
        <v>0</v>
      </c>
      <c r="BG99" s="118">
        <v>8883400</v>
      </c>
      <c r="BH99" s="118">
        <v>17083462</v>
      </c>
      <c r="BI99" s="117">
        <v>110167146</v>
      </c>
      <c r="BJ99" s="117">
        <v>110167146</v>
      </c>
      <c r="BK99" s="117">
        <v>211865604.5</v>
      </c>
      <c r="BL99" s="117">
        <v>199328190.5</v>
      </c>
      <c r="BM99" s="117">
        <v>0</v>
      </c>
      <c r="BN99" s="117">
        <v>0</v>
      </c>
      <c r="BO99" s="119"/>
      <c r="BP99" s="86">
        <f t="shared" si="15"/>
        <v>2954658503.890492</v>
      </c>
      <c r="BQ99" s="86">
        <f t="shared" si="16"/>
        <v>2157072345.390492</v>
      </c>
      <c r="BR99" s="87">
        <v>10702469</v>
      </c>
      <c r="BT99" s="86">
        <f t="shared" si="18"/>
        <v>1574304521</v>
      </c>
      <c r="BU99" s="82">
        <f t="shared" si="19"/>
        <v>457045135</v>
      </c>
      <c r="BV99" s="82">
        <f t="shared" si="20"/>
        <v>10109410</v>
      </c>
      <c r="BW99" s="86">
        <f t="shared" si="21"/>
        <v>296000159</v>
      </c>
      <c r="BX99" s="86">
        <f t="shared" si="17"/>
        <v>2337459225</v>
      </c>
    </row>
    <row r="100" spans="1:76" x14ac:dyDescent="0.25">
      <c r="A100" s="91" t="s">
        <v>154</v>
      </c>
      <c r="B100" s="114">
        <v>250236965</v>
      </c>
      <c r="C100" s="114">
        <v>56666499</v>
      </c>
      <c r="D100" s="114">
        <v>83705222</v>
      </c>
      <c r="E100" s="114">
        <v>0</v>
      </c>
      <c r="F100" s="114">
        <v>28741294</v>
      </c>
      <c r="G100" s="114">
        <v>13968526</v>
      </c>
      <c r="H100" s="114">
        <v>5716465</v>
      </c>
      <c r="I100" s="114">
        <v>1436325</v>
      </c>
      <c r="J100" s="114">
        <v>97200</v>
      </c>
      <c r="K100" s="114">
        <v>22500</v>
      </c>
      <c r="L100" s="114">
        <v>31375464</v>
      </c>
      <c r="M100" s="114">
        <v>31235594</v>
      </c>
      <c r="N100" s="114">
        <v>1039</v>
      </c>
      <c r="O100" s="114">
        <v>507</v>
      </c>
      <c r="P100" s="114">
        <v>3124758</v>
      </c>
      <c r="Q100" s="114">
        <v>369020</v>
      </c>
      <c r="R100" s="114">
        <v>1284700</v>
      </c>
      <c r="S100" s="114">
        <v>2163733</v>
      </c>
      <c r="T100" s="114">
        <v>1548020</v>
      </c>
      <c r="U100" s="114">
        <v>1177877</v>
      </c>
      <c r="V100" s="114">
        <v>3124758</v>
      </c>
      <c r="W100" s="114">
        <v>0</v>
      </c>
      <c r="X100" s="114">
        <v>1284700</v>
      </c>
      <c r="Y100" s="114">
        <v>2163733</v>
      </c>
      <c r="Z100" s="114">
        <v>31000</v>
      </c>
      <c r="AA100" s="114">
        <v>1177877</v>
      </c>
      <c r="AB100" s="114">
        <v>-1969618</v>
      </c>
      <c r="AC100" s="114">
        <v>-1765236</v>
      </c>
      <c r="AD100" s="114">
        <v>63058</v>
      </c>
      <c r="AE100" s="114">
        <v>0</v>
      </c>
      <c r="AF100" s="114">
        <v>0</v>
      </c>
      <c r="AG100" s="114">
        <v>77316</v>
      </c>
      <c r="AH100" s="114">
        <v>261270.49180327871</v>
      </c>
      <c r="AI100" s="114">
        <v>361827.86885245901</v>
      </c>
      <c r="AJ100" s="121">
        <v>0</v>
      </c>
      <c r="AK100" s="82">
        <v>78630374</v>
      </c>
      <c r="AL100" s="83">
        <v>1632931</v>
      </c>
      <c r="AM100" s="114">
        <v>0</v>
      </c>
      <c r="AN100" s="114">
        <v>8217883</v>
      </c>
      <c r="AO100" s="114">
        <v>191028</v>
      </c>
      <c r="AP100" s="114">
        <v>14222364</v>
      </c>
      <c r="AQ100" s="114">
        <v>11838874</v>
      </c>
      <c r="AR100" s="114">
        <v>5324764</v>
      </c>
      <c r="AS100" s="114">
        <v>0</v>
      </c>
      <c r="AT100" s="114">
        <v>0</v>
      </c>
      <c r="AU100" s="114">
        <v>0</v>
      </c>
      <c r="AV100" s="114">
        <v>0</v>
      </c>
      <c r="AW100" s="114">
        <v>0</v>
      </c>
      <c r="AX100" s="114">
        <v>4081668</v>
      </c>
      <c r="AY100" s="114">
        <v>105200</v>
      </c>
      <c r="BD100" s="82">
        <v>4147171.23</v>
      </c>
      <c r="BE100" s="82">
        <v>2073586</v>
      </c>
      <c r="BF100" s="117">
        <v>0</v>
      </c>
      <c r="BG100" s="118">
        <v>0</v>
      </c>
      <c r="BH100" s="118">
        <v>0</v>
      </c>
      <c r="BI100" s="117">
        <v>12676410</v>
      </c>
      <c r="BJ100" s="117">
        <v>12676410</v>
      </c>
      <c r="BK100" s="117">
        <v>93338039.75</v>
      </c>
      <c r="BL100" s="117">
        <v>93210716.75</v>
      </c>
      <c r="BM100" s="117">
        <v>0</v>
      </c>
      <c r="BN100" s="117">
        <v>0</v>
      </c>
      <c r="BO100" s="119"/>
      <c r="BP100" s="86">
        <f t="shared" si="15"/>
        <v>599703587.11065578</v>
      </c>
      <c r="BQ100" s="86">
        <f t="shared" si="16"/>
        <v>411479569.36065573</v>
      </c>
      <c r="BR100" s="87">
        <v>1015406</v>
      </c>
      <c r="BT100" s="86">
        <f t="shared" si="18"/>
        <v>390608686</v>
      </c>
      <c r="BU100" s="82">
        <f t="shared" si="19"/>
        <v>78630374</v>
      </c>
      <c r="BV100" s="82">
        <f t="shared" si="20"/>
        <v>1632931</v>
      </c>
      <c r="BW100" s="86">
        <f t="shared" si="21"/>
        <v>20247785</v>
      </c>
      <c r="BX100" s="86">
        <f t="shared" si="17"/>
        <v>491119776</v>
      </c>
    </row>
    <row r="101" spans="1:76" x14ac:dyDescent="0.25">
      <c r="A101" s="91" t="s">
        <v>155</v>
      </c>
      <c r="B101" s="114">
        <v>2139211511</v>
      </c>
      <c r="C101" s="114">
        <v>339011665</v>
      </c>
      <c r="D101" s="114">
        <v>792311920</v>
      </c>
      <c r="E101" s="114">
        <v>0</v>
      </c>
      <c r="F101" s="114">
        <v>187068967</v>
      </c>
      <c r="G101" s="114">
        <v>35040376</v>
      </c>
      <c r="H101" s="114">
        <v>33519627</v>
      </c>
      <c r="I101" s="114">
        <v>3420450</v>
      </c>
      <c r="J101" s="114">
        <v>413600</v>
      </c>
      <c r="K101" s="114">
        <v>75200</v>
      </c>
      <c r="L101" s="114">
        <v>618743107</v>
      </c>
      <c r="M101" s="114">
        <v>227163033</v>
      </c>
      <c r="N101" s="114">
        <v>6226</v>
      </c>
      <c r="O101" s="114">
        <v>1199</v>
      </c>
      <c r="P101" s="114">
        <v>20732942</v>
      </c>
      <c r="Q101" s="114">
        <v>2218755</v>
      </c>
      <c r="R101" s="114">
        <v>11465170</v>
      </c>
      <c r="S101" s="114">
        <v>1735918</v>
      </c>
      <c r="T101" s="114">
        <v>657600</v>
      </c>
      <c r="U101" s="114">
        <v>510000</v>
      </c>
      <c r="V101" s="114">
        <v>20732942</v>
      </c>
      <c r="W101" s="114">
        <v>2218755</v>
      </c>
      <c r="X101" s="114">
        <v>11465170</v>
      </c>
      <c r="Y101" s="114">
        <v>1735918</v>
      </c>
      <c r="Z101" s="114">
        <v>657600</v>
      </c>
      <c r="AA101" s="114">
        <v>510000</v>
      </c>
      <c r="AB101" s="114">
        <v>-8856400</v>
      </c>
      <c r="AC101" s="114">
        <v>40843</v>
      </c>
      <c r="AD101" s="114">
        <v>41633</v>
      </c>
      <c r="AE101" s="114">
        <v>0</v>
      </c>
      <c r="AF101" s="114">
        <v>0</v>
      </c>
      <c r="AG101" s="114">
        <v>300486.58</v>
      </c>
      <c r="AH101" s="114">
        <v>64983.606557377054</v>
      </c>
      <c r="AI101" s="114">
        <v>537877.04918032791</v>
      </c>
      <c r="AJ101" s="121">
        <v>0</v>
      </c>
      <c r="AK101" s="82">
        <v>447199596</v>
      </c>
      <c r="AL101" s="83">
        <v>27324236</v>
      </c>
      <c r="AM101" s="114">
        <v>11135271</v>
      </c>
      <c r="AN101" s="114">
        <v>142458157</v>
      </c>
      <c r="AO101" s="114">
        <v>15845161</v>
      </c>
      <c r="AP101" s="114">
        <v>325383725</v>
      </c>
      <c r="AQ101" s="114">
        <v>128575323</v>
      </c>
      <c r="AR101" s="114">
        <v>166494345</v>
      </c>
      <c r="AS101" s="114">
        <v>18081457</v>
      </c>
      <c r="AT101" s="114">
        <v>9688057</v>
      </c>
      <c r="AU101" s="114">
        <v>0</v>
      </c>
      <c r="AV101" s="114">
        <v>42086</v>
      </c>
      <c r="AW101" s="114">
        <v>0</v>
      </c>
      <c r="AX101" s="114">
        <v>1668620</v>
      </c>
      <c r="AY101" s="114">
        <v>1120878</v>
      </c>
      <c r="BD101" s="82">
        <v>23586474.329999998</v>
      </c>
      <c r="BE101" s="82">
        <v>11793237</v>
      </c>
      <c r="BF101" s="117">
        <v>0</v>
      </c>
      <c r="BG101" s="118">
        <v>5659532</v>
      </c>
      <c r="BH101" s="118">
        <v>10883714</v>
      </c>
      <c r="BI101" s="117">
        <v>86955264</v>
      </c>
      <c r="BJ101" s="117">
        <v>86955264</v>
      </c>
      <c r="BK101" s="117">
        <v>169843759.25</v>
      </c>
      <c r="BL101" s="117">
        <v>154912476.25</v>
      </c>
      <c r="BM101" s="117">
        <v>0</v>
      </c>
      <c r="BN101" s="117">
        <v>0</v>
      </c>
      <c r="BO101" s="119"/>
      <c r="BP101" s="86">
        <f t="shared" si="15"/>
        <v>4291860938.9057379</v>
      </c>
      <c r="BQ101" s="86">
        <f t="shared" si="16"/>
        <v>3558016597.6557379</v>
      </c>
      <c r="BR101" s="87">
        <v>4387500</v>
      </c>
      <c r="BT101" s="86">
        <f t="shared" si="18"/>
        <v>3270535096</v>
      </c>
      <c r="BU101" s="82">
        <f t="shared" si="19"/>
        <v>447199596</v>
      </c>
      <c r="BV101" s="82">
        <f t="shared" si="20"/>
        <v>27324236</v>
      </c>
      <c r="BW101" s="86">
        <f t="shared" si="21"/>
        <v>304960098</v>
      </c>
      <c r="BX101" s="86">
        <f t="shared" si="17"/>
        <v>4050019026</v>
      </c>
    </row>
    <row r="102" spans="1:76" x14ac:dyDescent="0.25">
      <c r="A102" s="91" t="s">
        <v>156</v>
      </c>
      <c r="B102" s="114">
        <v>21782864</v>
      </c>
      <c r="C102" s="114">
        <v>38367557</v>
      </c>
      <c r="D102" s="114">
        <v>4161398</v>
      </c>
      <c r="E102" s="114">
        <v>0</v>
      </c>
      <c r="F102" s="114">
        <v>3774046</v>
      </c>
      <c r="G102" s="114">
        <v>1103975</v>
      </c>
      <c r="H102" s="114">
        <v>3420175</v>
      </c>
      <c r="I102" s="114">
        <v>1104454</v>
      </c>
      <c r="J102" s="114">
        <v>0</v>
      </c>
      <c r="K102" s="114">
        <v>0</v>
      </c>
      <c r="L102" s="114">
        <v>56481967</v>
      </c>
      <c r="M102" s="114">
        <v>21982976</v>
      </c>
      <c r="N102" s="114">
        <v>205</v>
      </c>
      <c r="O102" s="114">
        <v>68</v>
      </c>
      <c r="P102" s="114">
        <v>683300</v>
      </c>
      <c r="Q102" s="114">
        <v>391347</v>
      </c>
      <c r="R102" s="114">
        <v>948000</v>
      </c>
      <c r="S102" s="114">
        <v>312306</v>
      </c>
      <c r="T102" s="114">
        <v>540564</v>
      </c>
      <c r="U102" s="114">
        <v>248370</v>
      </c>
      <c r="V102" s="114">
        <v>683300</v>
      </c>
      <c r="W102" s="114">
        <v>436200</v>
      </c>
      <c r="X102" s="114">
        <v>948000</v>
      </c>
      <c r="Y102" s="114">
        <v>312306</v>
      </c>
      <c r="Z102" s="114">
        <v>802670</v>
      </c>
      <c r="AA102" s="114">
        <v>248370</v>
      </c>
      <c r="AB102" s="114">
        <v>76929</v>
      </c>
      <c r="AC102" s="114">
        <v>1167</v>
      </c>
      <c r="AD102" s="114">
        <v>0</v>
      </c>
      <c r="AE102" s="114">
        <v>0</v>
      </c>
      <c r="AF102" s="114">
        <v>0</v>
      </c>
      <c r="AG102" s="114">
        <v>0</v>
      </c>
      <c r="AH102" s="114">
        <v>0</v>
      </c>
      <c r="AI102" s="114">
        <v>0</v>
      </c>
      <c r="AJ102" s="121">
        <v>0</v>
      </c>
      <c r="AK102" s="82">
        <v>14582302</v>
      </c>
      <c r="AL102" s="83">
        <v>251440</v>
      </c>
      <c r="AM102" s="114">
        <v>0</v>
      </c>
      <c r="AN102" s="114">
        <v>1378785</v>
      </c>
      <c r="AO102" s="114">
        <v>22155</v>
      </c>
      <c r="AP102" s="114">
        <v>0</v>
      </c>
      <c r="AQ102" s="114">
        <v>1191002</v>
      </c>
      <c r="AR102" s="114">
        <v>0</v>
      </c>
      <c r="AS102" s="114">
        <v>0</v>
      </c>
      <c r="AT102" s="114">
        <v>0</v>
      </c>
      <c r="AU102" s="114">
        <v>0</v>
      </c>
      <c r="AV102" s="114">
        <v>0</v>
      </c>
      <c r="AW102" s="114">
        <v>0</v>
      </c>
      <c r="AX102" s="114">
        <v>0</v>
      </c>
      <c r="AY102" s="114">
        <v>0</v>
      </c>
      <c r="BD102" s="82">
        <v>769108.68</v>
      </c>
      <c r="BE102" s="82">
        <v>384554</v>
      </c>
      <c r="BF102" s="117">
        <v>0</v>
      </c>
      <c r="BG102" s="118">
        <v>0</v>
      </c>
      <c r="BH102" s="118">
        <v>0</v>
      </c>
      <c r="BI102" s="117">
        <v>7079547</v>
      </c>
      <c r="BJ102" s="117">
        <v>7079547</v>
      </c>
      <c r="BK102" s="117">
        <v>10213299.75</v>
      </c>
      <c r="BL102" s="117">
        <v>10207226.75</v>
      </c>
      <c r="BM102" s="117">
        <v>0</v>
      </c>
      <c r="BN102" s="117">
        <v>0</v>
      </c>
      <c r="BO102" s="119"/>
      <c r="BP102" s="86">
        <f t="shared" si="15"/>
        <v>99408830.75</v>
      </c>
      <c r="BQ102" s="86">
        <f t="shared" si="16"/>
        <v>66903761</v>
      </c>
      <c r="BR102" s="87">
        <v>71800</v>
      </c>
      <c r="BT102" s="86">
        <f t="shared" si="18"/>
        <v>64311819</v>
      </c>
      <c r="BU102" s="82">
        <f t="shared" si="19"/>
        <v>14582302</v>
      </c>
      <c r="BV102" s="82">
        <f t="shared" si="20"/>
        <v>251440</v>
      </c>
      <c r="BW102" s="86">
        <f t="shared" si="21"/>
        <v>2591942</v>
      </c>
      <c r="BX102" s="86">
        <f t="shared" si="17"/>
        <v>81737503</v>
      </c>
    </row>
    <row r="103" spans="1:76" x14ac:dyDescent="0.25">
      <c r="A103" s="91" t="s">
        <v>157</v>
      </c>
      <c r="B103" s="114">
        <v>254064697</v>
      </c>
      <c r="C103" s="114">
        <v>94011700</v>
      </c>
      <c r="D103" s="114">
        <v>71060751</v>
      </c>
      <c r="E103" s="114">
        <v>0</v>
      </c>
      <c r="F103" s="114">
        <v>41582800</v>
      </c>
      <c r="G103" s="114">
        <v>15563550</v>
      </c>
      <c r="H103" s="114">
        <v>13454100</v>
      </c>
      <c r="I103" s="114">
        <v>2236200</v>
      </c>
      <c r="J103" s="114">
        <v>75200</v>
      </c>
      <c r="K103" s="114">
        <v>0</v>
      </c>
      <c r="L103" s="114">
        <v>142919749</v>
      </c>
      <c r="M103" s="114">
        <v>70068600</v>
      </c>
      <c r="N103" s="114">
        <v>1550</v>
      </c>
      <c r="O103" s="114">
        <v>548</v>
      </c>
      <c r="P103" s="114">
        <v>2593400</v>
      </c>
      <c r="Q103" s="114">
        <v>940000</v>
      </c>
      <c r="R103" s="114">
        <v>411500</v>
      </c>
      <c r="S103" s="114">
        <v>1846020</v>
      </c>
      <c r="T103" s="114">
        <v>10500</v>
      </c>
      <c r="U103" s="114">
        <v>949700</v>
      </c>
      <c r="V103" s="114">
        <v>2593400</v>
      </c>
      <c r="W103" s="114">
        <v>1041450</v>
      </c>
      <c r="X103" s="114">
        <v>411500</v>
      </c>
      <c r="Y103" s="114">
        <v>1846020</v>
      </c>
      <c r="Z103" s="114">
        <v>0</v>
      </c>
      <c r="AA103" s="114">
        <v>949700</v>
      </c>
      <c r="AB103" s="114">
        <v>-2918450</v>
      </c>
      <c r="AC103" s="114">
        <v>-32162</v>
      </c>
      <c r="AD103" s="114">
        <v>0</v>
      </c>
      <c r="AE103" s="114">
        <v>0</v>
      </c>
      <c r="AF103" s="114">
        <v>0</v>
      </c>
      <c r="AG103" s="114">
        <v>0</v>
      </c>
      <c r="AH103" s="114">
        <v>35532.786885245907</v>
      </c>
      <c r="AI103" s="114">
        <v>239131.14754098363</v>
      </c>
      <c r="AJ103" s="121">
        <v>0</v>
      </c>
      <c r="AK103" s="82">
        <v>89074739</v>
      </c>
      <c r="AL103" s="83">
        <v>2185990</v>
      </c>
      <c r="AM103" s="114">
        <v>11944</v>
      </c>
      <c r="AN103" s="114">
        <v>12947505</v>
      </c>
      <c r="AO103" s="114">
        <v>120799</v>
      </c>
      <c r="AP103" s="114">
        <v>9818065</v>
      </c>
      <c r="AQ103" s="114">
        <v>6343723</v>
      </c>
      <c r="AR103" s="114">
        <v>4217445</v>
      </c>
      <c r="AS103" s="114">
        <v>0</v>
      </c>
      <c r="AT103" s="114">
        <v>0</v>
      </c>
      <c r="AU103" s="114">
        <v>0</v>
      </c>
      <c r="AV103" s="114">
        <v>0</v>
      </c>
      <c r="AW103" s="114">
        <v>0</v>
      </c>
      <c r="AX103" s="114">
        <v>166203</v>
      </c>
      <c r="AY103" s="114">
        <v>8000</v>
      </c>
      <c r="BD103" s="82">
        <v>4698034.3099999996</v>
      </c>
      <c r="BE103" s="82">
        <v>2349017</v>
      </c>
      <c r="BF103" s="117">
        <v>0</v>
      </c>
      <c r="BG103" s="118">
        <v>3015226</v>
      </c>
      <c r="BH103" s="118">
        <v>5798512</v>
      </c>
      <c r="BI103" s="117">
        <v>8670505</v>
      </c>
      <c r="BJ103" s="117">
        <v>8670505</v>
      </c>
      <c r="BK103" s="117">
        <v>42472438.75</v>
      </c>
      <c r="BL103" s="117">
        <v>38424823.75</v>
      </c>
      <c r="BM103" s="117">
        <v>0</v>
      </c>
      <c r="BN103" s="117">
        <v>0</v>
      </c>
      <c r="BO103" s="119"/>
      <c r="BP103" s="86">
        <f t="shared" si="15"/>
        <v>582544139.68442631</v>
      </c>
      <c r="BQ103" s="86">
        <f t="shared" si="16"/>
        <v>438823838.93442625</v>
      </c>
      <c r="BR103" s="87">
        <v>1443701</v>
      </c>
      <c r="BT103" s="86">
        <f t="shared" si="18"/>
        <v>419137148</v>
      </c>
      <c r="BU103" s="82">
        <f t="shared" si="19"/>
        <v>89074739</v>
      </c>
      <c r="BV103" s="82">
        <f t="shared" si="20"/>
        <v>2185990</v>
      </c>
      <c r="BW103" s="86">
        <f t="shared" si="21"/>
        <v>19412027</v>
      </c>
      <c r="BX103" s="86">
        <f t="shared" si="17"/>
        <v>529809904</v>
      </c>
    </row>
    <row r="104" spans="1:76" x14ac:dyDescent="0.25">
      <c r="A104" s="91" t="s">
        <v>158</v>
      </c>
      <c r="B104" s="114">
        <v>559428523</v>
      </c>
      <c r="C104" s="114">
        <v>104943996</v>
      </c>
      <c r="D104" s="114">
        <v>310663529</v>
      </c>
      <c r="E104" s="114">
        <v>0</v>
      </c>
      <c r="F104" s="114">
        <v>51380287</v>
      </c>
      <c r="G104" s="114">
        <v>11436663</v>
      </c>
      <c r="H104" s="114">
        <v>13594470</v>
      </c>
      <c r="I104" s="114">
        <v>1522599</v>
      </c>
      <c r="J104" s="114">
        <v>37600</v>
      </c>
      <c r="K104" s="114">
        <v>37600</v>
      </c>
      <c r="L104" s="114">
        <v>91568641</v>
      </c>
      <c r="M104" s="114">
        <v>9436361</v>
      </c>
      <c r="N104" s="114">
        <v>1881</v>
      </c>
      <c r="O104" s="114">
        <v>428</v>
      </c>
      <c r="P104" s="114">
        <v>4564491</v>
      </c>
      <c r="Q104" s="114">
        <v>94675</v>
      </c>
      <c r="R104" s="114">
        <v>1323200</v>
      </c>
      <c r="S104" s="114">
        <v>1578726</v>
      </c>
      <c r="T104" s="114">
        <v>502568</v>
      </c>
      <c r="U104" s="114">
        <v>511000</v>
      </c>
      <c r="V104" s="114">
        <v>4564491</v>
      </c>
      <c r="W104" s="114">
        <v>150000</v>
      </c>
      <c r="X104" s="114">
        <v>1323200</v>
      </c>
      <c r="Y104" s="114">
        <v>1578726</v>
      </c>
      <c r="Z104" s="114">
        <v>686780</v>
      </c>
      <c r="AA104" s="114">
        <v>511000</v>
      </c>
      <c r="AB104" s="114">
        <v>-8914145</v>
      </c>
      <c r="AC104" s="114">
        <v>-523866</v>
      </c>
      <c r="AD104" s="114">
        <v>55509</v>
      </c>
      <c r="AE104" s="114">
        <v>0</v>
      </c>
      <c r="AF104" s="114">
        <v>0</v>
      </c>
      <c r="AG104" s="114">
        <v>89089.683000000005</v>
      </c>
      <c r="AH104" s="114">
        <v>0</v>
      </c>
      <c r="AI104" s="114">
        <v>70803.278688524588</v>
      </c>
      <c r="AJ104" s="121">
        <v>0</v>
      </c>
      <c r="AK104" s="82">
        <v>137603892</v>
      </c>
      <c r="AL104" s="83">
        <v>5430959</v>
      </c>
      <c r="AM104" s="114">
        <v>1256695</v>
      </c>
      <c r="AN104" s="114">
        <v>47276357</v>
      </c>
      <c r="AO104" s="114">
        <v>5841803</v>
      </c>
      <c r="AP104" s="114">
        <v>93837803</v>
      </c>
      <c r="AQ104" s="114">
        <v>47236336</v>
      </c>
      <c r="AR104" s="114">
        <v>56343691</v>
      </c>
      <c r="AS104" s="114">
        <v>20342888</v>
      </c>
      <c r="AT104" s="114">
        <v>377209</v>
      </c>
      <c r="AU104" s="114">
        <v>1164481</v>
      </c>
      <c r="AV104" s="114">
        <v>0</v>
      </c>
      <c r="AW104" s="114">
        <v>14865</v>
      </c>
      <c r="AX104" s="114">
        <v>84626</v>
      </c>
      <c r="AY104" s="114">
        <v>89000</v>
      </c>
      <c r="BD104" s="82">
        <v>7257588.5499999998</v>
      </c>
      <c r="BE104" s="82">
        <v>3628794</v>
      </c>
      <c r="BF104" s="117">
        <v>0</v>
      </c>
      <c r="BG104" s="118">
        <v>0</v>
      </c>
      <c r="BH104" s="118">
        <v>0</v>
      </c>
      <c r="BI104" s="117">
        <v>33662692</v>
      </c>
      <c r="BJ104" s="117">
        <v>33662692</v>
      </c>
      <c r="BK104" s="117">
        <v>101509464.75</v>
      </c>
      <c r="BL104" s="117">
        <v>101479381.75</v>
      </c>
      <c r="BM104" s="117">
        <v>0</v>
      </c>
      <c r="BN104" s="117">
        <v>0</v>
      </c>
      <c r="BO104" s="119"/>
      <c r="BP104" s="86">
        <f t="shared" si="15"/>
        <v>1357267066.0286884</v>
      </c>
      <c r="BQ104" s="86">
        <f t="shared" si="16"/>
        <v>1075461347.2786884</v>
      </c>
      <c r="BR104" s="87">
        <v>645162</v>
      </c>
      <c r="BT104" s="86">
        <f t="shared" si="18"/>
        <v>975036048</v>
      </c>
      <c r="BU104" s="82">
        <f t="shared" si="19"/>
        <v>137603892</v>
      </c>
      <c r="BV104" s="82">
        <f t="shared" si="20"/>
        <v>5430959</v>
      </c>
      <c r="BW104" s="86">
        <f t="shared" si="21"/>
        <v>120697384</v>
      </c>
      <c r="BX104" s="86">
        <f t="shared" si="17"/>
        <v>1238768283</v>
      </c>
    </row>
    <row r="105" spans="1:76" x14ac:dyDescent="0.25">
      <c r="A105" s="91" t="s">
        <v>159</v>
      </c>
      <c r="B105" s="114">
        <v>540120260</v>
      </c>
      <c r="C105" s="114">
        <v>126015457</v>
      </c>
      <c r="D105" s="114">
        <v>181556553</v>
      </c>
      <c r="E105" s="114">
        <v>0</v>
      </c>
      <c r="F105" s="114">
        <v>56441950</v>
      </c>
      <c r="G105" s="114">
        <v>12086300</v>
      </c>
      <c r="H105" s="114">
        <v>16864350</v>
      </c>
      <c r="I105" s="114">
        <v>1424050</v>
      </c>
      <c r="J105" s="114">
        <v>188000</v>
      </c>
      <c r="K105" s="114">
        <v>0</v>
      </c>
      <c r="L105" s="114">
        <v>261798398</v>
      </c>
      <c r="M105" s="114">
        <v>100229355</v>
      </c>
      <c r="N105" s="114">
        <v>2080</v>
      </c>
      <c r="O105" s="114">
        <v>438</v>
      </c>
      <c r="P105" s="114">
        <v>7099680</v>
      </c>
      <c r="Q105" s="114">
        <v>2838710</v>
      </c>
      <c r="R105" s="114">
        <v>5369700</v>
      </c>
      <c r="S105" s="114">
        <v>6553240</v>
      </c>
      <c r="T105" s="114">
        <v>1238630</v>
      </c>
      <c r="U105" s="114">
        <v>4648450</v>
      </c>
      <c r="V105" s="114">
        <v>7099680</v>
      </c>
      <c r="W105" s="114">
        <v>2769450</v>
      </c>
      <c r="X105" s="114">
        <v>5369700</v>
      </c>
      <c r="Y105" s="114">
        <v>6553240</v>
      </c>
      <c r="Z105" s="114">
        <v>3879200</v>
      </c>
      <c r="AA105" s="114">
        <v>4648450</v>
      </c>
      <c r="AB105" s="114">
        <v>-3041950</v>
      </c>
      <c r="AC105" s="114">
        <v>-296474</v>
      </c>
      <c r="AD105" s="114">
        <v>0</v>
      </c>
      <c r="AE105" s="114">
        <v>0</v>
      </c>
      <c r="AF105" s="114">
        <v>0</v>
      </c>
      <c r="AG105" s="114">
        <v>0</v>
      </c>
      <c r="AH105" s="114">
        <v>217737.70491803277</v>
      </c>
      <c r="AI105" s="114">
        <v>0</v>
      </c>
      <c r="AJ105" s="121">
        <v>0</v>
      </c>
      <c r="AK105" s="82">
        <v>102776984</v>
      </c>
      <c r="AL105" s="83">
        <v>23018247</v>
      </c>
      <c r="AM105" s="114">
        <v>27241846</v>
      </c>
      <c r="AN105" s="114">
        <v>19400253</v>
      </c>
      <c r="AO105" s="114">
        <v>10462162</v>
      </c>
      <c r="AP105" s="114">
        <v>57265046</v>
      </c>
      <c r="AQ105" s="114">
        <v>19736854</v>
      </c>
      <c r="AR105" s="114">
        <v>14686901</v>
      </c>
      <c r="AS105" s="114">
        <v>6407159</v>
      </c>
      <c r="AT105" s="114">
        <v>454673</v>
      </c>
      <c r="AU105" s="114">
        <v>0</v>
      </c>
      <c r="AV105" s="114">
        <v>0</v>
      </c>
      <c r="AW105" s="114">
        <v>0</v>
      </c>
      <c r="AX105" s="114">
        <v>6000</v>
      </c>
      <c r="AY105" s="114">
        <v>71000</v>
      </c>
      <c r="BD105" s="82">
        <v>5420726.4900000002</v>
      </c>
      <c r="BE105" s="82">
        <v>2710363</v>
      </c>
      <c r="BF105" s="117">
        <v>0</v>
      </c>
      <c r="BG105" s="118">
        <v>0</v>
      </c>
      <c r="BH105" s="118">
        <v>0</v>
      </c>
      <c r="BI105" s="117">
        <v>2428555</v>
      </c>
      <c r="BJ105" s="117">
        <v>2428555</v>
      </c>
      <c r="BK105" s="117">
        <v>67791791.75</v>
      </c>
      <c r="BL105" s="117">
        <v>67423825.75</v>
      </c>
      <c r="BM105" s="117">
        <v>0</v>
      </c>
      <c r="BN105" s="117">
        <v>0</v>
      </c>
      <c r="BO105" s="119"/>
      <c r="BP105" s="86">
        <f t="shared" si="15"/>
        <v>1095867251.4549179</v>
      </c>
      <c r="BQ105" s="86">
        <f t="shared" si="16"/>
        <v>897509276.70491803</v>
      </c>
      <c r="BR105" s="87">
        <v>5022100</v>
      </c>
      <c r="BT105" s="86">
        <f t="shared" si="18"/>
        <v>847692270</v>
      </c>
      <c r="BU105" s="82">
        <f t="shared" si="19"/>
        <v>102776984</v>
      </c>
      <c r="BV105" s="82">
        <f t="shared" si="20"/>
        <v>23018247</v>
      </c>
      <c r="BW105" s="86">
        <f t="shared" si="21"/>
        <v>56006428</v>
      </c>
      <c r="BX105" s="86">
        <f t="shared" si="17"/>
        <v>1029493929</v>
      </c>
    </row>
    <row r="106" spans="1:76" x14ac:dyDescent="0.25">
      <c r="A106" s="91" t="s">
        <v>160</v>
      </c>
      <c r="B106" s="114">
        <v>2606484025</v>
      </c>
      <c r="C106" s="114">
        <v>330417238</v>
      </c>
      <c r="D106" s="114">
        <v>1096021752</v>
      </c>
      <c r="E106" s="114">
        <v>4500000</v>
      </c>
      <c r="F106" s="114">
        <v>103429927</v>
      </c>
      <c r="G106" s="114">
        <v>8254361</v>
      </c>
      <c r="H106" s="114">
        <v>16617848</v>
      </c>
      <c r="I106" s="114">
        <v>667678</v>
      </c>
      <c r="J106" s="114">
        <v>0</v>
      </c>
      <c r="K106" s="114">
        <v>0</v>
      </c>
      <c r="L106" s="114">
        <v>630581478</v>
      </c>
      <c r="M106" s="114">
        <v>259848847</v>
      </c>
      <c r="N106" s="114">
        <v>3228</v>
      </c>
      <c r="O106" s="114">
        <v>247</v>
      </c>
      <c r="P106" s="114">
        <v>71462911</v>
      </c>
      <c r="Q106" s="114">
        <v>1789475</v>
      </c>
      <c r="R106" s="114">
        <v>30322219</v>
      </c>
      <c r="S106" s="114">
        <v>1117054</v>
      </c>
      <c r="T106" s="114">
        <v>1492174</v>
      </c>
      <c r="U106" s="114">
        <v>3454032</v>
      </c>
      <c r="V106" s="114">
        <v>71462911</v>
      </c>
      <c r="W106" s="114">
        <v>9124585</v>
      </c>
      <c r="X106" s="114">
        <v>30322219</v>
      </c>
      <c r="Y106" s="114">
        <v>1117054</v>
      </c>
      <c r="Z106" s="114">
        <v>9319050</v>
      </c>
      <c r="AA106" s="114">
        <v>3454032</v>
      </c>
      <c r="AB106" s="114">
        <v>-7095873</v>
      </c>
      <c r="AC106" s="114">
        <v>-10546318</v>
      </c>
      <c r="AD106" s="114">
        <v>0</v>
      </c>
      <c r="AE106" s="114">
        <v>0</v>
      </c>
      <c r="AF106" s="114">
        <v>0</v>
      </c>
      <c r="AG106" s="114">
        <v>148515.56409999999</v>
      </c>
      <c r="AH106" s="114">
        <v>0</v>
      </c>
      <c r="AI106" s="114">
        <v>542901.63934426231</v>
      </c>
      <c r="AJ106" s="121">
        <v>0</v>
      </c>
      <c r="AK106" s="82">
        <v>453697805</v>
      </c>
      <c r="AL106" s="83">
        <v>6441965</v>
      </c>
      <c r="AM106" s="114">
        <v>0</v>
      </c>
      <c r="AN106" s="114">
        <v>98093716</v>
      </c>
      <c r="AO106" s="114">
        <v>10859338</v>
      </c>
      <c r="AP106" s="114">
        <v>414322274</v>
      </c>
      <c r="AQ106" s="114">
        <v>108631640</v>
      </c>
      <c r="AR106" s="114">
        <v>109539689</v>
      </c>
      <c r="AS106" s="114">
        <v>19417684</v>
      </c>
      <c r="AT106" s="114">
        <f>53564002+1978821458</f>
        <v>2032385460</v>
      </c>
      <c r="AU106" s="114">
        <v>0</v>
      </c>
      <c r="AV106" s="114">
        <v>17182</v>
      </c>
      <c r="AW106" s="114">
        <v>0</v>
      </c>
      <c r="AX106" s="114">
        <v>4509909</v>
      </c>
      <c r="AY106" s="114">
        <v>6761857</v>
      </c>
      <c r="BD106" s="82">
        <v>23929206.84</v>
      </c>
      <c r="BE106" s="82">
        <v>11964603</v>
      </c>
      <c r="BF106" s="117">
        <v>0</v>
      </c>
      <c r="BG106" s="118">
        <v>4783830</v>
      </c>
      <c r="BH106" s="118">
        <v>9199672</v>
      </c>
      <c r="BI106" s="117">
        <v>98124865</v>
      </c>
      <c r="BJ106" s="117">
        <v>98044037</v>
      </c>
      <c r="BK106" s="117">
        <v>92130192.5</v>
      </c>
      <c r="BL106" s="117">
        <v>84806416.5</v>
      </c>
      <c r="BM106" s="117">
        <v>0</v>
      </c>
      <c r="BN106" s="117">
        <v>0</v>
      </c>
      <c r="BO106" s="119"/>
      <c r="BP106" s="86">
        <f t="shared" si="15"/>
        <v>4910789267.1393442</v>
      </c>
      <c r="BQ106" s="86">
        <f t="shared" si="16"/>
        <v>4251050610.6393442</v>
      </c>
      <c r="BR106" s="87">
        <v>1964350</v>
      </c>
      <c r="BT106" s="86">
        <f t="shared" si="18"/>
        <v>4032923015</v>
      </c>
      <c r="BU106" s="82">
        <f t="shared" si="19"/>
        <v>453697805</v>
      </c>
      <c r="BV106" s="82">
        <f t="shared" si="20"/>
        <v>6441965</v>
      </c>
      <c r="BW106" s="86">
        <f t="shared" si="21"/>
        <v>237002378</v>
      </c>
      <c r="BX106" s="86">
        <f t="shared" si="17"/>
        <v>4730065163</v>
      </c>
    </row>
    <row r="107" spans="1:76" x14ac:dyDescent="0.25">
      <c r="A107" s="91" t="s">
        <v>161</v>
      </c>
      <c r="B107" s="114">
        <v>1960978912</v>
      </c>
      <c r="C107" s="114">
        <v>542838691</v>
      </c>
      <c r="D107" s="114">
        <v>568247738</v>
      </c>
      <c r="E107" s="114">
        <v>39694330</v>
      </c>
      <c r="F107" s="114">
        <v>97921715</v>
      </c>
      <c r="G107" s="114">
        <v>12286000</v>
      </c>
      <c r="H107" s="114">
        <v>23172628</v>
      </c>
      <c r="I107" s="114">
        <v>1778600</v>
      </c>
      <c r="J107" s="114">
        <v>75200</v>
      </c>
      <c r="K107" s="114">
        <v>0</v>
      </c>
      <c r="L107" s="114">
        <v>795932209</v>
      </c>
      <c r="M107" s="114">
        <v>372949258</v>
      </c>
      <c r="N107" s="114">
        <v>3244</v>
      </c>
      <c r="O107" s="114">
        <v>378</v>
      </c>
      <c r="P107" s="114">
        <v>50237055</v>
      </c>
      <c r="Q107" s="114">
        <v>41226621</v>
      </c>
      <c r="R107" s="114">
        <v>17552400</v>
      </c>
      <c r="S107" s="114">
        <v>5363024</v>
      </c>
      <c r="T107" s="114">
        <v>7694737</v>
      </c>
      <c r="U107" s="114">
        <v>3707367</v>
      </c>
      <c r="V107" s="114">
        <v>50237055</v>
      </c>
      <c r="W107" s="114">
        <v>41972989</v>
      </c>
      <c r="X107" s="114">
        <v>17552400</v>
      </c>
      <c r="Y107" s="114">
        <v>5363024</v>
      </c>
      <c r="Z107" s="114">
        <v>13791629</v>
      </c>
      <c r="AA107" s="114">
        <v>3707367</v>
      </c>
      <c r="AB107" s="114">
        <v>-13052735</v>
      </c>
      <c r="AC107" s="114">
        <v>2729200</v>
      </c>
      <c r="AD107" s="114">
        <v>0</v>
      </c>
      <c r="AE107" s="114">
        <v>0</v>
      </c>
      <c r="AF107" s="114">
        <v>30375728</v>
      </c>
      <c r="AG107" s="114">
        <v>235301</v>
      </c>
      <c r="AH107" s="114">
        <v>0</v>
      </c>
      <c r="AI107" s="114">
        <v>0</v>
      </c>
      <c r="AJ107" s="121">
        <v>0</v>
      </c>
      <c r="AK107" s="82">
        <v>354226557</v>
      </c>
      <c r="AL107" s="83">
        <v>6543704</v>
      </c>
      <c r="AM107" s="114">
        <v>0</v>
      </c>
      <c r="AN107" s="114">
        <v>181173322</v>
      </c>
      <c r="AO107" s="114">
        <v>14414853</v>
      </c>
      <c r="AP107" s="114">
        <v>342695459</v>
      </c>
      <c r="AQ107" s="114">
        <v>124329717</v>
      </c>
      <c r="AR107" s="114">
        <v>116470896</v>
      </c>
      <c r="AS107" s="114">
        <v>34069233</v>
      </c>
      <c r="AT107" s="114">
        <f>10660010+2000</f>
        <v>10662010</v>
      </c>
      <c r="AU107" s="114">
        <v>0</v>
      </c>
      <c r="AV107" s="114">
        <v>0</v>
      </c>
      <c r="AW107" s="114">
        <v>20973963</v>
      </c>
      <c r="AX107" s="114">
        <v>1032679</v>
      </c>
      <c r="AY107" s="114">
        <v>284650</v>
      </c>
      <c r="BD107" s="82">
        <v>18682833.5</v>
      </c>
      <c r="BE107" s="82">
        <v>9341417</v>
      </c>
      <c r="BF107" s="117">
        <v>0</v>
      </c>
      <c r="BG107" s="118">
        <v>5594471</v>
      </c>
      <c r="BH107" s="118">
        <v>10758598</v>
      </c>
      <c r="BI107" s="117">
        <v>75140308</v>
      </c>
      <c r="BJ107" s="117">
        <v>74198850</v>
      </c>
      <c r="BK107" s="117">
        <v>131350382.75</v>
      </c>
      <c r="BL107" s="117">
        <v>126290476.75</v>
      </c>
      <c r="BM107" s="117">
        <v>38051102</v>
      </c>
      <c r="BN107" s="117">
        <v>0</v>
      </c>
      <c r="BO107" s="119"/>
      <c r="BP107" s="86">
        <f t="shared" si="15"/>
        <v>4006229810.75</v>
      </c>
      <c r="BQ107" s="86">
        <f t="shared" si="16"/>
        <v>3391983233</v>
      </c>
      <c r="BR107" s="87">
        <v>2340564</v>
      </c>
      <c r="BT107" s="86">
        <f t="shared" si="18"/>
        <v>3072065341</v>
      </c>
      <c r="BU107" s="82">
        <f t="shared" si="19"/>
        <v>354226557</v>
      </c>
      <c r="BV107" s="82">
        <f t="shared" si="20"/>
        <v>6543704</v>
      </c>
      <c r="BW107" s="86">
        <f t="shared" si="21"/>
        <v>353987125</v>
      </c>
      <c r="BX107" s="86">
        <f t="shared" si="17"/>
        <v>3786822727</v>
      </c>
    </row>
    <row r="108" spans="1:76" x14ac:dyDescent="0.25">
      <c r="A108" s="91" t="s">
        <v>162</v>
      </c>
      <c r="B108" s="114">
        <v>598360025</v>
      </c>
      <c r="C108" s="114">
        <v>213187650</v>
      </c>
      <c r="D108" s="114">
        <v>320709290</v>
      </c>
      <c r="E108" s="114">
        <v>6664248</v>
      </c>
      <c r="F108" s="114">
        <v>50557600</v>
      </c>
      <c r="G108" s="114">
        <v>5112800</v>
      </c>
      <c r="H108" s="114">
        <v>7857400</v>
      </c>
      <c r="I108" s="114">
        <v>338400</v>
      </c>
      <c r="J108" s="114">
        <v>112800</v>
      </c>
      <c r="K108" s="114">
        <v>0</v>
      </c>
      <c r="L108" s="114">
        <v>559819455</v>
      </c>
      <c r="M108" s="114">
        <v>97010800</v>
      </c>
      <c r="N108" s="114">
        <v>1583</v>
      </c>
      <c r="O108" s="114">
        <v>151</v>
      </c>
      <c r="P108" s="114">
        <v>12249403</v>
      </c>
      <c r="Q108" s="114">
        <v>1436600</v>
      </c>
      <c r="R108" s="114">
        <v>6825804</v>
      </c>
      <c r="S108" s="114">
        <v>3504407</v>
      </c>
      <c r="T108" s="114">
        <v>1091300</v>
      </c>
      <c r="U108" s="114">
        <v>10437508</v>
      </c>
      <c r="V108" s="114">
        <v>12249403</v>
      </c>
      <c r="W108" s="114">
        <v>1791950</v>
      </c>
      <c r="X108" s="114">
        <v>6825804</v>
      </c>
      <c r="Y108" s="114">
        <v>3504407</v>
      </c>
      <c r="Z108" s="114">
        <v>1398961</v>
      </c>
      <c r="AA108" s="114">
        <v>10437508</v>
      </c>
      <c r="AB108" s="114">
        <v>-2794000</v>
      </c>
      <c r="AC108" s="114">
        <v>-4649738</v>
      </c>
      <c r="AD108" s="114">
        <v>0</v>
      </c>
      <c r="AE108" s="114">
        <v>0</v>
      </c>
      <c r="AF108" s="114">
        <v>0</v>
      </c>
      <c r="AG108" s="114">
        <v>0</v>
      </c>
      <c r="AH108" s="114">
        <v>34065.573770491806</v>
      </c>
      <c r="AI108" s="114">
        <v>175639.34426229508</v>
      </c>
      <c r="AJ108" s="121">
        <v>0</v>
      </c>
      <c r="AK108" s="82">
        <v>123876904</v>
      </c>
      <c r="AL108" s="83">
        <v>2575200</v>
      </c>
      <c r="AM108" s="114">
        <v>0</v>
      </c>
      <c r="AN108" s="114">
        <v>67334160</v>
      </c>
      <c r="AO108" s="114">
        <v>9199886</v>
      </c>
      <c r="AP108" s="114">
        <v>234060275</v>
      </c>
      <c r="AQ108" s="114">
        <v>57897894</v>
      </c>
      <c r="AR108" s="114">
        <v>78689592</v>
      </c>
      <c r="AS108" s="114">
        <v>53781881</v>
      </c>
      <c r="AT108" s="114">
        <v>24386444</v>
      </c>
      <c r="AU108" s="114">
        <v>0</v>
      </c>
      <c r="AV108" s="114">
        <v>4374144</v>
      </c>
      <c r="AW108" s="114">
        <v>5885815</v>
      </c>
      <c r="AX108" s="114">
        <v>521901</v>
      </c>
      <c r="AY108" s="114">
        <v>87000</v>
      </c>
      <c r="BD108" s="82">
        <v>6533591.3600000003</v>
      </c>
      <c r="BE108" s="82">
        <v>3266796</v>
      </c>
      <c r="BF108" s="117">
        <v>0</v>
      </c>
      <c r="BG108" s="118">
        <v>1082849</v>
      </c>
      <c r="BH108" s="118">
        <v>2082402</v>
      </c>
      <c r="BI108" s="117">
        <v>17429026</v>
      </c>
      <c r="BJ108" s="117">
        <v>17429026</v>
      </c>
      <c r="BK108" s="117">
        <v>25330451.75</v>
      </c>
      <c r="BL108" s="117">
        <v>22872046.75</v>
      </c>
      <c r="BM108" s="117">
        <v>7676</v>
      </c>
      <c r="BN108" s="117">
        <v>7500156</v>
      </c>
      <c r="BO108" s="119"/>
      <c r="BP108" s="86">
        <f t="shared" si="15"/>
        <v>1445509263.6680329</v>
      </c>
      <c r="BQ108" s="86">
        <f t="shared" si="16"/>
        <v>1266898609.9180329</v>
      </c>
      <c r="BR108" s="87">
        <v>1753478</v>
      </c>
      <c r="BT108" s="86">
        <f t="shared" si="18"/>
        <v>1132256965</v>
      </c>
      <c r="BU108" s="82">
        <f t="shared" si="19"/>
        <v>123876904</v>
      </c>
      <c r="BV108" s="82">
        <f t="shared" si="20"/>
        <v>2575200</v>
      </c>
      <c r="BW108" s="86">
        <f t="shared" si="21"/>
        <v>188213821</v>
      </c>
      <c r="BX108" s="86">
        <f t="shared" si="17"/>
        <v>1446922890</v>
      </c>
    </row>
    <row r="109" spans="1:76" x14ac:dyDescent="0.25">
      <c r="A109" s="91" t="s">
        <v>163</v>
      </c>
      <c r="B109" s="114">
        <v>866610001</v>
      </c>
      <c r="C109" s="114">
        <v>177428387</v>
      </c>
      <c r="D109" s="114">
        <v>50857073</v>
      </c>
      <c r="E109" s="114">
        <v>0</v>
      </c>
      <c r="F109" s="114">
        <v>40305625</v>
      </c>
      <c r="G109" s="114">
        <v>6497250</v>
      </c>
      <c r="H109" s="114">
        <v>11568550</v>
      </c>
      <c r="I109" s="114">
        <v>1218800</v>
      </c>
      <c r="J109" s="114">
        <v>62600</v>
      </c>
      <c r="K109" s="114">
        <v>0</v>
      </c>
      <c r="L109" s="114">
        <v>280742866</v>
      </c>
      <c r="M109" s="114">
        <v>134258271</v>
      </c>
      <c r="N109" s="114">
        <v>1402</v>
      </c>
      <c r="O109" s="114">
        <v>218</v>
      </c>
      <c r="P109" s="114">
        <v>21092866</v>
      </c>
      <c r="Q109" s="114">
        <v>3961185</v>
      </c>
      <c r="R109" s="114">
        <v>0</v>
      </c>
      <c r="S109" s="114">
        <v>6531126</v>
      </c>
      <c r="T109" s="114">
        <v>787149</v>
      </c>
      <c r="U109" s="114">
        <v>3203515</v>
      </c>
      <c r="V109" s="114">
        <v>21092866</v>
      </c>
      <c r="W109" s="114">
        <v>4332127</v>
      </c>
      <c r="X109" s="114">
        <v>0</v>
      </c>
      <c r="Y109" s="114">
        <v>6531126</v>
      </c>
      <c r="Z109" s="114">
        <v>1944239</v>
      </c>
      <c r="AA109" s="114">
        <v>3203515</v>
      </c>
      <c r="AB109" s="114">
        <v>-2668050</v>
      </c>
      <c r="AC109" s="114">
        <v>16190</v>
      </c>
      <c r="AD109" s="114">
        <v>5188</v>
      </c>
      <c r="AE109" s="114">
        <v>0</v>
      </c>
      <c r="AF109" s="114">
        <v>272566330</v>
      </c>
      <c r="AG109" s="114">
        <v>134959</v>
      </c>
      <c r="AH109" s="114">
        <v>0</v>
      </c>
      <c r="AI109" s="114">
        <v>0</v>
      </c>
      <c r="AJ109" s="121">
        <v>0</v>
      </c>
      <c r="AK109" s="82">
        <v>149946554</v>
      </c>
      <c r="AL109" s="83">
        <v>7387066</v>
      </c>
      <c r="AM109" s="114">
        <v>606050</v>
      </c>
      <c r="AN109" s="114">
        <v>6831204</v>
      </c>
      <c r="AO109" s="114">
        <v>252138</v>
      </c>
      <c r="AP109" s="114">
        <v>212128</v>
      </c>
      <c r="AQ109" s="114">
        <v>2472314</v>
      </c>
      <c r="AR109" s="114">
        <v>327264</v>
      </c>
      <c r="AS109" s="114">
        <v>0</v>
      </c>
      <c r="AT109" s="114">
        <v>905369</v>
      </c>
      <c r="AU109" s="114">
        <v>0</v>
      </c>
      <c r="AV109" s="114">
        <v>0</v>
      </c>
      <c r="AW109" s="114">
        <v>0</v>
      </c>
      <c r="AX109" s="114">
        <v>5675</v>
      </c>
      <c r="AY109" s="114">
        <v>224200</v>
      </c>
      <c r="BD109" s="82">
        <v>7908572.7699999996</v>
      </c>
      <c r="BE109" s="82">
        <v>3954286</v>
      </c>
      <c r="BF109" s="117">
        <v>0</v>
      </c>
      <c r="BG109" s="118">
        <v>0</v>
      </c>
      <c r="BH109" s="118">
        <v>0</v>
      </c>
      <c r="BI109" s="117">
        <v>3526034</v>
      </c>
      <c r="BJ109" s="117">
        <v>3526034</v>
      </c>
      <c r="BK109" s="117">
        <v>20494507.5</v>
      </c>
      <c r="BL109" s="117">
        <v>20474266.5</v>
      </c>
      <c r="BM109" s="117">
        <v>0</v>
      </c>
      <c r="BN109" s="117">
        <v>0</v>
      </c>
      <c r="BO109" s="119"/>
      <c r="BP109" s="86">
        <f t="shared" si="15"/>
        <v>1289739323.5</v>
      </c>
      <c r="BQ109" s="86">
        <f t="shared" si="16"/>
        <v>1104451117</v>
      </c>
      <c r="BR109" s="87">
        <v>211279</v>
      </c>
      <c r="BT109" s="86">
        <f t="shared" si="18"/>
        <v>1094895461</v>
      </c>
      <c r="BU109" s="82">
        <f t="shared" si="19"/>
        <v>149946554</v>
      </c>
      <c r="BV109" s="82">
        <f t="shared" si="20"/>
        <v>7387066</v>
      </c>
      <c r="BW109" s="86">
        <f t="shared" si="21"/>
        <v>9555656</v>
      </c>
      <c r="BX109" s="86">
        <f t="shared" si="17"/>
        <v>1261784737</v>
      </c>
    </row>
    <row r="110" spans="1:76" x14ac:dyDescent="0.25">
      <c r="A110" s="91" t="s">
        <v>164</v>
      </c>
      <c r="B110" s="114">
        <v>603898000</v>
      </c>
      <c r="C110" s="114">
        <v>134194533</v>
      </c>
      <c r="D110" s="114">
        <v>278373455</v>
      </c>
      <c r="E110" s="114">
        <v>0</v>
      </c>
      <c r="F110" s="114">
        <v>75281958</v>
      </c>
      <c r="G110" s="114">
        <v>16935521</v>
      </c>
      <c r="H110" s="114">
        <v>14978905</v>
      </c>
      <c r="I110" s="114">
        <v>1721451</v>
      </c>
      <c r="J110" s="114">
        <v>164800</v>
      </c>
      <c r="K110" s="114">
        <v>37600</v>
      </c>
      <c r="L110" s="114">
        <v>274012254</v>
      </c>
      <c r="M110" s="114">
        <v>96124478</v>
      </c>
      <c r="N110" s="114">
        <v>2496</v>
      </c>
      <c r="O110" s="114">
        <v>556</v>
      </c>
      <c r="P110" s="114">
        <v>6970330</v>
      </c>
      <c r="Q110" s="114">
        <v>2293901</v>
      </c>
      <c r="R110" s="114">
        <v>3100883</v>
      </c>
      <c r="S110" s="114">
        <v>2218059</v>
      </c>
      <c r="T110" s="114">
        <v>289267</v>
      </c>
      <c r="U110" s="114">
        <v>1807460</v>
      </c>
      <c r="V110" s="114">
        <v>6970330</v>
      </c>
      <c r="W110" s="114">
        <v>2315962</v>
      </c>
      <c r="X110" s="114">
        <v>3100883</v>
      </c>
      <c r="Y110" s="114">
        <v>2218059</v>
      </c>
      <c r="Z110" s="114">
        <v>353806</v>
      </c>
      <c r="AA110" s="114">
        <v>1807460</v>
      </c>
      <c r="AB110" s="114">
        <v>-3726715</v>
      </c>
      <c r="AC110" s="114">
        <v>439960</v>
      </c>
      <c r="AD110" s="114">
        <v>0</v>
      </c>
      <c r="AE110" s="114">
        <v>0</v>
      </c>
      <c r="AF110" s="114">
        <v>0</v>
      </c>
      <c r="AG110" s="114">
        <v>0</v>
      </c>
      <c r="AH110" s="114">
        <v>0</v>
      </c>
      <c r="AI110" s="114">
        <v>0</v>
      </c>
      <c r="AJ110" s="121">
        <v>0</v>
      </c>
      <c r="AK110" s="82">
        <v>157152291</v>
      </c>
      <c r="AL110" s="83">
        <v>6937712</v>
      </c>
      <c r="AM110" s="114">
        <v>7557145</v>
      </c>
      <c r="AN110" s="114">
        <v>77391199</v>
      </c>
      <c r="AO110" s="114">
        <v>1535966</v>
      </c>
      <c r="AP110" s="114">
        <v>37452568</v>
      </c>
      <c r="AQ110" s="114">
        <v>43378027</v>
      </c>
      <c r="AR110" s="114">
        <v>36069470</v>
      </c>
      <c r="AS110" s="114">
        <v>82040964</v>
      </c>
      <c r="AT110" s="114">
        <v>554834</v>
      </c>
      <c r="AU110" s="114">
        <v>0</v>
      </c>
      <c r="AV110" s="114">
        <v>0</v>
      </c>
      <c r="AW110" s="114">
        <v>24331</v>
      </c>
      <c r="AX110" s="114">
        <v>176586</v>
      </c>
      <c r="AY110" s="114">
        <v>37000</v>
      </c>
      <c r="BD110" s="82">
        <v>8288622.1500000004</v>
      </c>
      <c r="BE110" s="82">
        <v>4144311</v>
      </c>
      <c r="BF110" s="117">
        <v>0</v>
      </c>
      <c r="BG110" s="118">
        <v>0</v>
      </c>
      <c r="BH110" s="118">
        <v>0</v>
      </c>
      <c r="BI110" s="117">
        <v>23603694</v>
      </c>
      <c r="BJ110" s="117">
        <v>23603694</v>
      </c>
      <c r="BK110" s="117">
        <v>95829413.75</v>
      </c>
      <c r="BL110" s="117">
        <v>93909888.75</v>
      </c>
      <c r="BM110" s="117">
        <v>0</v>
      </c>
      <c r="BN110" s="117">
        <v>0</v>
      </c>
      <c r="BO110" s="119"/>
      <c r="BP110" s="86">
        <f t="shared" si="15"/>
        <v>1424519076.75</v>
      </c>
      <c r="BQ110" s="86">
        <f t="shared" si="16"/>
        <v>1138771180</v>
      </c>
      <c r="BR110" s="87">
        <v>1441000</v>
      </c>
      <c r="BT110" s="86">
        <f t="shared" si="18"/>
        <v>1016465988</v>
      </c>
      <c r="BU110" s="82">
        <f t="shared" si="19"/>
        <v>157152291</v>
      </c>
      <c r="BV110" s="82">
        <f t="shared" si="20"/>
        <v>6937712</v>
      </c>
      <c r="BW110" s="86">
        <f t="shared" si="21"/>
        <v>204346156</v>
      </c>
      <c r="BX110" s="86">
        <f t="shared" si="17"/>
        <v>1384902147</v>
      </c>
    </row>
    <row r="111" spans="1:76" x14ac:dyDescent="0.25">
      <c r="A111" s="91" t="s">
        <v>165</v>
      </c>
      <c r="B111" s="114">
        <v>222484730</v>
      </c>
      <c r="C111" s="114">
        <v>164787227</v>
      </c>
      <c r="D111" s="114">
        <v>69556622</v>
      </c>
      <c r="E111" s="114">
        <v>0</v>
      </c>
      <c r="F111" s="114">
        <v>30489501</v>
      </c>
      <c r="G111" s="114">
        <v>4237469</v>
      </c>
      <c r="H111" s="114">
        <v>8764746</v>
      </c>
      <c r="I111" s="114">
        <v>293641</v>
      </c>
      <c r="J111" s="114">
        <v>0</v>
      </c>
      <c r="K111" s="114">
        <v>0</v>
      </c>
      <c r="L111" s="114">
        <v>571807741</v>
      </c>
      <c r="M111" s="114">
        <v>63068631</v>
      </c>
      <c r="N111" s="114">
        <v>1114</v>
      </c>
      <c r="O111" s="114">
        <v>143</v>
      </c>
      <c r="P111" s="114">
        <v>2381880</v>
      </c>
      <c r="Q111" s="114">
        <v>1658895</v>
      </c>
      <c r="R111" s="114">
        <v>798500</v>
      </c>
      <c r="S111" s="114">
        <v>1714667</v>
      </c>
      <c r="T111" s="114">
        <v>81390</v>
      </c>
      <c r="U111" s="114">
        <v>689000</v>
      </c>
      <c r="V111" s="114">
        <v>2381880</v>
      </c>
      <c r="W111" s="114">
        <v>2108509</v>
      </c>
      <c r="X111" s="114">
        <v>798500</v>
      </c>
      <c r="Y111" s="114">
        <v>1714667</v>
      </c>
      <c r="Z111" s="114">
        <v>370114</v>
      </c>
      <c r="AA111" s="114">
        <v>689000</v>
      </c>
      <c r="AB111" s="114">
        <v>-551905</v>
      </c>
      <c r="AC111" s="114">
        <v>0</v>
      </c>
      <c r="AD111" s="114">
        <v>70023</v>
      </c>
      <c r="AE111" s="114">
        <v>96000</v>
      </c>
      <c r="AF111" s="114">
        <v>94620239</v>
      </c>
      <c r="AG111" s="114">
        <v>226729</v>
      </c>
      <c r="AH111" s="114">
        <v>58188.524590163935</v>
      </c>
      <c r="AI111" s="114">
        <v>363663.93442622956</v>
      </c>
      <c r="AJ111" s="121">
        <v>0</v>
      </c>
      <c r="AK111" s="82">
        <v>75285042</v>
      </c>
      <c r="AL111" s="83">
        <v>1251901</v>
      </c>
      <c r="AM111" s="114">
        <v>0</v>
      </c>
      <c r="AN111" s="114">
        <v>15554062</v>
      </c>
      <c r="AO111" s="114">
        <v>2139662</v>
      </c>
      <c r="AP111" s="114">
        <v>14621234</v>
      </c>
      <c r="AQ111" s="114">
        <v>17777734</v>
      </c>
      <c r="AR111" s="114">
        <v>12832056</v>
      </c>
      <c r="AS111" s="114">
        <v>43479</v>
      </c>
      <c r="AT111" s="114">
        <v>6502465</v>
      </c>
      <c r="AU111" s="114">
        <v>0</v>
      </c>
      <c r="AV111" s="114">
        <v>9300858</v>
      </c>
      <c r="AW111" s="114">
        <v>9099151</v>
      </c>
      <c r="AX111" s="114">
        <v>6380</v>
      </c>
      <c r="AY111" s="114">
        <v>166500</v>
      </c>
      <c r="BD111" s="82">
        <v>3970729.68</v>
      </c>
      <c r="BE111" s="82">
        <v>1985365</v>
      </c>
      <c r="BF111" s="117">
        <v>0</v>
      </c>
      <c r="BG111" s="118">
        <v>1662413</v>
      </c>
      <c r="BH111" s="118">
        <v>3196947</v>
      </c>
      <c r="BI111" s="117">
        <v>12044226</v>
      </c>
      <c r="BJ111" s="117">
        <v>12044226</v>
      </c>
      <c r="BK111" s="117">
        <v>70609608.25</v>
      </c>
      <c r="BL111" s="117">
        <v>49533656.25</v>
      </c>
      <c r="BM111" s="117">
        <v>0</v>
      </c>
      <c r="BN111" s="117">
        <v>0</v>
      </c>
      <c r="BO111" s="119"/>
      <c r="BP111" s="86">
        <f t="shared" si="15"/>
        <v>634484492.70901632</v>
      </c>
      <c r="BQ111" s="86">
        <f t="shared" si="16"/>
        <v>492721889.45901638</v>
      </c>
      <c r="BR111" s="87">
        <v>915372</v>
      </c>
      <c r="BT111" s="86">
        <f t="shared" si="18"/>
        <v>456828579</v>
      </c>
      <c r="BU111" s="82">
        <f t="shared" si="19"/>
        <v>75285042</v>
      </c>
      <c r="BV111" s="82">
        <f t="shared" si="20"/>
        <v>1251901</v>
      </c>
      <c r="BW111" s="86">
        <f t="shared" si="21"/>
        <v>35514937</v>
      </c>
      <c r="BX111" s="86">
        <f t="shared" si="17"/>
        <v>568880459</v>
      </c>
    </row>
    <row r="112" spans="1:76" x14ac:dyDescent="0.25">
      <c r="A112" s="91" t="s">
        <v>166</v>
      </c>
      <c r="B112" s="114">
        <v>643618855</v>
      </c>
      <c r="C112" s="114">
        <v>101049744</v>
      </c>
      <c r="D112" s="114">
        <v>83483701</v>
      </c>
      <c r="E112" s="114">
        <v>0</v>
      </c>
      <c r="F112" s="114">
        <v>53296935</v>
      </c>
      <c r="G112" s="114">
        <v>8198200</v>
      </c>
      <c r="H112" s="114">
        <v>5677733</v>
      </c>
      <c r="I112" s="114">
        <v>791376</v>
      </c>
      <c r="J112" s="114">
        <v>188000</v>
      </c>
      <c r="K112" s="114">
        <v>37600</v>
      </c>
      <c r="L112" s="114">
        <v>658170503</v>
      </c>
      <c r="M112" s="114">
        <v>58829357</v>
      </c>
      <c r="N112" s="114">
        <v>1678</v>
      </c>
      <c r="O112" s="114">
        <v>275</v>
      </c>
      <c r="P112" s="114">
        <v>16793167</v>
      </c>
      <c r="Q112" s="114">
        <v>3565217</v>
      </c>
      <c r="R112" s="114">
        <v>4307177</v>
      </c>
      <c r="S112" s="114">
        <v>2042509</v>
      </c>
      <c r="T112" s="114">
        <v>1417100</v>
      </c>
      <c r="U112" s="114">
        <v>3973846</v>
      </c>
      <c r="V112" s="114">
        <v>16793167</v>
      </c>
      <c r="W112" s="114">
        <v>6209546</v>
      </c>
      <c r="X112" s="114">
        <v>4307177</v>
      </c>
      <c r="Y112" s="114">
        <v>2042509</v>
      </c>
      <c r="Z112" s="114">
        <v>10768327</v>
      </c>
      <c r="AA112" s="114">
        <v>3973846</v>
      </c>
      <c r="AB112" s="114">
        <v>-3892367</v>
      </c>
      <c r="AC112" s="114">
        <v>-11581</v>
      </c>
      <c r="AD112" s="114">
        <v>67239</v>
      </c>
      <c r="AE112" s="114">
        <v>0</v>
      </c>
      <c r="AF112" s="114">
        <v>0</v>
      </c>
      <c r="AG112" s="114">
        <v>0</v>
      </c>
      <c r="AH112" s="114">
        <v>0</v>
      </c>
      <c r="AI112" s="114">
        <v>150008.19672131148</v>
      </c>
      <c r="AJ112" s="121">
        <v>0</v>
      </c>
      <c r="AK112" s="82">
        <v>107017565</v>
      </c>
      <c r="AL112" s="83">
        <v>13700746</v>
      </c>
      <c r="AM112" s="114">
        <v>1756100</v>
      </c>
      <c r="AN112" s="114">
        <v>13928090</v>
      </c>
      <c r="AO112" s="114">
        <v>988792</v>
      </c>
      <c r="AP112" s="114">
        <v>19791253</v>
      </c>
      <c r="AQ112" s="114">
        <v>12033982</v>
      </c>
      <c r="AR112" s="114">
        <v>10745913</v>
      </c>
      <c r="AS112" s="114">
        <v>0</v>
      </c>
      <c r="AT112" s="114">
        <v>3193703</v>
      </c>
      <c r="AU112" s="114">
        <v>0</v>
      </c>
      <c r="AV112" s="114">
        <v>191901</v>
      </c>
      <c r="AW112" s="114">
        <v>151963379</v>
      </c>
      <c r="AX112" s="114">
        <v>9738</v>
      </c>
      <c r="AY112" s="114">
        <v>18000</v>
      </c>
      <c r="BD112" s="82">
        <v>5644385.7999999998</v>
      </c>
      <c r="BE112" s="82">
        <v>2822193</v>
      </c>
      <c r="BF112" s="117">
        <v>26727979</v>
      </c>
      <c r="BG112" s="118">
        <v>0</v>
      </c>
      <c r="BH112" s="118">
        <v>0</v>
      </c>
      <c r="BI112" s="117">
        <v>3926008</v>
      </c>
      <c r="BJ112" s="117">
        <v>3926008</v>
      </c>
      <c r="BK112" s="117">
        <v>28347778.5</v>
      </c>
      <c r="BL112" s="117">
        <v>27676315.5</v>
      </c>
      <c r="BM112" s="117">
        <v>0</v>
      </c>
      <c r="BN112" s="117">
        <v>0</v>
      </c>
      <c r="BO112" s="119"/>
      <c r="BP112" s="86">
        <f t="shared" si="15"/>
        <v>1010395999.6967213</v>
      </c>
      <c r="BQ112" s="86">
        <f t="shared" si="16"/>
        <v>855253172.19672132</v>
      </c>
      <c r="BR112" s="87">
        <v>707313</v>
      </c>
      <c r="BT112" s="86">
        <f t="shared" si="18"/>
        <v>828152300</v>
      </c>
      <c r="BU112" s="82">
        <f t="shared" si="19"/>
        <v>107017565</v>
      </c>
      <c r="BV112" s="82">
        <f t="shared" si="20"/>
        <v>13700746</v>
      </c>
      <c r="BW112" s="86">
        <f t="shared" si="21"/>
        <v>26950864</v>
      </c>
      <c r="BX112" s="86">
        <f t="shared" si="17"/>
        <v>975821475</v>
      </c>
    </row>
    <row r="113" spans="1:76" x14ac:dyDescent="0.25">
      <c r="A113" s="91" t="s">
        <v>167</v>
      </c>
      <c r="B113" s="114">
        <v>204318600</v>
      </c>
      <c r="C113" s="114">
        <v>86956600</v>
      </c>
      <c r="D113" s="114">
        <v>20995000</v>
      </c>
      <c r="E113" s="114">
        <v>0</v>
      </c>
      <c r="F113" s="114">
        <v>21918200</v>
      </c>
      <c r="G113" s="114">
        <v>4078050</v>
      </c>
      <c r="H113" s="114">
        <v>7925300</v>
      </c>
      <c r="I113" s="114">
        <v>648700</v>
      </c>
      <c r="J113" s="114">
        <v>37600</v>
      </c>
      <c r="K113" s="114">
        <v>0</v>
      </c>
      <c r="L113" s="114">
        <v>156984800</v>
      </c>
      <c r="M113" s="114">
        <v>65510300</v>
      </c>
      <c r="N113" s="114">
        <v>836</v>
      </c>
      <c r="O113" s="114">
        <v>143</v>
      </c>
      <c r="P113" s="114">
        <v>3109300</v>
      </c>
      <c r="Q113" s="114">
        <v>1448500</v>
      </c>
      <c r="R113" s="114">
        <v>740600</v>
      </c>
      <c r="S113" s="114">
        <v>2105950</v>
      </c>
      <c r="T113" s="114">
        <v>1696500</v>
      </c>
      <c r="U113" s="114">
        <v>24900</v>
      </c>
      <c r="V113" s="114">
        <v>3109300</v>
      </c>
      <c r="W113" s="114">
        <v>1521400</v>
      </c>
      <c r="X113" s="114">
        <v>740600</v>
      </c>
      <c r="Y113" s="114">
        <v>2105950</v>
      </c>
      <c r="Z113" s="114">
        <v>2866900</v>
      </c>
      <c r="AA113" s="114">
        <v>24900</v>
      </c>
      <c r="AB113" s="114">
        <v>-1233200</v>
      </c>
      <c r="AC113" s="114">
        <v>-7645</v>
      </c>
      <c r="AD113" s="114">
        <v>50394</v>
      </c>
      <c r="AE113" s="114">
        <v>8964</v>
      </c>
      <c r="AF113" s="114">
        <v>45072700</v>
      </c>
      <c r="AG113" s="114">
        <v>85947</v>
      </c>
      <c r="AH113" s="114">
        <v>0</v>
      </c>
      <c r="AI113" s="114">
        <v>0</v>
      </c>
      <c r="AJ113" s="121">
        <v>0</v>
      </c>
      <c r="AK113" s="82">
        <v>60125555</v>
      </c>
      <c r="AL113" s="83">
        <v>1522343</v>
      </c>
      <c r="AM113" s="114">
        <v>0</v>
      </c>
      <c r="AN113" s="114">
        <v>6669390</v>
      </c>
      <c r="AO113" s="114">
        <v>75373</v>
      </c>
      <c r="AP113" s="114">
        <v>1008734</v>
      </c>
      <c r="AQ113" s="114">
        <v>1328573</v>
      </c>
      <c r="AR113" s="114">
        <v>314325</v>
      </c>
      <c r="AS113" s="114">
        <v>0</v>
      </c>
      <c r="AT113" s="114">
        <v>171731</v>
      </c>
      <c r="AU113" s="114">
        <v>0</v>
      </c>
      <c r="AV113" s="114">
        <v>0</v>
      </c>
      <c r="AW113" s="114">
        <v>0</v>
      </c>
      <c r="AX113" s="114">
        <v>0</v>
      </c>
      <c r="AY113" s="114">
        <v>0</v>
      </c>
      <c r="BD113" s="82">
        <v>3171178.76</v>
      </c>
      <c r="BE113" s="82">
        <v>1585589</v>
      </c>
      <c r="BF113" s="117">
        <v>20673575</v>
      </c>
      <c r="BG113" s="118">
        <v>0</v>
      </c>
      <c r="BH113" s="118">
        <v>0</v>
      </c>
      <c r="BI113" s="117">
        <v>140535960</v>
      </c>
      <c r="BJ113" s="117">
        <v>140535960</v>
      </c>
      <c r="BK113" s="117">
        <v>58364799.25</v>
      </c>
      <c r="BL113" s="117">
        <v>57492393.25</v>
      </c>
      <c r="BM113" s="117">
        <v>0</v>
      </c>
      <c r="BN113" s="117">
        <v>0</v>
      </c>
      <c r="BO113" s="119"/>
      <c r="BP113" s="86">
        <f t="shared" si="15"/>
        <v>581605376.25</v>
      </c>
      <c r="BQ113" s="86">
        <f t="shared" si="16"/>
        <v>320343536</v>
      </c>
      <c r="BR113" s="87">
        <v>689300</v>
      </c>
      <c r="BT113" s="86">
        <f t="shared" si="18"/>
        <v>312270200</v>
      </c>
      <c r="BU113" s="82">
        <f t="shared" si="19"/>
        <v>60125555</v>
      </c>
      <c r="BV113" s="82">
        <f t="shared" si="20"/>
        <v>1522343</v>
      </c>
      <c r="BW113" s="86">
        <f t="shared" si="21"/>
        <v>8073336</v>
      </c>
      <c r="BX113" s="86">
        <f t="shared" si="17"/>
        <v>381991434</v>
      </c>
    </row>
    <row r="114" spans="1:76" x14ac:dyDescent="0.25">
      <c r="A114" s="91" t="s">
        <v>168</v>
      </c>
      <c r="B114" s="114">
        <v>284961860</v>
      </c>
      <c r="C114" s="114">
        <v>156704084</v>
      </c>
      <c r="D114" s="114">
        <v>105438298</v>
      </c>
      <c r="E114" s="114">
        <v>1310000</v>
      </c>
      <c r="F114" s="114">
        <v>40718501</v>
      </c>
      <c r="G114" s="114">
        <v>7359665</v>
      </c>
      <c r="H114" s="114">
        <v>5925540</v>
      </c>
      <c r="I114" s="114">
        <v>406510</v>
      </c>
      <c r="J114" s="114">
        <v>75200</v>
      </c>
      <c r="K114" s="114">
        <v>37600</v>
      </c>
      <c r="L114" s="114">
        <v>635191264</v>
      </c>
      <c r="M114" s="114">
        <v>51110768</v>
      </c>
      <c r="N114" s="114">
        <v>1315</v>
      </c>
      <c r="O114" s="114">
        <v>233</v>
      </c>
      <c r="P114" s="114">
        <v>1433320</v>
      </c>
      <c r="Q114" s="114">
        <v>1088294</v>
      </c>
      <c r="R114" s="114">
        <v>879925</v>
      </c>
      <c r="S114" s="114">
        <v>771555</v>
      </c>
      <c r="T114" s="114">
        <v>0</v>
      </c>
      <c r="U114" s="114">
        <v>3545650</v>
      </c>
      <c r="V114" s="114">
        <v>1433320</v>
      </c>
      <c r="W114" s="114">
        <v>1088294</v>
      </c>
      <c r="X114" s="114">
        <v>879925</v>
      </c>
      <c r="Y114" s="114">
        <v>771555</v>
      </c>
      <c r="Z114" s="114">
        <v>0</v>
      </c>
      <c r="AA114" s="114">
        <v>3545650</v>
      </c>
      <c r="AB114" s="114">
        <v>-331979</v>
      </c>
      <c r="AC114" s="114">
        <v>-42324</v>
      </c>
      <c r="AD114" s="114">
        <v>7984</v>
      </c>
      <c r="AE114" s="114">
        <v>13264</v>
      </c>
      <c r="AF114" s="114">
        <v>41200324</v>
      </c>
      <c r="AG114" s="114">
        <v>193849</v>
      </c>
      <c r="AH114" s="114">
        <v>15783631.147540983</v>
      </c>
      <c r="AI114" s="114">
        <v>0</v>
      </c>
      <c r="AJ114" s="121">
        <v>55371718.030000001</v>
      </c>
      <c r="AK114" s="82">
        <v>116274706</v>
      </c>
      <c r="AL114" s="83">
        <v>4582356</v>
      </c>
      <c r="AM114" s="114">
        <v>85500</v>
      </c>
      <c r="AN114" s="114">
        <v>115161722</v>
      </c>
      <c r="AO114" s="114">
        <v>8071201</v>
      </c>
      <c r="AP114" s="114">
        <v>89106216</v>
      </c>
      <c r="AQ114" s="114">
        <v>38851428</v>
      </c>
      <c r="AR114" s="114">
        <v>12066465</v>
      </c>
      <c r="AS114" s="114">
        <v>32348021</v>
      </c>
      <c r="AT114" s="114">
        <f>7748070+1300</f>
        <v>7749370</v>
      </c>
      <c r="AU114" s="114">
        <v>0</v>
      </c>
      <c r="AV114" s="114">
        <v>51155</v>
      </c>
      <c r="AW114" s="114">
        <v>13077189</v>
      </c>
      <c r="AX114" s="114">
        <v>820137</v>
      </c>
      <c r="AY114" s="114">
        <v>1252919</v>
      </c>
      <c r="BD114" s="82">
        <v>6132631.5899999999</v>
      </c>
      <c r="BE114" s="82">
        <v>3066316</v>
      </c>
      <c r="BF114" s="117">
        <v>41051813</v>
      </c>
      <c r="BG114" s="118">
        <v>0</v>
      </c>
      <c r="BH114" s="118">
        <v>0</v>
      </c>
      <c r="BI114" s="117">
        <v>5713480</v>
      </c>
      <c r="BJ114" s="117">
        <v>5713480</v>
      </c>
      <c r="BK114" s="117">
        <v>31821880.5</v>
      </c>
      <c r="BL114" s="117">
        <v>31800133.5</v>
      </c>
      <c r="BM114" s="117">
        <v>0</v>
      </c>
      <c r="BN114" s="117">
        <v>0</v>
      </c>
      <c r="BO114" s="119"/>
      <c r="BP114" s="86">
        <f t="shared" si="15"/>
        <v>941780933.6775409</v>
      </c>
      <c r="BQ114" s="86">
        <f t="shared" si="16"/>
        <v>780343942.1775409</v>
      </c>
      <c r="BR114" s="87">
        <v>961043</v>
      </c>
      <c r="BT114" s="86">
        <f t="shared" si="18"/>
        <v>547104242</v>
      </c>
      <c r="BU114" s="82">
        <f t="shared" si="19"/>
        <v>116274706</v>
      </c>
      <c r="BV114" s="82">
        <f t="shared" si="20"/>
        <v>4582356</v>
      </c>
      <c r="BW114" s="86">
        <f t="shared" si="21"/>
        <v>194432372</v>
      </c>
      <c r="BX114" s="86">
        <f t="shared" si="17"/>
        <v>862393676</v>
      </c>
    </row>
    <row r="115" spans="1:76" x14ac:dyDescent="0.25">
      <c r="A115" s="91" t="s">
        <v>169</v>
      </c>
      <c r="B115" s="114">
        <v>4909998902</v>
      </c>
      <c r="C115" s="114">
        <v>503603700</v>
      </c>
      <c r="D115" s="114">
        <v>2841741781</v>
      </c>
      <c r="E115" s="114">
        <v>152687438</v>
      </c>
      <c r="F115" s="114">
        <v>232738750</v>
      </c>
      <c r="G115" s="114">
        <v>21443500</v>
      </c>
      <c r="H115" s="114">
        <v>28547040</v>
      </c>
      <c r="I115" s="114">
        <v>1784040</v>
      </c>
      <c r="J115" s="114">
        <v>413600</v>
      </c>
      <c r="K115" s="114">
        <v>0</v>
      </c>
      <c r="L115" s="114">
        <v>908077680</v>
      </c>
      <c r="M115" s="114">
        <v>0</v>
      </c>
      <c r="N115" s="114">
        <v>7059</v>
      </c>
      <c r="O115" s="114">
        <v>679</v>
      </c>
      <c r="P115" s="114">
        <v>127617050</v>
      </c>
      <c r="Q115" s="114">
        <v>7588120</v>
      </c>
      <c r="R115" s="114">
        <v>123646090</v>
      </c>
      <c r="S115" s="114">
        <v>2068120</v>
      </c>
      <c r="T115" s="114">
        <v>449000</v>
      </c>
      <c r="U115" s="114">
        <v>2921250</v>
      </c>
      <c r="V115" s="114">
        <v>127617050</v>
      </c>
      <c r="W115" s="114">
        <v>7588120</v>
      </c>
      <c r="X115" s="114">
        <v>123646090</v>
      </c>
      <c r="Y115" s="114">
        <v>2068120</v>
      </c>
      <c r="Z115" s="114">
        <v>449000</v>
      </c>
      <c r="AA115" s="114">
        <v>2921250</v>
      </c>
      <c r="AB115" s="114">
        <v>-13795660</v>
      </c>
      <c r="AC115" s="114">
        <v>-100607290</v>
      </c>
      <c r="AD115" s="114">
        <v>71304</v>
      </c>
      <c r="AE115" s="114">
        <v>0</v>
      </c>
      <c r="AF115" s="114">
        <v>0</v>
      </c>
      <c r="AG115" s="114">
        <v>0</v>
      </c>
      <c r="AH115" s="114">
        <v>3933122.9508196721</v>
      </c>
      <c r="AI115" s="114">
        <v>907827.86885245901</v>
      </c>
      <c r="AJ115" s="121">
        <v>0</v>
      </c>
      <c r="AK115" s="82">
        <v>810306505</v>
      </c>
      <c r="AL115" s="83">
        <v>15680516</v>
      </c>
      <c r="AM115" s="114">
        <v>0</v>
      </c>
      <c r="AN115" s="114">
        <v>426803797</v>
      </c>
      <c r="AO115" s="114">
        <v>81915927</v>
      </c>
      <c r="AP115" s="114">
        <v>1127555850</v>
      </c>
      <c r="AQ115" s="114">
        <v>306459823</v>
      </c>
      <c r="AR115" s="114">
        <v>350506108</v>
      </c>
      <c r="AS115" s="114">
        <v>257814391</v>
      </c>
      <c r="AT115" s="114">
        <v>5109574</v>
      </c>
      <c r="AU115" s="114">
        <v>0</v>
      </c>
      <c r="AV115" s="114">
        <v>71984</v>
      </c>
      <c r="AW115" s="114">
        <v>217154944</v>
      </c>
      <c r="AX115" s="114">
        <v>4519045</v>
      </c>
      <c r="AY115" s="114">
        <v>21804573</v>
      </c>
      <c r="BD115" s="82">
        <v>42737680.780000001</v>
      </c>
      <c r="BE115" s="82">
        <v>21368840</v>
      </c>
      <c r="BF115" s="117">
        <v>0</v>
      </c>
      <c r="BG115" s="118">
        <v>3458686</v>
      </c>
      <c r="BH115" s="118">
        <v>6651319</v>
      </c>
      <c r="BI115" s="117">
        <v>52942055</v>
      </c>
      <c r="BJ115" s="117">
        <v>52942055</v>
      </c>
      <c r="BK115" s="117">
        <v>146714181.25</v>
      </c>
      <c r="BL115" s="117">
        <v>138269451.25</v>
      </c>
      <c r="BM115" s="117">
        <v>388733</v>
      </c>
      <c r="BN115" s="117">
        <v>35545370</v>
      </c>
      <c r="BO115" s="119"/>
      <c r="BP115" s="86">
        <f t="shared" si="15"/>
        <v>10153325037.069672</v>
      </c>
      <c r="BQ115" s="86">
        <f t="shared" si="16"/>
        <v>9075364880.8196716</v>
      </c>
      <c r="BR115" s="87">
        <v>4732600</v>
      </c>
      <c r="BT115" s="86">
        <f t="shared" si="18"/>
        <v>8255344383</v>
      </c>
      <c r="BU115" s="82">
        <f t="shared" si="19"/>
        <v>810306505</v>
      </c>
      <c r="BV115" s="82">
        <f t="shared" si="20"/>
        <v>15680516</v>
      </c>
      <c r="BW115" s="86">
        <f t="shared" si="21"/>
        <v>1072993938</v>
      </c>
      <c r="BX115" s="86">
        <f t="shared" si="17"/>
        <v>10154325342</v>
      </c>
    </row>
    <row r="116" spans="1:76" x14ac:dyDescent="0.25">
      <c r="A116" s="91" t="s">
        <v>170</v>
      </c>
      <c r="B116" s="114">
        <v>258492230</v>
      </c>
      <c r="C116" s="114">
        <v>168893939</v>
      </c>
      <c r="D116" s="114">
        <v>89952036</v>
      </c>
      <c r="E116" s="114">
        <v>0</v>
      </c>
      <c r="F116" s="114">
        <v>32321300</v>
      </c>
      <c r="G116" s="114">
        <v>5140400</v>
      </c>
      <c r="H116" s="114">
        <v>15781600</v>
      </c>
      <c r="I116" s="114">
        <v>2118000</v>
      </c>
      <c r="J116" s="114">
        <v>37600</v>
      </c>
      <c r="K116" s="114">
        <v>0</v>
      </c>
      <c r="L116" s="114">
        <v>296754357</v>
      </c>
      <c r="M116" s="114">
        <v>117201130</v>
      </c>
      <c r="N116" s="114">
        <v>1317</v>
      </c>
      <c r="O116" s="114">
        <v>215</v>
      </c>
      <c r="P116" s="114">
        <v>4612849</v>
      </c>
      <c r="Q116" s="114">
        <v>4234806</v>
      </c>
      <c r="R116" s="114">
        <v>8586088</v>
      </c>
      <c r="S116" s="114">
        <v>1519843</v>
      </c>
      <c r="T116" s="114">
        <v>1038650</v>
      </c>
      <c r="U116" s="114">
        <v>103500</v>
      </c>
      <c r="V116" s="114">
        <v>4613659</v>
      </c>
      <c r="W116" s="114">
        <v>4261885</v>
      </c>
      <c r="X116" s="114">
        <v>8586088</v>
      </c>
      <c r="Y116" s="114">
        <v>1584743</v>
      </c>
      <c r="Z116" s="114">
        <v>752710</v>
      </c>
      <c r="AA116" s="114">
        <v>103500</v>
      </c>
      <c r="AB116" s="114">
        <v>-583721</v>
      </c>
      <c r="AC116" s="114">
        <v>-2692</v>
      </c>
      <c r="AD116" s="114">
        <v>45049</v>
      </c>
      <c r="AE116" s="114">
        <v>0</v>
      </c>
      <c r="AF116" s="114">
        <v>0</v>
      </c>
      <c r="AG116" s="114">
        <v>179247</v>
      </c>
      <c r="AH116" s="114">
        <v>0</v>
      </c>
      <c r="AI116" s="114">
        <v>0</v>
      </c>
      <c r="AJ116" s="121">
        <v>0</v>
      </c>
      <c r="AK116" s="82">
        <v>78712971</v>
      </c>
      <c r="AL116" s="83">
        <v>1497469</v>
      </c>
      <c r="AM116" s="114">
        <v>0</v>
      </c>
      <c r="AN116" s="114">
        <v>20017991</v>
      </c>
      <c r="AO116" s="114">
        <v>522035</v>
      </c>
      <c r="AP116" s="114">
        <v>117446417</v>
      </c>
      <c r="AQ116" s="114">
        <v>18752694</v>
      </c>
      <c r="AR116" s="114">
        <v>32086882</v>
      </c>
      <c r="AS116" s="114">
        <v>1842645</v>
      </c>
      <c r="AT116" s="114">
        <f>202326+6927</f>
        <v>209253</v>
      </c>
      <c r="AU116" s="114">
        <v>0</v>
      </c>
      <c r="AV116" s="114">
        <v>0</v>
      </c>
      <c r="AW116" s="114">
        <v>850536</v>
      </c>
      <c r="AX116" s="114">
        <v>9669</v>
      </c>
      <c r="AY116" s="114">
        <v>160850</v>
      </c>
      <c r="BD116" s="82">
        <v>4151527.61</v>
      </c>
      <c r="BE116" s="82">
        <v>2075764</v>
      </c>
      <c r="BF116" s="117">
        <v>0</v>
      </c>
      <c r="BG116" s="118">
        <v>0</v>
      </c>
      <c r="BH116" s="118">
        <v>0</v>
      </c>
      <c r="BI116" s="117">
        <v>2021076</v>
      </c>
      <c r="BJ116" s="117">
        <v>2021076</v>
      </c>
      <c r="BK116" s="117">
        <v>27355087.75</v>
      </c>
      <c r="BL116" s="117">
        <v>26752283.75</v>
      </c>
      <c r="BM116" s="117">
        <v>0</v>
      </c>
      <c r="BN116" s="117">
        <v>0</v>
      </c>
      <c r="BO116" s="119"/>
      <c r="BP116" s="86">
        <f t="shared" si="15"/>
        <v>667690488.75</v>
      </c>
      <c r="BQ116" s="86">
        <f t="shared" si="16"/>
        <v>556630925</v>
      </c>
      <c r="BR116" s="87">
        <v>359500</v>
      </c>
      <c r="BT116" s="86">
        <f t="shared" si="18"/>
        <v>517338205</v>
      </c>
      <c r="BU116" s="82">
        <f t="shared" si="19"/>
        <v>78712971</v>
      </c>
      <c r="BV116" s="82">
        <f t="shared" si="20"/>
        <v>1497469</v>
      </c>
      <c r="BW116" s="86">
        <f t="shared" si="21"/>
        <v>41135365</v>
      </c>
      <c r="BX116" s="86">
        <f t="shared" si="17"/>
        <v>638684010</v>
      </c>
    </row>
    <row r="117" spans="1:76" x14ac:dyDescent="0.25">
      <c r="A117" s="91" t="s">
        <v>171</v>
      </c>
      <c r="B117" s="114">
        <v>472002230</v>
      </c>
      <c r="C117" s="114">
        <v>130198933</v>
      </c>
      <c r="D117" s="114">
        <v>112891089</v>
      </c>
      <c r="E117" s="114">
        <v>0</v>
      </c>
      <c r="F117" s="114">
        <v>61236069</v>
      </c>
      <c r="G117" s="114">
        <v>15565285</v>
      </c>
      <c r="H117" s="114">
        <v>16511714</v>
      </c>
      <c r="I117" s="114">
        <v>2209702</v>
      </c>
      <c r="J117" s="114">
        <v>179900</v>
      </c>
      <c r="K117" s="114">
        <v>112800</v>
      </c>
      <c r="L117" s="114">
        <v>283961596</v>
      </c>
      <c r="M117" s="114">
        <v>83932367</v>
      </c>
      <c r="N117" s="114">
        <v>2321</v>
      </c>
      <c r="O117" s="114">
        <v>604</v>
      </c>
      <c r="P117" s="114">
        <v>6566345</v>
      </c>
      <c r="Q117" s="114">
        <v>884934</v>
      </c>
      <c r="R117" s="114">
        <v>4675662</v>
      </c>
      <c r="S117" s="114">
        <v>4320344</v>
      </c>
      <c r="T117" s="114">
        <v>161013</v>
      </c>
      <c r="U117" s="114">
        <v>2147400</v>
      </c>
      <c r="V117" s="114">
        <v>6566345</v>
      </c>
      <c r="W117" s="114">
        <v>884934</v>
      </c>
      <c r="X117" s="114">
        <v>4675662</v>
      </c>
      <c r="Y117" s="114">
        <v>4320344</v>
      </c>
      <c r="Z117" s="114">
        <v>531328</v>
      </c>
      <c r="AA117" s="114">
        <v>2147400</v>
      </c>
      <c r="AB117" s="114">
        <v>-1672079</v>
      </c>
      <c r="AC117" s="114">
        <v>-1975592</v>
      </c>
      <c r="AD117" s="114">
        <v>175288</v>
      </c>
      <c r="AE117" s="114">
        <v>8207</v>
      </c>
      <c r="AF117" s="114">
        <v>10400862</v>
      </c>
      <c r="AG117" s="114">
        <v>247417</v>
      </c>
      <c r="AH117" s="114">
        <v>303278.68852459016</v>
      </c>
      <c r="AI117" s="114">
        <v>127352.45901639345</v>
      </c>
      <c r="AJ117" s="121">
        <v>0</v>
      </c>
      <c r="AK117" s="82">
        <v>105340728</v>
      </c>
      <c r="AL117" s="83">
        <v>13777775</v>
      </c>
      <c r="AM117" s="114">
        <v>13641967</v>
      </c>
      <c r="AN117" s="114">
        <v>18240292</v>
      </c>
      <c r="AO117" s="114">
        <v>6102876</v>
      </c>
      <c r="AP117" s="114">
        <v>29890990</v>
      </c>
      <c r="AQ117" s="114">
        <v>16935597</v>
      </c>
      <c r="AR117" s="114">
        <v>18076389</v>
      </c>
      <c r="AS117" s="114">
        <v>0</v>
      </c>
      <c r="AT117" s="114">
        <v>7845872</v>
      </c>
      <c r="AU117" s="114">
        <v>0</v>
      </c>
      <c r="AV117" s="114">
        <v>0</v>
      </c>
      <c r="AW117" s="114">
        <v>0</v>
      </c>
      <c r="AX117" s="114">
        <v>0</v>
      </c>
      <c r="AY117" s="114">
        <v>50000</v>
      </c>
      <c r="BD117" s="82">
        <v>5555945.04</v>
      </c>
      <c r="BE117" s="82">
        <v>2777973</v>
      </c>
      <c r="BF117" s="117">
        <v>0</v>
      </c>
      <c r="BG117" s="118">
        <v>0</v>
      </c>
      <c r="BH117" s="118">
        <v>0</v>
      </c>
      <c r="BI117" s="117">
        <v>1257107</v>
      </c>
      <c r="BJ117" s="117">
        <v>1257107</v>
      </c>
      <c r="BK117" s="117">
        <v>36270268.5</v>
      </c>
      <c r="BL117" s="117">
        <v>35682984.5</v>
      </c>
      <c r="BM117" s="117">
        <v>0</v>
      </c>
      <c r="BN117" s="117">
        <v>0</v>
      </c>
      <c r="BO117" s="119"/>
      <c r="BP117" s="86">
        <f t="shared" si="15"/>
        <v>915638215.64754105</v>
      </c>
      <c r="BQ117" s="86">
        <f t="shared" si="16"/>
        <v>756801648.14754105</v>
      </c>
      <c r="BR117" s="87">
        <v>798000</v>
      </c>
      <c r="BT117" s="86">
        <f t="shared" si="18"/>
        <v>715092252</v>
      </c>
      <c r="BU117" s="82">
        <f t="shared" si="19"/>
        <v>105340728</v>
      </c>
      <c r="BV117" s="82">
        <f t="shared" si="20"/>
        <v>13777775</v>
      </c>
      <c r="BW117" s="86">
        <f t="shared" si="21"/>
        <v>41278765</v>
      </c>
      <c r="BX117" s="86">
        <f t="shared" si="17"/>
        <v>875489520</v>
      </c>
    </row>
    <row r="118" spans="1:76" x14ac:dyDescent="0.25">
      <c r="A118" s="91" t="s">
        <v>172</v>
      </c>
      <c r="B118" s="114">
        <v>217620497</v>
      </c>
      <c r="C118" s="114">
        <v>158652924</v>
      </c>
      <c r="D118" s="114">
        <v>57221178</v>
      </c>
      <c r="E118" s="114">
        <v>15120000</v>
      </c>
      <c r="F118" s="114">
        <v>36378497</v>
      </c>
      <c r="G118" s="114">
        <v>6336300</v>
      </c>
      <c r="H118" s="114">
        <v>8793782</v>
      </c>
      <c r="I118" s="114">
        <v>601600</v>
      </c>
      <c r="J118" s="114">
        <v>42400</v>
      </c>
      <c r="K118" s="114">
        <v>2500</v>
      </c>
      <c r="L118" s="114">
        <v>397745095</v>
      </c>
      <c r="M118" s="114">
        <v>64442810</v>
      </c>
      <c r="N118" s="114">
        <v>1360</v>
      </c>
      <c r="O118" s="114">
        <v>243</v>
      </c>
      <c r="P118" s="114">
        <v>3073400</v>
      </c>
      <c r="Q118" s="114">
        <v>941320</v>
      </c>
      <c r="R118" s="114">
        <v>253100</v>
      </c>
      <c r="S118" s="114">
        <v>356500</v>
      </c>
      <c r="T118" s="114">
        <v>141800</v>
      </c>
      <c r="U118" s="114">
        <v>0</v>
      </c>
      <c r="V118" s="114">
        <v>3073400</v>
      </c>
      <c r="W118" s="114">
        <v>941320</v>
      </c>
      <c r="X118" s="114">
        <v>253100</v>
      </c>
      <c r="Y118" s="114">
        <v>356500</v>
      </c>
      <c r="Z118" s="114">
        <v>141800</v>
      </c>
      <c r="AA118" s="114">
        <v>0</v>
      </c>
      <c r="AB118" s="114">
        <v>-902050</v>
      </c>
      <c r="AC118" s="114">
        <v>0</v>
      </c>
      <c r="AD118" s="114">
        <v>60768</v>
      </c>
      <c r="AE118" s="114">
        <v>11933</v>
      </c>
      <c r="AF118" s="114">
        <v>4984287</v>
      </c>
      <c r="AG118" s="114">
        <v>198671</v>
      </c>
      <c r="AH118" s="114">
        <v>11455877.049180329</v>
      </c>
      <c r="AI118" s="114">
        <v>0</v>
      </c>
      <c r="AJ118" s="121">
        <v>21141554.100000001</v>
      </c>
      <c r="AK118" s="82">
        <v>105169837</v>
      </c>
      <c r="AL118" s="83">
        <v>3231330</v>
      </c>
      <c r="AM118" s="114">
        <v>40750</v>
      </c>
      <c r="AN118" s="114">
        <v>45897680</v>
      </c>
      <c r="AO118" s="114">
        <v>3924268</v>
      </c>
      <c r="AP118" s="114">
        <v>45740402</v>
      </c>
      <c r="AQ118" s="114">
        <v>13142678</v>
      </c>
      <c r="AR118" s="114">
        <v>5487325</v>
      </c>
      <c r="AS118" s="114">
        <v>0</v>
      </c>
      <c r="AT118" s="114">
        <v>3135153</v>
      </c>
      <c r="AU118" s="114">
        <v>0</v>
      </c>
      <c r="AV118" s="114">
        <v>0</v>
      </c>
      <c r="AW118" s="114">
        <v>3264539</v>
      </c>
      <c r="AX118" s="114">
        <v>1111108</v>
      </c>
      <c r="AY118" s="114">
        <v>239500</v>
      </c>
      <c r="BD118" s="82">
        <v>5546931.7999999998</v>
      </c>
      <c r="BE118" s="82">
        <v>2773466</v>
      </c>
      <c r="BF118" s="117">
        <v>2534974</v>
      </c>
      <c r="BG118" s="118">
        <v>1531543</v>
      </c>
      <c r="BH118" s="118">
        <v>2945276</v>
      </c>
      <c r="BI118" s="117">
        <v>27842058</v>
      </c>
      <c r="BJ118" s="117">
        <v>27677085</v>
      </c>
      <c r="BK118" s="117">
        <v>71531935.75</v>
      </c>
      <c r="BL118" s="117">
        <v>69224131.75</v>
      </c>
      <c r="BM118" s="117">
        <v>0</v>
      </c>
      <c r="BN118" s="117">
        <v>0</v>
      </c>
      <c r="BO118" s="119"/>
      <c r="BP118" s="86">
        <f t="shared" si="15"/>
        <v>738664048.89918041</v>
      </c>
      <c r="BQ118" s="86">
        <f t="shared" si="16"/>
        <v>529056656.14918035</v>
      </c>
      <c r="BR118" s="87">
        <v>737813</v>
      </c>
      <c r="BT118" s="86">
        <f t="shared" si="18"/>
        <v>433494599</v>
      </c>
      <c r="BU118" s="82">
        <f t="shared" si="19"/>
        <v>105169837</v>
      </c>
      <c r="BV118" s="82">
        <f t="shared" si="20"/>
        <v>3231330</v>
      </c>
      <c r="BW118" s="86">
        <f t="shared" si="21"/>
        <v>62964626</v>
      </c>
      <c r="BX118" s="86">
        <f t="shared" si="17"/>
        <v>604860392</v>
      </c>
    </row>
    <row r="119" spans="1:76" x14ac:dyDescent="0.25">
      <c r="A119" s="91" t="s">
        <v>173</v>
      </c>
      <c r="B119" s="114">
        <v>691178434</v>
      </c>
      <c r="C119" s="114">
        <v>141597840</v>
      </c>
      <c r="D119" s="114">
        <v>221190944</v>
      </c>
      <c r="E119" s="114">
        <v>2100000</v>
      </c>
      <c r="F119" s="114">
        <v>91441596</v>
      </c>
      <c r="G119" s="114">
        <v>29481490</v>
      </c>
      <c r="H119" s="114">
        <v>16783510</v>
      </c>
      <c r="I119" s="114">
        <v>3059537</v>
      </c>
      <c r="J119" s="114">
        <v>36000</v>
      </c>
      <c r="K119" s="114">
        <v>0</v>
      </c>
      <c r="L119" s="114">
        <v>496213210</v>
      </c>
      <c r="M119" s="114">
        <v>56642636</v>
      </c>
      <c r="N119" s="114">
        <v>3374</v>
      </c>
      <c r="O119" s="114">
        <v>1091</v>
      </c>
      <c r="P119" s="114">
        <v>502100</v>
      </c>
      <c r="Q119" s="114">
        <v>0</v>
      </c>
      <c r="R119" s="114">
        <v>310000</v>
      </c>
      <c r="S119" s="114">
        <v>5098875</v>
      </c>
      <c r="T119" s="114">
        <v>1042870</v>
      </c>
      <c r="U119" s="114">
        <v>1252169</v>
      </c>
      <c r="V119" s="114">
        <v>502100</v>
      </c>
      <c r="W119" s="114">
        <v>0</v>
      </c>
      <c r="X119" s="114">
        <v>310000</v>
      </c>
      <c r="Y119" s="114">
        <v>5098875</v>
      </c>
      <c r="Z119" s="114">
        <v>3879590</v>
      </c>
      <c r="AA119" s="114">
        <v>1252169</v>
      </c>
      <c r="AB119" s="114">
        <v>-9990618</v>
      </c>
      <c r="AC119" s="114">
        <v>1000586</v>
      </c>
      <c r="AD119" s="114">
        <v>201684</v>
      </c>
      <c r="AE119" s="114">
        <v>0</v>
      </c>
      <c r="AF119" s="114">
        <v>0</v>
      </c>
      <c r="AG119" s="114">
        <v>203345</v>
      </c>
      <c r="AH119" s="114">
        <v>2822868.8524590167</v>
      </c>
      <c r="AI119" s="114">
        <v>5753483.6065573776</v>
      </c>
      <c r="AJ119" s="121">
        <v>2240235.25</v>
      </c>
      <c r="AK119" s="82">
        <v>211060888</v>
      </c>
      <c r="AL119" s="83">
        <v>6415051</v>
      </c>
      <c r="AM119" s="114">
        <v>2866931</v>
      </c>
      <c r="AN119" s="114">
        <v>56605116</v>
      </c>
      <c r="AO119" s="114">
        <v>3117871</v>
      </c>
      <c r="AP119" s="114">
        <v>60284332</v>
      </c>
      <c r="AQ119" s="114">
        <v>53964482</v>
      </c>
      <c r="AR119" s="114">
        <v>18990762</v>
      </c>
      <c r="AS119" s="114">
        <v>10837993</v>
      </c>
      <c r="AT119" s="114">
        <v>233395</v>
      </c>
      <c r="AU119" s="114">
        <v>0</v>
      </c>
      <c r="AV119" s="114">
        <v>0</v>
      </c>
      <c r="AW119" s="114">
        <v>0</v>
      </c>
      <c r="AX119" s="114">
        <v>38493</v>
      </c>
      <c r="AY119" s="114">
        <v>0</v>
      </c>
      <c r="BD119" s="82">
        <v>11131902.310000001</v>
      </c>
      <c r="BE119" s="82">
        <v>5565951</v>
      </c>
      <c r="BF119" s="117">
        <v>0</v>
      </c>
      <c r="BG119" s="118">
        <v>14957974</v>
      </c>
      <c r="BH119" s="118">
        <v>28765335</v>
      </c>
      <c r="BI119" s="117">
        <v>54081554</v>
      </c>
      <c r="BJ119" s="117">
        <v>54081554</v>
      </c>
      <c r="BK119" s="117">
        <v>85982858</v>
      </c>
      <c r="BL119" s="117">
        <v>70780195</v>
      </c>
      <c r="BM119" s="117">
        <v>0</v>
      </c>
      <c r="BN119" s="117">
        <v>0</v>
      </c>
      <c r="BO119" s="119"/>
      <c r="BP119" s="86">
        <f t="shared" si="15"/>
        <v>1541332887.7090163</v>
      </c>
      <c r="BQ119" s="86">
        <f t="shared" si="16"/>
        <v>1178471274.7090163</v>
      </c>
      <c r="BR119" s="87">
        <v>1362180</v>
      </c>
      <c r="BT119" s="86">
        <f t="shared" si="18"/>
        <v>1053967218</v>
      </c>
      <c r="BU119" s="82">
        <f t="shared" si="19"/>
        <v>211060888</v>
      </c>
      <c r="BV119" s="82">
        <f t="shared" si="20"/>
        <v>6415051</v>
      </c>
      <c r="BW119" s="86">
        <f t="shared" si="21"/>
        <v>124525462</v>
      </c>
      <c r="BX119" s="86">
        <f t="shared" si="17"/>
        <v>1395968619</v>
      </c>
    </row>
    <row r="120" spans="1:76" x14ac:dyDescent="0.25">
      <c r="A120" s="111" t="s">
        <v>174</v>
      </c>
      <c r="B120" s="114">
        <v>61705550</v>
      </c>
      <c r="C120" s="114">
        <v>62515550</v>
      </c>
      <c r="D120" s="114">
        <v>37337400</v>
      </c>
      <c r="E120" s="114">
        <v>0</v>
      </c>
      <c r="F120" s="114">
        <v>10551300</v>
      </c>
      <c r="G120" s="114">
        <v>9510300</v>
      </c>
      <c r="H120" s="114">
        <v>9524600</v>
      </c>
      <c r="I120" s="114">
        <v>4570800</v>
      </c>
      <c r="J120" s="114">
        <v>37600</v>
      </c>
      <c r="K120" s="114">
        <v>0</v>
      </c>
      <c r="L120" s="114">
        <v>66451300</v>
      </c>
      <c r="M120" s="114">
        <v>0</v>
      </c>
      <c r="N120" s="114">
        <v>629</v>
      </c>
      <c r="O120" s="114">
        <v>514</v>
      </c>
      <c r="P120" s="114">
        <v>1545000</v>
      </c>
      <c r="Q120" s="114">
        <v>231000</v>
      </c>
      <c r="R120" s="114">
        <v>1064500</v>
      </c>
      <c r="S120" s="114">
        <v>575500</v>
      </c>
      <c r="T120" s="114">
        <v>66500</v>
      </c>
      <c r="U120" s="114">
        <v>200000</v>
      </c>
      <c r="V120" s="114">
        <v>1545000</v>
      </c>
      <c r="W120" s="114">
        <v>255000</v>
      </c>
      <c r="X120" s="114">
        <v>1064500</v>
      </c>
      <c r="Y120" s="114">
        <v>575500</v>
      </c>
      <c r="Z120" s="114">
        <v>0</v>
      </c>
      <c r="AA120" s="114">
        <v>200000</v>
      </c>
      <c r="AB120" s="114">
        <v>-1135000</v>
      </c>
      <c r="AC120" s="114">
        <v>0</v>
      </c>
      <c r="AD120" s="114">
        <v>87435</v>
      </c>
      <c r="AE120" s="114">
        <v>0</v>
      </c>
      <c r="AF120" s="114">
        <v>0</v>
      </c>
      <c r="AG120" s="114">
        <v>115595</v>
      </c>
      <c r="AH120" s="114">
        <v>5966524.590163935</v>
      </c>
      <c r="AI120" s="114">
        <v>1204.9180327868853</v>
      </c>
      <c r="AJ120" s="121">
        <v>0</v>
      </c>
      <c r="AK120" s="82">
        <v>43531261</v>
      </c>
      <c r="AL120" s="83">
        <v>520089</v>
      </c>
      <c r="AM120" s="114">
        <v>0</v>
      </c>
      <c r="AN120" s="114">
        <v>4978431</v>
      </c>
      <c r="AO120" s="114">
        <v>64994</v>
      </c>
      <c r="AP120" s="114">
        <v>112125</v>
      </c>
      <c r="AQ120" s="114">
        <v>7703799</v>
      </c>
      <c r="AR120" s="114">
        <v>3984111</v>
      </c>
      <c r="AS120" s="114">
        <v>0</v>
      </c>
      <c r="AT120" s="114">
        <v>142189</v>
      </c>
      <c r="AU120" s="114">
        <v>0</v>
      </c>
      <c r="AV120" s="114">
        <v>0</v>
      </c>
      <c r="AW120" s="114">
        <v>0</v>
      </c>
      <c r="AX120" s="114">
        <v>0</v>
      </c>
      <c r="AY120" s="114">
        <v>0</v>
      </c>
      <c r="BD120" s="82">
        <v>2295952.36</v>
      </c>
      <c r="BE120" s="82">
        <v>1147976</v>
      </c>
      <c r="BF120" s="117">
        <v>0</v>
      </c>
      <c r="BG120" s="118">
        <v>0</v>
      </c>
      <c r="BH120" s="118">
        <v>0</v>
      </c>
      <c r="BI120" s="117">
        <v>601091</v>
      </c>
      <c r="BJ120" s="117">
        <v>601091</v>
      </c>
      <c r="BK120" s="117">
        <v>25285328.75</v>
      </c>
      <c r="BL120" s="117">
        <v>25230676.75</v>
      </c>
      <c r="BM120" s="117">
        <v>0</v>
      </c>
      <c r="BN120" s="117">
        <v>0</v>
      </c>
      <c r="BO120" s="119"/>
      <c r="BP120" s="86">
        <f t="shared" si="15"/>
        <v>251304547.25819674</v>
      </c>
      <c r="BQ120" s="86">
        <f t="shared" si="16"/>
        <v>180273453.50819674</v>
      </c>
      <c r="BR120" s="87">
        <v>362000</v>
      </c>
      <c r="BT120" s="86">
        <f t="shared" si="18"/>
        <v>161558500</v>
      </c>
      <c r="BU120" s="82">
        <f t="shared" si="19"/>
        <v>43531261</v>
      </c>
      <c r="BV120" s="82">
        <f t="shared" si="20"/>
        <v>520089</v>
      </c>
      <c r="BW120" s="86">
        <f t="shared" si="21"/>
        <v>12747224</v>
      </c>
      <c r="BX120" s="86">
        <f t="shared" si="17"/>
        <v>218357074</v>
      </c>
    </row>
    <row r="121" spans="1:76" ht="15.75" thickBot="1" x14ac:dyDescent="0.3">
      <c r="A121" s="104" t="s">
        <v>175</v>
      </c>
      <c r="B121" s="124">
        <v>1406032420</v>
      </c>
      <c r="C121" s="124">
        <v>509182952</v>
      </c>
      <c r="D121" s="124">
        <v>285998495</v>
      </c>
      <c r="E121" s="124">
        <v>7176200</v>
      </c>
      <c r="F121" s="124">
        <v>76218600</v>
      </c>
      <c r="G121" s="124">
        <v>7825900</v>
      </c>
      <c r="H121" s="124">
        <v>9432200</v>
      </c>
      <c r="I121" s="124">
        <v>376000</v>
      </c>
      <c r="J121" s="124">
        <v>112800</v>
      </c>
      <c r="K121" s="124">
        <v>37600</v>
      </c>
      <c r="L121" s="124">
        <v>838139008</v>
      </c>
      <c r="M121" s="124">
        <v>255738900</v>
      </c>
      <c r="N121" s="124">
        <v>2295</v>
      </c>
      <c r="O121" s="124">
        <v>221</v>
      </c>
      <c r="P121" s="124">
        <v>32390800</v>
      </c>
      <c r="Q121" s="124">
        <v>5183500</v>
      </c>
      <c r="R121" s="124">
        <v>14406000</v>
      </c>
      <c r="S121" s="124">
        <v>0</v>
      </c>
      <c r="T121" s="124">
        <v>12057800</v>
      </c>
      <c r="U121" s="124">
        <v>0</v>
      </c>
      <c r="V121" s="124">
        <v>32541200</v>
      </c>
      <c r="W121" s="124">
        <v>5183500</v>
      </c>
      <c r="X121" s="124">
        <v>14406000</v>
      </c>
      <c r="Y121" s="124">
        <v>0</v>
      </c>
      <c r="Z121" s="124">
        <v>18174000</v>
      </c>
      <c r="AA121" s="124">
        <v>0</v>
      </c>
      <c r="AB121" s="124">
        <v>-2326750</v>
      </c>
      <c r="AC121" s="124">
        <v>0</v>
      </c>
      <c r="AD121" s="124">
        <v>0</v>
      </c>
      <c r="AE121" s="124">
        <v>0</v>
      </c>
      <c r="AF121" s="124">
        <v>0</v>
      </c>
      <c r="AG121" s="124">
        <v>106932</v>
      </c>
      <c r="AH121" s="124">
        <v>0</v>
      </c>
      <c r="AI121" s="124">
        <v>0</v>
      </c>
      <c r="AJ121" s="124">
        <v>0</v>
      </c>
      <c r="AK121" s="101">
        <v>215111586</v>
      </c>
      <c r="AL121" s="102">
        <v>5135614</v>
      </c>
      <c r="AM121" s="124">
        <v>12000</v>
      </c>
      <c r="AN121" s="124">
        <v>52688925</v>
      </c>
      <c r="AO121" s="124">
        <v>13759170</v>
      </c>
      <c r="AP121" s="124">
        <v>229825278</v>
      </c>
      <c r="AQ121" s="124">
        <v>37428781</v>
      </c>
      <c r="AR121" s="124">
        <v>37578447</v>
      </c>
      <c r="AS121" s="124">
        <v>49542505</v>
      </c>
      <c r="AT121" s="124">
        <v>243279406</v>
      </c>
      <c r="AU121" s="124">
        <v>0</v>
      </c>
      <c r="AV121" s="124">
        <v>0</v>
      </c>
      <c r="AW121" s="124">
        <v>1315969</v>
      </c>
      <c r="AX121" s="124">
        <v>861064</v>
      </c>
      <c r="AY121" s="124">
        <v>4000</v>
      </c>
      <c r="AZ121" s="124"/>
      <c r="BA121" s="124"/>
      <c r="BB121" s="124"/>
      <c r="BC121" s="124"/>
      <c r="BD121" s="101">
        <v>11345546.699999999</v>
      </c>
      <c r="BE121" s="101">
        <v>5672773</v>
      </c>
      <c r="BF121" s="125">
        <v>0</v>
      </c>
      <c r="BG121" s="126">
        <v>1222692</v>
      </c>
      <c r="BH121" s="126">
        <v>2351331</v>
      </c>
      <c r="BI121" s="127">
        <v>17560581</v>
      </c>
      <c r="BJ121" s="125">
        <v>17141172</v>
      </c>
      <c r="BK121" s="125">
        <v>47977051</v>
      </c>
      <c r="BL121" s="125">
        <v>47160922</v>
      </c>
      <c r="BM121" s="125">
        <v>94604018</v>
      </c>
      <c r="BN121" s="125">
        <v>0</v>
      </c>
      <c r="BO121" s="128"/>
      <c r="BP121" s="128">
        <f t="shared" si="15"/>
        <v>2691139520</v>
      </c>
      <c r="BQ121" s="128">
        <f>B121+C121+D121+AH121+AI121+AJ121+AN121+AO121+AQ121</f>
        <v>2305090743</v>
      </c>
      <c r="BR121" s="107">
        <v>1934445</v>
      </c>
      <c r="BS121" s="108"/>
      <c r="BT121" s="86">
        <f t="shared" si="18"/>
        <v>2201213867</v>
      </c>
      <c r="BU121" s="82">
        <f t="shared" si="19"/>
        <v>215111586</v>
      </c>
      <c r="BV121" s="82">
        <f t="shared" si="20"/>
        <v>5135614</v>
      </c>
      <c r="BW121" s="86">
        <f t="shared" si="21"/>
        <v>153419381</v>
      </c>
      <c r="BX121" s="86">
        <f t="shared" si="17"/>
        <v>2574880448</v>
      </c>
    </row>
    <row r="122" spans="1:76" ht="15.75" thickTop="1" x14ac:dyDescent="0.25">
      <c r="A122" s="129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109"/>
      <c r="BE122" s="109"/>
      <c r="BF122" s="56"/>
      <c r="BI122" s="110"/>
      <c r="BJ122" s="110"/>
      <c r="BK122" s="110"/>
      <c r="BL122" s="110"/>
      <c r="BM122" s="56"/>
      <c r="BN122" s="56"/>
    </row>
    <row r="123" spans="1:76" x14ac:dyDescent="0.25">
      <c r="A123" s="129" t="s">
        <v>332</v>
      </c>
      <c r="B123" s="4" t="e">
        <f>#REF!+#REF!-#REF!-#REF!</f>
        <v>#REF!</v>
      </c>
      <c r="C123" s="114" t="e">
        <f>#REF!+#REF!-#REF!-#REF!</f>
        <v>#REF!</v>
      </c>
      <c r="D123" s="4" t="e">
        <f>#REF!+#REF!-#REF!-#REF!</f>
        <v>#REF!</v>
      </c>
      <c r="E123" s="4" t="e">
        <f>#REF!+#REF!-#REF!-#REF!</f>
        <v>#REF!</v>
      </c>
      <c r="F123" s="4">
        <f t="shared" ref="F123:BC123" si="22">SUM(F2:F121)</f>
        <v>11384210160</v>
      </c>
      <c r="G123" s="4">
        <f t="shared" si="22"/>
        <v>2295263954</v>
      </c>
      <c r="H123" s="4">
        <f t="shared" si="22"/>
        <v>1641793755</v>
      </c>
      <c r="I123" s="4">
        <f t="shared" si="22"/>
        <v>298472661</v>
      </c>
      <c r="J123" s="4">
        <f t="shared" si="22"/>
        <v>25849460</v>
      </c>
      <c r="K123" s="4">
        <f t="shared" si="22"/>
        <v>3968382</v>
      </c>
      <c r="L123" s="4">
        <f t="shared" si="22"/>
        <v>38399413434</v>
      </c>
      <c r="M123" s="4">
        <f t="shared" si="22"/>
        <v>13419259633</v>
      </c>
      <c r="N123" s="4">
        <f t="shared" si="22"/>
        <v>364323</v>
      </c>
      <c r="O123" s="4">
        <f t="shared" si="22"/>
        <v>81452</v>
      </c>
      <c r="P123" s="4">
        <f t="shared" si="22"/>
        <v>2538855287</v>
      </c>
      <c r="Q123" s="4">
        <f t="shared" si="22"/>
        <v>392864961</v>
      </c>
      <c r="R123" s="4">
        <f t="shared" si="22"/>
        <v>2008354425</v>
      </c>
      <c r="S123" s="4">
        <f t="shared" si="22"/>
        <v>1133463412</v>
      </c>
      <c r="T123" s="4">
        <f t="shared" si="22"/>
        <v>492316946</v>
      </c>
      <c r="U123" s="4">
        <f t="shared" si="22"/>
        <v>606874128</v>
      </c>
      <c r="V123" s="4">
        <f t="shared" si="22"/>
        <v>2538571947</v>
      </c>
      <c r="W123" s="4">
        <f t="shared" si="22"/>
        <v>491215524</v>
      </c>
      <c r="X123" s="4">
        <f t="shared" si="22"/>
        <v>2008405425</v>
      </c>
      <c r="Y123" s="4">
        <f t="shared" si="22"/>
        <v>1133950112</v>
      </c>
      <c r="Z123" s="4">
        <f t="shared" si="22"/>
        <v>977879384</v>
      </c>
      <c r="AA123" s="4">
        <f t="shared" si="22"/>
        <v>606843528</v>
      </c>
      <c r="AB123" s="4">
        <f t="shared" si="22"/>
        <v>-521028734</v>
      </c>
      <c r="AC123" s="4">
        <f t="shared" si="22"/>
        <v>-221471844</v>
      </c>
      <c r="AD123" s="4">
        <f t="shared" si="22"/>
        <v>7669830</v>
      </c>
      <c r="AE123" s="4">
        <f t="shared" si="22"/>
        <v>16781616</v>
      </c>
      <c r="AF123" s="4">
        <f t="shared" si="22"/>
        <v>2572039329</v>
      </c>
      <c r="AG123" s="4">
        <f t="shared" si="22"/>
        <v>17213460.2971</v>
      </c>
      <c r="AH123" s="4">
        <f t="shared" si="22"/>
        <v>297683114.75409842</v>
      </c>
      <c r="AI123" s="4">
        <f t="shared" si="22"/>
        <v>672780975.40983593</v>
      </c>
      <c r="AJ123" s="4">
        <f t="shared" si="22"/>
        <v>438254081.96393442</v>
      </c>
      <c r="AK123" s="4">
        <f t="shared" si="22"/>
        <v>30074860038</v>
      </c>
      <c r="AL123" s="4">
        <f t="shared" si="22"/>
        <v>801218067</v>
      </c>
      <c r="AM123" s="4">
        <f t="shared" si="22"/>
        <v>121410913</v>
      </c>
      <c r="AN123" s="4">
        <f t="shared" si="22"/>
        <v>11458353515</v>
      </c>
      <c r="AO123" s="4">
        <f t="shared" si="22"/>
        <v>1012077983</v>
      </c>
      <c r="AP123" s="4">
        <f t="shared" si="22"/>
        <v>20909979295</v>
      </c>
      <c r="AQ123" s="4">
        <f t="shared" si="22"/>
        <v>9643793907</v>
      </c>
      <c r="AR123" s="4">
        <f t="shared" si="22"/>
        <v>9555706617</v>
      </c>
      <c r="AS123" s="4">
        <f t="shared" si="22"/>
        <v>11144654453</v>
      </c>
      <c r="AT123" s="4">
        <f t="shared" si="22"/>
        <v>9496827230</v>
      </c>
      <c r="AU123" s="4">
        <f t="shared" si="22"/>
        <v>53062969</v>
      </c>
      <c r="AV123" s="4">
        <f t="shared" si="22"/>
        <v>66705515</v>
      </c>
      <c r="AW123" s="4">
        <f t="shared" si="22"/>
        <v>1134724175</v>
      </c>
      <c r="AX123" s="4">
        <f t="shared" si="22"/>
        <v>110675859</v>
      </c>
      <c r="AY123" s="4">
        <f t="shared" si="22"/>
        <v>363493385</v>
      </c>
      <c r="AZ123" s="4">
        <f t="shared" si="22"/>
        <v>0</v>
      </c>
      <c r="BA123" s="4">
        <f t="shared" si="22"/>
        <v>0</v>
      </c>
      <c r="BB123" s="4">
        <f t="shared" si="22"/>
        <v>0</v>
      </c>
      <c r="BC123" s="4">
        <f t="shared" si="22"/>
        <v>0</v>
      </c>
      <c r="BD123" s="4">
        <f>SUM(BD2:BD121)</f>
        <v>1586228067.0899992</v>
      </c>
      <c r="BE123" s="4">
        <f>SUM(BE2:BE121)</f>
        <v>793114032</v>
      </c>
      <c r="BF123" s="134">
        <f>SUM(BF2:BF122)</f>
        <v>950000001</v>
      </c>
      <c r="BG123" s="134">
        <f>SUM(BG2:BG121)</f>
        <v>329281085</v>
      </c>
      <c r="BH123" s="134">
        <f>SUM(BH2:BH121)</f>
        <v>633232857</v>
      </c>
      <c r="BI123" s="111">
        <f t="shared" ref="BI123:BO123" si="23">SUM(BI2:BI122)</f>
        <v>6008862846</v>
      </c>
      <c r="BJ123" s="111">
        <f t="shared" si="23"/>
        <v>5955900227</v>
      </c>
      <c r="BK123" s="111">
        <f t="shared" si="23"/>
        <v>11611870887</v>
      </c>
      <c r="BL123" s="111">
        <f t="shared" si="23"/>
        <v>10682254056</v>
      </c>
      <c r="BM123" s="134">
        <f t="shared" si="23"/>
        <v>1751443578</v>
      </c>
      <c r="BN123" s="134">
        <f t="shared" si="23"/>
        <v>199764075</v>
      </c>
      <c r="BO123" s="134">
        <f t="shared" si="23"/>
        <v>0</v>
      </c>
      <c r="BP123" s="112">
        <f>SUM(BP2:BP121)</f>
        <v>325094463474.12793</v>
      </c>
      <c r="BQ123" s="112">
        <f>SUM(BQ2:BQ121)</f>
        <v>274506628316.12787</v>
      </c>
      <c r="BR123" s="112">
        <f>SUM(BR2:BR121)</f>
        <v>410580172</v>
      </c>
      <c r="BS123" s="113"/>
    </row>
    <row r="124" spans="1:76" x14ac:dyDescent="0.25">
      <c r="BD124" s="131"/>
    </row>
    <row r="125" spans="1:76" x14ac:dyDescent="0.25">
      <c r="BD125" s="131"/>
    </row>
    <row r="126" spans="1:76" x14ac:dyDescent="0.25">
      <c r="BD126" s="131"/>
    </row>
    <row r="127" spans="1:76" s="114" customFormat="1" x14ac:dyDescent="0.25">
      <c r="A127" s="113"/>
      <c r="BP127" s="88"/>
      <c r="BQ127" s="88"/>
      <c r="BR127" s="88"/>
      <c r="BS127" s="88"/>
      <c r="BT127" s="88"/>
      <c r="BU127" s="88"/>
      <c r="BV127" s="88"/>
      <c r="BW127" s="88"/>
      <c r="BX127" s="88"/>
    </row>
    <row r="128" spans="1:76" s="114" customFormat="1" x14ac:dyDescent="0.25">
      <c r="A128" s="113"/>
      <c r="B128" s="114" t="e">
        <f>B123+C123+D123+AH123+AI123+AJ123+BJ123</f>
        <v>#REF!</v>
      </c>
      <c r="BP128" s="88"/>
      <c r="BQ128" s="88"/>
      <c r="BR128" s="88"/>
      <c r="BS128" s="88"/>
      <c r="BT128" s="88"/>
      <c r="BU128" s="88"/>
      <c r="BV128" s="88"/>
      <c r="BW128" s="88"/>
      <c r="BX128" s="88"/>
    </row>
    <row r="129" spans="1:76" s="114" customFormat="1" x14ac:dyDescent="0.25">
      <c r="A129" s="113"/>
      <c r="B129" s="114">
        <f>AM123+AN123+AO123+AP123+AQ123+AR123+AS123+AT123+AU123+AV123+AW123+AX123+BE123+AY123+BF123+BG123+BL123+BM123+BN123</f>
        <v>89777322643</v>
      </c>
      <c r="P129" s="114">
        <f>P123+Q123+R123-S123-T123-U123</f>
        <v>2707420187</v>
      </c>
      <c r="AI129" s="114">
        <f>AH123+AI123</f>
        <v>970464090.16393435</v>
      </c>
      <c r="BP129" s="88"/>
      <c r="BQ129" s="88"/>
      <c r="BR129" s="88"/>
      <c r="BS129" s="88"/>
      <c r="BT129" s="88"/>
      <c r="BU129" s="88"/>
      <c r="BV129" s="88"/>
      <c r="BW129" s="88"/>
      <c r="BX129" s="88"/>
    </row>
    <row r="130" spans="1:76" s="114" customFormat="1" x14ac:dyDescent="0.25">
      <c r="A130" s="113"/>
      <c r="B130" s="114">
        <f>AK123+AL123</f>
        <v>30876078105</v>
      </c>
      <c r="BP130" s="88"/>
      <c r="BQ130" s="88"/>
      <c r="BR130" s="88"/>
      <c r="BS130" s="88"/>
      <c r="BT130" s="88"/>
      <c r="BU130" s="88"/>
      <c r="BV130" s="88"/>
      <c r="BW130" s="88"/>
      <c r="BX130" s="88"/>
    </row>
    <row r="131" spans="1:76" s="114" customFormat="1" x14ac:dyDescent="0.25">
      <c r="A131" s="113"/>
      <c r="BP131" s="88"/>
      <c r="BQ131" s="88"/>
      <c r="BR131" s="88"/>
      <c r="BS131" s="88"/>
      <c r="BT131" s="88"/>
      <c r="BU131" s="88"/>
      <c r="BV131" s="88"/>
      <c r="BW131" s="88"/>
      <c r="BX131" s="88"/>
    </row>
    <row r="132" spans="1:76" s="114" customFormat="1" x14ac:dyDescent="0.25">
      <c r="A132" s="113"/>
      <c r="BP132" s="88"/>
      <c r="BQ132" s="88"/>
      <c r="BR132" s="88"/>
      <c r="BS132" s="88"/>
      <c r="BT132" s="88"/>
      <c r="BU132" s="88"/>
      <c r="BV132" s="88"/>
      <c r="BW132" s="88"/>
      <c r="BX132" s="88"/>
    </row>
    <row r="133" spans="1:76" s="114" customFormat="1" x14ac:dyDescent="0.25">
      <c r="A133" s="113"/>
      <c r="BP133" s="88"/>
      <c r="BQ133" s="88"/>
      <c r="BR133" s="88"/>
      <c r="BS133" s="88"/>
      <c r="BT133" s="88"/>
      <c r="BU133" s="88"/>
      <c r="BV133" s="88"/>
      <c r="BW133" s="88"/>
      <c r="BX133" s="88"/>
    </row>
    <row r="134" spans="1:76" s="114" customFormat="1" x14ac:dyDescent="0.25">
      <c r="A134" s="113"/>
      <c r="BP134" s="88"/>
      <c r="BQ134" s="88"/>
      <c r="BR134" s="88"/>
      <c r="BS134" s="88"/>
      <c r="BT134" s="88"/>
      <c r="BU134" s="88"/>
      <c r="BV134" s="88"/>
      <c r="BW134" s="88"/>
      <c r="BX134" s="88"/>
    </row>
    <row r="135" spans="1:76" s="114" customFormat="1" x14ac:dyDescent="0.25">
      <c r="A135" s="113"/>
      <c r="BP135" s="88"/>
      <c r="BQ135" s="88"/>
      <c r="BR135" s="88"/>
      <c r="BS135" s="88"/>
      <c r="BT135" s="88"/>
      <c r="BU135" s="88"/>
      <c r="BV135" s="88"/>
      <c r="BW135" s="88"/>
      <c r="BX135" s="88"/>
    </row>
    <row r="136" spans="1:76" s="114" customFormat="1" x14ac:dyDescent="0.25">
      <c r="A136" s="113"/>
      <c r="BP136" s="88"/>
      <c r="BQ136" s="88"/>
      <c r="BR136" s="88"/>
      <c r="BS136" s="88"/>
      <c r="BT136" s="88"/>
      <c r="BU136" s="88"/>
      <c r="BV136" s="88"/>
      <c r="BW136" s="88"/>
      <c r="BX136" s="88"/>
    </row>
    <row r="137" spans="1:76" s="114" customFormat="1" x14ac:dyDescent="0.25">
      <c r="A137" s="113"/>
      <c r="BP137" s="88"/>
      <c r="BQ137" s="88"/>
      <c r="BR137" s="88"/>
      <c r="BS137" s="88"/>
      <c r="BT137" s="88"/>
      <c r="BU137" s="88"/>
      <c r="BV137" s="88"/>
      <c r="BW137" s="88"/>
      <c r="BX137" s="88"/>
    </row>
    <row r="138" spans="1:76" s="114" customFormat="1" x14ac:dyDescent="0.25">
      <c r="A138" s="113"/>
      <c r="BP138" s="88"/>
      <c r="BQ138" s="88"/>
      <c r="BR138" s="88"/>
      <c r="BS138" s="88"/>
      <c r="BT138" s="88"/>
      <c r="BU138" s="88"/>
      <c r="BV138" s="88"/>
      <c r="BW138" s="88"/>
      <c r="BX138" s="88"/>
    </row>
    <row r="139" spans="1:76" s="114" customFormat="1" x14ac:dyDescent="0.25">
      <c r="A139" s="113"/>
      <c r="BP139" s="88"/>
      <c r="BQ139" s="88"/>
      <c r="BR139" s="88"/>
      <c r="BS139" s="88"/>
      <c r="BT139" s="88"/>
      <c r="BU139" s="88"/>
      <c r="BV139" s="88"/>
      <c r="BW139" s="88"/>
      <c r="BX139" s="88"/>
    </row>
    <row r="140" spans="1:76" s="114" customFormat="1" x14ac:dyDescent="0.25">
      <c r="A140" s="113"/>
      <c r="BP140" s="88"/>
      <c r="BQ140" s="88"/>
      <c r="BR140" s="88"/>
      <c r="BS140" s="88"/>
      <c r="BT140" s="88"/>
      <c r="BU140" s="88"/>
      <c r="BV140" s="88"/>
      <c r="BW140" s="88"/>
      <c r="BX140" s="88"/>
    </row>
    <row r="141" spans="1:76" s="114" customFormat="1" x14ac:dyDescent="0.25">
      <c r="A141" s="113"/>
      <c r="BP141" s="88"/>
      <c r="BQ141" s="88"/>
      <c r="BR141" s="88"/>
      <c r="BS141" s="88"/>
      <c r="BT141" s="88"/>
      <c r="BU141" s="88"/>
      <c r="BV141" s="88"/>
      <c r="BW141" s="88"/>
      <c r="BX141" s="88"/>
    </row>
    <row r="142" spans="1:76" s="114" customFormat="1" x14ac:dyDescent="0.25">
      <c r="A142" s="113"/>
      <c r="BP142" s="88"/>
      <c r="BQ142" s="88"/>
      <c r="BR142" s="88"/>
      <c r="BS142" s="88"/>
      <c r="BT142" s="88"/>
      <c r="BU142" s="88"/>
      <c r="BV142" s="88"/>
      <c r="BW142" s="88"/>
      <c r="BX142" s="88"/>
    </row>
    <row r="143" spans="1:76" s="114" customFormat="1" x14ac:dyDescent="0.25">
      <c r="A143" s="113"/>
      <c r="BP143" s="88"/>
      <c r="BQ143" s="88"/>
      <c r="BR143" s="88"/>
      <c r="BS143" s="88"/>
      <c r="BT143" s="88"/>
      <c r="BU143" s="88"/>
      <c r="BV143" s="88"/>
      <c r="BW143" s="88"/>
      <c r="BX143" s="88"/>
    </row>
    <row r="144" spans="1:76" s="114" customFormat="1" x14ac:dyDescent="0.25">
      <c r="A144" s="113"/>
      <c r="BP144" s="88"/>
      <c r="BQ144" s="88"/>
      <c r="BR144" s="88"/>
      <c r="BS144" s="88"/>
      <c r="BT144" s="88"/>
      <c r="BU144" s="88"/>
      <c r="BV144" s="88"/>
      <c r="BW144" s="88"/>
      <c r="BX144" s="88"/>
    </row>
  </sheetData>
  <pageMargins left="0.75" right="0.75" top="1" bottom="1" header="0.5" footer="0.5"/>
  <pageSetup orientation="landscape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F14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B2" sqref="B2"/>
    </sheetView>
  </sheetViews>
  <sheetFormatPr defaultColWidth="9.140625" defaultRowHeight="15" x14ac:dyDescent="0.25"/>
  <cols>
    <col min="1" max="1" width="15.42578125" style="113" customWidth="1"/>
    <col min="2" max="2" width="17.42578125" style="114" customWidth="1"/>
    <col min="3" max="3" width="16" style="114" customWidth="1"/>
    <col min="4" max="4" width="16.42578125" style="114" customWidth="1"/>
    <col min="5" max="5" width="14.85546875" style="114" customWidth="1"/>
    <col min="6" max="6" width="16.42578125" style="114" customWidth="1"/>
    <col min="7" max="8" width="13.85546875" style="114" customWidth="1"/>
    <col min="9" max="9" width="12.85546875" style="114" customWidth="1"/>
    <col min="10" max="11" width="14.28515625" style="114" customWidth="1"/>
    <col min="12" max="13" width="14.85546875" style="114" customWidth="1"/>
    <col min="14" max="14" width="13.28515625" style="114" bestFit="1" customWidth="1"/>
    <col min="15" max="15" width="13.7109375" style="114" customWidth="1"/>
    <col min="16" max="16" width="14.85546875" style="114" customWidth="1"/>
    <col min="17" max="17" width="13.85546875" style="114" customWidth="1"/>
    <col min="18" max="18" width="14.85546875" style="114" customWidth="1"/>
    <col min="19" max="20" width="13.85546875" style="114" customWidth="1"/>
    <col min="21" max="22" width="14.85546875" style="114" customWidth="1"/>
    <col min="23" max="23" width="13.85546875" style="114" customWidth="1"/>
    <col min="24" max="24" width="14.85546875" style="114" customWidth="1"/>
    <col min="25" max="25" width="18.7109375" style="114" bestFit="1" customWidth="1"/>
    <col min="26" max="26" width="13.85546875" style="114" customWidth="1"/>
    <col min="27" max="27" width="14.85546875" style="114" customWidth="1"/>
    <col min="28" max="28" width="16.5703125" style="114" customWidth="1"/>
    <col min="29" max="29" width="16.28515625" style="114" customWidth="1"/>
    <col min="30" max="30" width="11.28515625" style="114" customWidth="1"/>
    <col min="31" max="32" width="13.85546875" style="114" customWidth="1"/>
    <col min="33" max="33" width="12.28515625" style="114" bestFit="1" customWidth="1"/>
    <col min="34" max="34" width="13.85546875" style="114" customWidth="1"/>
    <col min="35" max="36" width="14.85546875" style="114" customWidth="1"/>
    <col min="37" max="37" width="16.42578125" style="114" customWidth="1"/>
    <col min="38" max="38" width="15.42578125" style="114" customWidth="1"/>
    <col min="39" max="39" width="15.140625" style="114" customWidth="1"/>
    <col min="40" max="40" width="16.42578125" style="114" customWidth="1"/>
    <col min="41" max="41" width="13.85546875" style="114" customWidth="1"/>
    <col min="42" max="42" width="16.85546875" style="114" customWidth="1"/>
    <col min="43" max="43" width="16.42578125" style="114" customWidth="1"/>
    <col min="44" max="44" width="14.85546875" style="114" customWidth="1"/>
    <col min="45" max="45" width="16.42578125" style="114" customWidth="1"/>
    <col min="46" max="46" width="14.85546875" style="114" customWidth="1"/>
    <col min="47" max="47" width="13.85546875" style="114" customWidth="1"/>
    <col min="48" max="48" width="12.85546875" style="114" customWidth="1"/>
    <col min="49" max="49" width="14.85546875" style="114" customWidth="1"/>
    <col min="50" max="50" width="13.85546875" style="114" customWidth="1"/>
    <col min="51" max="51" width="16.5703125" style="114" customWidth="1"/>
    <col min="52" max="52" width="18" style="114" hidden="1" customWidth="1"/>
    <col min="53" max="53" width="16.42578125" style="114" hidden="1" customWidth="1"/>
    <col min="54" max="55" width="14.85546875" style="114" hidden="1" customWidth="1"/>
    <col min="56" max="56" width="16.85546875" style="114" customWidth="1"/>
    <col min="57" max="57" width="14.85546875" style="114" customWidth="1"/>
    <col min="58" max="58" width="14.42578125" style="114" customWidth="1"/>
    <col min="59" max="59" width="15.5703125" style="114" customWidth="1"/>
    <col min="60" max="60" width="15.42578125" style="114" customWidth="1"/>
    <col min="61" max="61" width="17.85546875" style="114" customWidth="1"/>
    <col min="62" max="62" width="18.28515625" style="114" customWidth="1"/>
    <col min="63" max="63" width="18.42578125" style="114" customWidth="1"/>
    <col min="64" max="64" width="17.28515625" style="114" customWidth="1"/>
    <col min="65" max="65" width="14.85546875" style="114" customWidth="1"/>
    <col min="66" max="67" width="13.85546875" style="114" customWidth="1"/>
    <col min="68" max="68" width="16.28515625" style="88" customWidth="1"/>
    <col min="69" max="69" width="16.5703125" style="88" customWidth="1"/>
    <col min="70" max="70" width="12.140625" style="88" customWidth="1"/>
    <col min="71" max="71" width="9.140625" style="88"/>
    <col min="72" max="72" width="14.140625" style="114" customWidth="1"/>
    <col min="73" max="73" width="11.140625" style="114" customWidth="1"/>
    <col min="74" max="74" width="15.28515625" style="114" customWidth="1"/>
    <col min="75" max="75" width="13.140625" style="114" customWidth="1"/>
    <col min="76" max="76" width="15" style="88" bestFit="1" customWidth="1"/>
    <col min="77" max="77" width="14.42578125" style="88" bestFit="1" customWidth="1"/>
    <col min="78" max="78" width="11.7109375" style="88" bestFit="1" customWidth="1"/>
    <col min="79" max="79" width="14" style="88" bestFit="1" customWidth="1"/>
    <col min="80" max="80" width="15" style="88" bestFit="1" customWidth="1"/>
    <col min="81" max="16384" width="9.140625" style="88"/>
  </cols>
  <sheetData>
    <row r="1" spans="1:80" s="115" customFormat="1" ht="64.5" thickBot="1" x14ac:dyDescent="0.25">
      <c r="A1" s="75" t="str">
        <f>'[3]CO CODE'!E1&amp;" "&amp;"COUNTY"</f>
        <v>2018 COUNTY</v>
      </c>
      <c r="B1" s="62" t="s">
        <v>0</v>
      </c>
      <c r="C1" s="62" t="s">
        <v>1</v>
      </c>
      <c r="D1" s="62" t="s">
        <v>2</v>
      </c>
      <c r="E1" s="62" t="s">
        <v>3</v>
      </c>
      <c r="F1" s="62" t="s">
        <v>4</v>
      </c>
      <c r="G1" s="62" t="s">
        <v>5</v>
      </c>
      <c r="H1" s="62" t="s">
        <v>6</v>
      </c>
      <c r="I1" s="132" t="s">
        <v>7</v>
      </c>
      <c r="J1" s="62" t="s">
        <v>8</v>
      </c>
      <c r="K1" s="62" t="s">
        <v>9</v>
      </c>
      <c r="L1" s="62" t="s">
        <v>10</v>
      </c>
      <c r="M1" s="62" t="s">
        <v>11</v>
      </c>
      <c r="N1" s="62" t="s">
        <v>12</v>
      </c>
      <c r="O1" s="62" t="s">
        <v>13</v>
      </c>
      <c r="P1" s="62" t="str">
        <f>'[3]CO CODE'!$E$1&amp;" "&amp;"RES ADD TAX"</f>
        <v>2018 RES ADD TAX</v>
      </c>
      <c r="Q1" s="62" t="str">
        <f>'[3]CO CODE'!$E$1&amp;" "&amp;"FARM ADD TAX"</f>
        <v>2018 FARM ADD TAX</v>
      </c>
      <c r="R1" s="62" t="str">
        <f>'[3]CO CODE'!$E$1&amp;" "&amp;"COMM ADD TAX"</f>
        <v>2018 COMM ADD TAX</v>
      </c>
      <c r="S1" s="62" t="str">
        <f>'[3]CO CODE'!$E$1-1&amp;" "&amp;"RES.DEL TAX"</f>
        <v>2017 RES.DEL TAX</v>
      </c>
      <c r="T1" s="62" t="str">
        <f>'[3]CO CODE'!$E$1-1&amp;" "&amp;"FARM DEL TAX"</f>
        <v>2017 FARM DEL TAX</v>
      </c>
      <c r="U1" s="62" t="str">
        <f>'[3]CO CODE'!$E$1-1&amp;" "&amp;"COMM.DEL. TAX"</f>
        <v>2017 COMM.DEL. TAX</v>
      </c>
      <c r="V1" s="62" t="str">
        <f>'[3]CO CODE'!$E$1&amp;" "&amp;"RES ADD FAIR CASH"</f>
        <v>2018 RES ADD FAIR CASH</v>
      </c>
      <c r="W1" s="62" t="str">
        <f>'[3]CO CODE'!$E$1&amp;" "&amp;"FARM ADD FAIR CASH"</f>
        <v>2018 FARM ADD FAIR CASH</v>
      </c>
      <c r="X1" s="62" t="str">
        <f>'[3]CO CODE'!$E$1&amp;" "&amp;"COMM ADD FAIR CASH"</f>
        <v>2018 COMM ADD FAIR CASH</v>
      </c>
      <c r="Y1" s="62" t="str">
        <f>'[3]CO CODE'!$E$1-1&amp;" "&amp;"RES DEL FAIR CASH"</f>
        <v>2017 RES DEL FAIR CASH</v>
      </c>
      <c r="Z1" s="62" t="str">
        <f>'[3]CO CODE'!$E$1-1&amp;" "&amp;"FARM DEL FAIR CASH"</f>
        <v>2017 FARM DEL FAIR CASH</v>
      </c>
      <c r="AA1" s="62" t="str">
        <f>'[3]CO CODE'!$E$1-1&amp;" "&amp;"COMM DEL FAIR CASH"</f>
        <v>2017 COMM DEL FAIR CASH</v>
      </c>
      <c r="AB1" s="62" t="str">
        <f>'[3]CO CODE'!$E$1-1&amp;" "&amp;"AMT. REAL EXONERATIONS"</f>
        <v>2017 AMT. REAL EXONERATIONS</v>
      </c>
      <c r="AC1" s="62" t="str">
        <f>'[3]CO CODE'!$E$1-1&amp;" "&amp;"AMT. TANG. EXONERATIONS"</f>
        <v>2017 AMT. TANG. EXONERATIONS</v>
      </c>
      <c r="AD1" s="62" t="s">
        <v>14</v>
      </c>
      <c r="AE1" s="62" t="s">
        <v>15</v>
      </c>
      <c r="AF1" s="62" t="s">
        <v>16</v>
      </c>
      <c r="AG1" s="62" t="s">
        <v>17</v>
      </c>
      <c r="AH1" s="62" t="s">
        <v>18</v>
      </c>
      <c r="AI1" s="62" t="s">
        <v>19</v>
      </c>
      <c r="AJ1" s="62" t="str">
        <f>'[3]CO CODE'!$E$1&amp;" "&amp;"TOTAL UNMINED C0AL"</f>
        <v>2018 TOTAL UNMINED C0AL</v>
      </c>
      <c r="AK1" s="62" t="s">
        <v>21</v>
      </c>
      <c r="AL1" s="62" t="s">
        <v>22</v>
      </c>
      <c r="AM1" s="62" t="s">
        <v>23</v>
      </c>
      <c r="AN1" s="62" t="s">
        <v>24</v>
      </c>
      <c r="AO1" s="62" t="s">
        <v>25</v>
      </c>
      <c r="AP1" s="62" t="s">
        <v>26</v>
      </c>
      <c r="AQ1" s="62" t="s">
        <v>27</v>
      </c>
      <c r="AR1" s="62" t="s">
        <v>28</v>
      </c>
      <c r="AS1" s="62" t="s">
        <v>29</v>
      </c>
      <c r="AT1" s="62" t="s">
        <v>30</v>
      </c>
      <c r="AU1" s="62" t="s">
        <v>31</v>
      </c>
      <c r="AV1" s="62" t="s">
        <v>32</v>
      </c>
      <c r="AW1" s="62" t="s">
        <v>33</v>
      </c>
      <c r="AX1" s="62" t="s">
        <v>34</v>
      </c>
      <c r="AY1" s="62" t="s">
        <v>35</v>
      </c>
      <c r="AZ1" s="62" t="s">
        <v>36</v>
      </c>
      <c r="BA1" s="62" t="s">
        <v>37</v>
      </c>
      <c r="BB1" s="62" t="s">
        <v>38</v>
      </c>
      <c r="BC1" s="62" t="s">
        <v>39</v>
      </c>
      <c r="BD1" s="62" t="s">
        <v>40</v>
      </c>
      <c r="BE1" s="62" t="s">
        <v>41</v>
      </c>
      <c r="BF1" s="62" t="s">
        <v>42</v>
      </c>
      <c r="BG1" s="62" t="s">
        <v>336</v>
      </c>
      <c r="BH1" s="62" t="s">
        <v>43</v>
      </c>
      <c r="BI1" s="62" t="s">
        <v>44</v>
      </c>
      <c r="BJ1" s="62" t="s">
        <v>337</v>
      </c>
      <c r="BK1" s="62" t="s">
        <v>45</v>
      </c>
      <c r="BL1" s="62" t="s">
        <v>338</v>
      </c>
      <c r="BM1" s="62" t="s">
        <v>46</v>
      </c>
      <c r="BN1" s="62" t="s">
        <v>47</v>
      </c>
      <c r="BO1" s="62" t="s">
        <v>48</v>
      </c>
      <c r="BP1" s="76" t="s">
        <v>49</v>
      </c>
      <c r="BQ1" s="76" t="s">
        <v>50</v>
      </c>
      <c r="BR1" s="76" t="s">
        <v>51</v>
      </c>
      <c r="BS1" s="76"/>
      <c r="BT1" s="62" t="s">
        <v>52</v>
      </c>
      <c r="BU1" s="62" t="s">
        <v>53</v>
      </c>
      <c r="BV1" s="62" t="s">
        <v>54</v>
      </c>
      <c r="BW1" s="62" t="s">
        <v>55</v>
      </c>
      <c r="BX1" s="76" t="s">
        <v>326</v>
      </c>
      <c r="BY1" s="133" t="s">
        <v>327</v>
      </c>
      <c r="BZ1" s="133" t="s">
        <v>328</v>
      </c>
      <c r="CA1" s="133" t="s">
        <v>329</v>
      </c>
      <c r="CB1" s="133" t="s">
        <v>330</v>
      </c>
    </row>
    <row r="2" spans="1:80" x14ac:dyDescent="0.25">
      <c r="A2" s="79" t="s">
        <v>56</v>
      </c>
      <c r="B2" s="114">
        <v>305744850</v>
      </c>
      <c r="C2" s="114">
        <v>156713800</v>
      </c>
      <c r="D2" s="114">
        <v>117348190</v>
      </c>
      <c r="E2" s="114">
        <v>0</v>
      </c>
      <c r="F2" s="114">
        <v>43947600</v>
      </c>
      <c r="G2" s="114">
        <v>12943600</v>
      </c>
      <c r="H2" s="114">
        <v>21949300</v>
      </c>
      <c r="I2" s="114">
        <v>2631200</v>
      </c>
      <c r="J2" s="114">
        <v>0</v>
      </c>
      <c r="K2" s="114">
        <v>37600</v>
      </c>
      <c r="L2" s="114">
        <v>377203800</v>
      </c>
      <c r="M2" s="114">
        <v>56449225</v>
      </c>
      <c r="N2" s="114">
        <v>1865</v>
      </c>
      <c r="O2" s="114">
        <v>508</v>
      </c>
      <c r="P2" s="114">
        <v>4184800</v>
      </c>
      <c r="Q2" s="114">
        <v>4082000</v>
      </c>
      <c r="R2" s="114">
        <v>2107000</v>
      </c>
      <c r="S2" s="114">
        <v>372900</v>
      </c>
      <c r="T2" s="114">
        <v>176000</v>
      </c>
      <c r="U2" s="114">
        <v>75000</v>
      </c>
      <c r="V2" s="114">
        <v>4184800</v>
      </c>
      <c r="W2" s="114">
        <v>4015000</v>
      </c>
      <c r="X2" s="114">
        <v>2107000</v>
      </c>
      <c r="Y2" s="114">
        <v>372900</v>
      </c>
      <c r="Z2" s="114">
        <v>131000</v>
      </c>
      <c r="AA2" s="114">
        <v>75000</v>
      </c>
      <c r="AB2" s="114">
        <v>-2520400</v>
      </c>
      <c r="AC2" s="114">
        <v>-76455</v>
      </c>
      <c r="AD2" s="114">
        <v>109012</v>
      </c>
      <c r="AE2" s="114">
        <v>0</v>
      </c>
      <c r="AF2" s="114">
        <v>0</v>
      </c>
      <c r="AG2" s="114">
        <v>223616</v>
      </c>
      <c r="AH2" s="114">
        <v>1683327.87</v>
      </c>
      <c r="AI2" s="114">
        <v>329327.87</v>
      </c>
      <c r="AJ2" s="114">
        <v>0</v>
      </c>
      <c r="AK2" s="82">
        <v>108329924</v>
      </c>
      <c r="AL2" s="83">
        <v>3117311</v>
      </c>
      <c r="AM2" s="114">
        <v>759050</v>
      </c>
      <c r="AN2" s="114">
        <v>16877504</v>
      </c>
      <c r="AO2" s="114">
        <v>182698</v>
      </c>
      <c r="AP2" s="114">
        <v>11900065</v>
      </c>
      <c r="AQ2" s="114">
        <v>17822340</v>
      </c>
      <c r="AR2" s="114">
        <v>46248557</v>
      </c>
      <c r="AS2" s="114">
        <v>0</v>
      </c>
      <c r="AT2" s="114">
        <v>1029528</v>
      </c>
      <c r="AU2" s="114">
        <v>0</v>
      </c>
      <c r="AV2" s="114">
        <v>0</v>
      </c>
      <c r="AW2" s="114">
        <v>0</v>
      </c>
      <c r="AX2" s="114">
        <v>401042</v>
      </c>
      <c r="AY2" s="114">
        <v>53000</v>
      </c>
      <c r="BD2" s="82">
        <v>5544379.3100000005</v>
      </c>
      <c r="BE2" s="82">
        <v>2827633.45</v>
      </c>
      <c r="BF2" s="117">
        <v>0</v>
      </c>
      <c r="BG2" s="118">
        <v>0</v>
      </c>
      <c r="BH2" s="118">
        <v>0</v>
      </c>
      <c r="BI2" s="117">
        <v>25736892</v>
      </c>
      <c r="BJ2" s="117">
        <v>25736892</v>
      </c>
      <c r="BK2" s="117">
        <v>37155628.200000003</v>
      </c>
      <c r="BL2" s="117">
        <v>36782525.200000003</v>
      </c>
      <c r="BM2" s="117">
        <v>0</v>
      </c>
      <c r="BN2" s="117">
        <v>0</v>
      </c>
      <c r="BO2" s="119"/>
      <c r="BP2" s="86">
        <v>793496323.3900001</v>
      </c>
      <c r="BQ2" s="86">
        <v>616702037.74000001</v>
      </c>
      <c r="BR2" s="87">
        <v>272500</v>
      </c>
      <c r="BT2" s="114">
        <v>7961</v>
      </c>
      <c r="BU2" s="114">
        <v>4162</v>
      </c>
      <c r="BV2" s="114">
        <v>697</v>
      </c>
      <c r="BW2" s="114">
        <f t="shared" ref="BW2:BW4" si="0">SUM(BT2:BV2)</f>
        <v>12820</v>
      </c>
      <c r="BX2" s="86">
        <v>579806840</v>
      </c>
      <c r="BY2" s="82">
        <f t="shared" ref="BY2:BY33" si="1">AK2</f>
        <v>108329924</v>
      </c>
      <c r="BZ2" s="82">
        <f t="shared" ref="BZ2:BZ33" si="2">AL2</f>
        <v>3117311</v>
      </c>
      <c r="CA2" s="86">
        <f t="shared" ref="CA2:CA33" si="3">AN2+AO2+AQ2+AS2</f>
        <v>34882542</v>
      </c>
      <c r="CB2" s="86">
        <f>SUM(BX2:CA2)</f>
        <v>726136617</v>
      </c>
    </row>
    <row r="3" spans="1:80" x14ac:dyDescent="0.25">
      <c r="A3" s="91" t="s">
        <v>57</v>
      </c>
      <c r="B3" s="114">
        <v>479800647</v>
      </c>
      <c r="C3" s="114">
        <v>175167524</v>
      </c>
      <c r="D3" s="114">
        <v>123120841</v>
      </c>
      <c r="E3" s="114">
        <v>0</v>
      </c>
      <c r="F3" s="114">
        <v>47293306</v>
      </c>
      <c r="G3" s="114">
        <v>15188418</v>
      </c>
      <c r="H3" s="114">
        <v>18917015</v>
      </c>
      <c r="I3" s="114">
        <v>2585815</v>
      </c>
      <c r="J3" s="114">
        <v>75200</v>
      </c>
      <c r="K3" s="114">
        <v>0</v>
      </c>
      <c r="L3" s="114">
        <v>304259808</v>
      </c>
      <c r="M3" s="114">
        <v>120783491</v>
      </c>
      <c r="N3" s="114">
        <v>1844</v>
      </c>
      <c r="O3" s="114">
        <v>525</v>
      </c>
      <c r="P3" s="114">
        <v>14262341</v>
      </c>
      <c r="Q3" s="114">
        <v>5609820</v>
      </c>
      <c r="R3" s="114">
        <v>2859800</v>
      </c>
      <c r="S3" s="114">
        <v>4998472</v>
      </c>
      <c r="T3" s="114">
        <v>2184817</v>
      </c>
      <c r="U3" s="114">
        <v>3412521</v>
      </c>
      <c r="V3" s="114">
        <v>14262341</v>
      </c>
      <c r="W3" s="114">
        <v>6046545</v>
      </c>
      <c r="X3" s="114">
        <v>2859800</v>
      </c>
      <c r="Y3" s="114">
        <v>4998472</v>
      </c>
      <c r="Z3" s="114">
        <v>3650162</v>
      </c>
      <c r="AA3" s="114">
        <v>3412521</v>
      </c>
      <c r="AB3" s="114">
        <v>-1612637</v>
      </c>
      <c r="AC3" s="114">
        <v>-821668</v>
      </c>
      <c r="AD3" s="114">
        <v>187975</v>
      </c>
      <c r="AE3" s="114">
        <v>0</v>
      </c>
      <c r="AF3" s="114">
        <v>0</v>
      </c>
      <c r="AG3" s="114">
        <v>1193</v>
      </c>
      <c r="AH3" s="114">
        <v>343155.74</v>
      </c>
      <c r="AI3" s="114">
        <v>284663.93</v>
      </c>
      <c r="AJ3" s="121">
        <v>0</v>
      </c>
      <c r="AK3" s="82">
        <v>120489385</v>
      </c>
      <c r="AL3" s="83">
        <v>6508811</v>
      </c>
      <c r="AM3" s="114">
        <v>92500</v>
      </c>
      <c r="AN3" s="114">
        <v>21637907</v>
      </c>
      <c r="AO3" s="114">
        <v>2010532</v>
      </c>
      <c r="AP3" s="114">
        <v>136227016</v>
      </c>
      <c r="AQ3" s="114">
        <v>36922272</v>
      </c>
      <c r="AR3" s="114">
        <v>29552899</v>
      </c>
      <c r="AS3" s="114">
        <v>29494508</v>
      </c>
      <c r="AT3" s="114">
        <v>0</v>
      </c>
      <c r="AU3" s="114">
        <v>0</v>
      </c>
      <c r="AV3" s="114">
        <v>0</v>
      </c>
      <c r="AW3" s="114">
        <v>0</v>
      </c>
      <c r="AX3" s="114">
        <v>93136</v>
      </c>
      <c r="AY3" s="114">
        <v>0</v>
      </c>
      <c r="BD3" s="82">
        <v>6174062.9799999995</v>
      </c>
      <c r="BE3" s="82">
        <v>3148772.1199999996</v>
      </c>
      <c r="BF3" s="117">
        <v>0</v>
      </c>
      <c r="BG3" s="118">
        <v>0</v>
      </c>
      <c r="BH3" s="118">
        <v>0</v>
      </c>
      <c r="BI3" s="117">
        <v>21423832</v>
      </c>
      <c r="BJ3" s="117">
        <v>21423832</v>
      </c>
      <c r="BK3" s="117">
        <v>41278816.399999984</v>
      </c>
      <c r="BL3" s="117">
        <v>41232503.399999984</v>
      </c>
      <c r="BM3" s="117">
        <v>0</v>
      </c>
      <c r="BN3" s="117">
        <v>0</v>
      </c>
      <c r="BO3" s="119"/>
      <c r="BP3" s="86">
        <v>1032090846.1899999</v>
      </c>
      <c r="BQ3" s="86">
        <v>839287542.66999996</v>
      </c>
      <c r="BR3" s="87">
        <v>1298043</v>
      </c>
      <c r="BT3" s="114">
        <v>8664</v>
      </c>
      <c r="BU3" s="114">
        <v>3342</v>
      </c>
      <c r="BV3" s="114">
        <v>392</v>
      </c>
      <c r="BW3" s="114">
        <f t="shared" si="0"/>
        <v>12398</v>
      </c>
      <c r="BX3" s="86">
        <v>778089012</v>
      </c>
      <c r="BY3" s="82">
        <f t="shared" si="1"/>
        <v>120489385</v>
      </c>
      <c r="BZ3" s="82">
        <f t="shared" si="2"/>
        <v>6508811</v>
      </c>
      <c r="CA3" s="86">
        <f t="shared" si="3"/>
        <v>90065219</v>
      </c>
      <c r="CB3" s="86">
        <f t="shared" ref="CB3:CB66" si="4">SUM(BX3:CA3)</f>
        <v>995152427</v>
      </c>
    </row>
    <row r="4" spans="1:80" x14ac:dyDescent="0.25">
      <c r="A4" s="91" t="s">
        <v>58</v>
      </c>
      <c r="B4" s="114">
        <v>900020718</v>
      </c>
      <c r="C4" s="114">
        <v>208710445</v>
      </c>
      <c r="D4" s="114">
        <v>237694911</v>
      </c>
      <c r="E4" s="114">
        <v>0</v>
      </c>
      <c r="F4" s="114">
        <v>63324600</v>
      </c>
      <c r="G4" s="114">
        <v>7503700</v>
      </c>
      <c r="H4" s="114">
        <v>12319600</v>
      </c>
      <c r="I4" s="114">
        <v>1275800</v>
      </c>
      <c r="J4" s="114">
        <v>263200</v>
      </c>
      <c r="K4" s="114">
        <v>0</v>
      </c>
      <c r="L4" s="114">
        <v>167238814</v>
      </c>
      <c r="M4" s="114">
        <v>136311100</v>
      </c>
      <c r="N4" s="114">
        <v>2049</v>
      </c>
      <c r="O4" s="114">
        <v>247</v>
      </c>
      <c r="P4" s="114">
        <v>13969750</v>
      </c>
      <c r="Q4" s="114">
        <v>2652000</v>
      </c>
      <c r="R4" s="114">
        <v>430000</v>
      </c>
      <c r="S4" s="114">
        <v>2413822</v>
      </c>
      <c r="T4" s="114">
        <v>220500</v>
      </c>
      <c r="U4" s="114">
        <v>1045584</v>
      </c>
      <c r="V4" s="114">
        <v>13969750</v>
      </c>
      <c r="W4" s="114">
        <v>2789000</v>
      </c>
      <c r="X4" s="114">
        <v>430000</v>
      </c>
      <c r="Y4" s="114">
        <v>2413822</v>
      </c>
      <c r="Z4" s="114">
        <v>695560</v>
      </c>
      <c r="AA4" s="114">
        <v>1045584</v>
      </c>
      <c r="AB4" s="114">
        <v>-4068400</v>
      </c>
      <c r="AC4" s="114">
        <v>-7582705</v>
      </c>
      <c r="AD4" s="114">
        <v>0</v>
      </c>
      <c r="AE4" s="114">
        <v>0</v>
      </c>
      <c r="AF4" s="114">
        <v>0</v>
      </c>
      <c r="AG4" s="114">
        <v>110544</v>
      </c>
      <c r="AH4" s="114">
        <v>0</v>
      </c>
      <c r="AI4" s="114">
        <v>65893.440000000002</v>
      </c>
      <c r="AJ4" s="121">
        <v>0</v>
      </c>
      <c r="AK4" s="82">
        <v>172175526</v>
      </c>
      <c r="AL4" s="83">
        <v>4633402</v>
      </c>
      <c r="AM4" s="114">
        <v>0</v>
      </c>
      <c r="AN4" s="114">
        <v>22844257</v>
      </c>
      <c r="AO4" s="114">
        <v>5407459</v>
      </c>
      <c r="AP4" s="114">
        <v>144669462</v>
      </c>
      <c r="AQ4" s="114">
        <v>38743737</v>
      </c>
      <c r="AR4" s="114">
        <v>33951381</v>
      </c>
      <c r="AS4" s="114">
        <v>42802143</v>
      </c>
      <c r="AT4" s="114">
        <v>175563</v>
      </c>
      <c r="AU4" s="114">
        <v>0</v>
      </c>
      <c r="AV4" s="114">
        <v>0</v>
      </c>
      <c r="AW4" s="114">
        <v>11948403</v>
      </c>
      <c r="AX4" s="114">
        <v>7592</v>
      </c>
      <c r="AY4" s="114">
        <v>32500</v>
      </c>
      <c r="BD4" s="82">
        <v>8811252.2200000007</v>
      </c>
      <c r="BE4" s="82">
        <v>4493738.6300000008</v>
      </c>
      <c r="BF4" s="117">
        <v>0</v>
      </c>
      <c r="BG4" s="118">
        <v>1802510</v>
      </c>
      <c r="BH4" s="118">
        <v>3605021</v>
      </c>
      <c r="BI4" s="117">
        <v>19088454</v>
      </c>
      <c r="BJ4" s="117">
        <v>19088454</v>
      </c>
      <c r="BK4" s="117">
        <v>37231007.600000009</v>
      </c>
      <c r="BL4" s="117">
        <v>35497000.600000001</v>
      </c>
      <c r="BM4" s="117">
        <v>127161711</v>
      </c>
      <c r="BN4" s="117">
        <v>0</v>
      </c>
      <c r="BO4" s="119"/>
      <c r="BP4" s="86">
        <v>1778339762.6700001</v>
      </c>
      <c r="BQ4" s="86">
        <v>1413487420.4400001</v>
      </c>
      <c r="BR4" s="87">
        <v>973848</v>
      </c>
      <c r="BT4" s="114">
        <v>9309</v>
      </c>
      <c r="BU4" s="114">
        <v>2086</v>
      </c>
      <c r="BV4" s="114">
        <v>504</v>
      </c>
      <c r="BW4" s="114">
        <f t="shared" si="0"/>
        <v>11899</v>
      </c>
      <c r="BX4" s="86">
        <v>1346426074</v>
      </c>
      <c r="BY4" s="82">
        <f t="shared" si="1"/>
        <v>172175526</v>
      </c>
      <c r="BZ4" s="82">
        <f t="shared" si="2"/>
        <v>4633402</v>
      </c>
      <c r="CA4" s="86">
        <f t="shared" si="3"/>
        <v>109797596</v>
      </c>
      <c r="CB4" s="86">
        <f t="shared" si="4"/>
        <v>1633032598</v>
      </c>
    </row>
    <row r="5" spans="1:80" x14ac:dyDescent="0.25">
      <c r="A5" s="91" t="s">
        <v>59</v>
      </c>
      <c r="B5" s="114">
        <v>176717713</v>
      </c>
      <c r="C5" s="114">
        <v>152104289</v>
      </c>
      <c r="D5" s="114">
        <v>66731234</v>
      </c>
      <c r="E5" s="114">
        <v>0</v>
      </c>
      <c r="F5" s="114">
        <v>25832480</v>
      </c>
      <c r="G5" s="114">
        <v>6526185</v>
      </c>
      <c r="H5" s="114">
        <v>6844470</v>
      </c>
      <c r="I5" s="114">
        <v>902400</v>
      </c>
      <c r="J5" s="114">
        <v>15000</v>
      </c>
      <c r="K5" s="114">
        <v>0</v>
      </c>
      <c r="L5" s="114">
        <v>290937852</v>
      </c>
      <c r="M5" s="114">
        <v>46765643</v>
      </c>
      <c r="N5" s="114">
        <v>910</v>
      </c>
      <c r="O5" s="114">
        <v>218</v>
      </c>
      <c r="P5" s="114">
        <v>2282800</v>
      </c>
      <c r="Q5" s="114">
        <v>1895075</v>
      </c>
      <c r="R5" s="114">
        <v>1190467</v>
      </c>
      <c r="S5" s="114">
        <v>548279</v>
      </c>
      <c r="T5" s="114">
        <v>128293</v>
      </c>
      <c r="U5" s="114">
        <v>3244325</v>
      </c>
      <c r="V5" s="114">
        <v>2282800</v>
      </c>
      <c r="W5" s="114">
        <v>2213820</v>
      </c>
      <c r="X5" s="114">
        <v>1190467</v>
      </c>
      <c r="Y5" s="114">
        <v>548279</v>
      </c>
      <c r="Z5" s="114">
        <v>119002</v>
      </c>
      <c r="AA5" s="114">
        <v>3244325</v>
      </c>
      <c r="AB5" s="114">
        <v>-2166523</v>
      </c>
      <c r="AC5" s="114">
        <v>-952197</v>
      </c>
      <c r="AD5" s="114">
        <v>32734</v>
      </c>
      <c r="AE5" s="114">
        <v>4044</v>
      </c>
      <c r="AF5" s="114">
        <v>2152</v>
      </c>
      <c r="AG5" s="114">
        <v>142076</v>
      </c>
      <c r="AH5" s="114">
        <v>0</v>
      </c>
      <c r="AI5" s="114">
        <v>10139.34</v>
      </c>
      <c r="AJ5" s="121">
        <v>0</v>
      </c>
      <c r="AK5" s="82">
        <v>73763507</v>
      </c>
      <c r="AL5" s="83">
        <v>2687777</v>
      </c>
      <c r="AM5" s="114">
        <v>0</v>
      </c>
      <c r="AN5" s="114">
        <v>26700445</v>
      </c>
      <c r="AO5" s="114">
        <v>5113978</v>
      </c>
      <c r="AP5" s="114">
        <v>144550602</v>
      </c>
      <c r="AQ5" s="114">
        <v>10668564</v>
      </c>
      <c r="AR5" s="114">
        <v>3237289</v>
      </c>
      <c r="AS5" s="114">
        <v>1033221</v>
      </c>
      <c r="AT5" s="114">
        <v>212405</v>
      </c>
      <c r="AU5" s="114">
        <v>0</v>
      </c>
      <c r="AV5" s="114">
        <v>0</v>
      </c>
      <c r="AW5" s="114">
        <v>7002661</v>
      </c>
      <c r="AX5" s="114">
        <v>0</v>
      </c>
      <c r="AY5" s="114">
        <v>0</v>
      </c>
      <c r="BD5" s="82">
        <v>3776619.8000000003</v>
      </c>
      <c r="BE5" s="82">
        <v>1926076.1</v>
      </c>
      <c r="BF5" s="117">
        <v>29856995</v>
      </c>
      <c r="BG5" s="118">
        <v>1072209</v>
      </c>
      <c r="BH5" s="118">
        <v>2144417</v>
      </c>
      <c r="BI5" s="117">
        <v>16692939</v>
      </c>
      <c r="BJ5" s="117">
        <v>16692939</v>
      </c>
      <c r="BK5" s="117">
        <v>54836644.000000015</v>
      </c>
      <c r="BL5" s="117">
        <v>47736283.000000015</v>
      </c>
      <c r="BM5" s="117">
        <v>0</v>
      </c>
      <c r="BN5" s="117">
        <v>0</v>
      </c>
      <c r="BO5" s="119"/>
      <c r="BP5" s="86">
        <v>581925153.44000006</v>
      </c>
      <c r="BQ5" s="86">
        <v>438046362.33999997</v>
      </c>
      <c r="BR5" s="87">
        <v>2187473</v>
      </c>
      <c r="BT5" s="114">
        <v>3804</v>
      </c>
      <c r="BU5" s="114">
        <v>2092</v>
      </c>
      <c r="BV5" s="114">
        <v>432</v>
      </c>
      <c r="BW5" s="114">
        <f>SUM(BT5:BV5)</f>
        <v>6328</v>
      </c>
      <c r="BX5" s="86">
        <v>395553236</v>
      </c>
      <c r="BY5" s="82">
        <f t="shared" si="1"/>
        <v>73763507</v>
      </c>
      <c r="BZ5" s="82">
        <f t="shared" si="2"/>
        <v>2687777</v>
      </c>
      <c r="CA5" s="86">
        <f t="shared" si="3"/>
        <v>43516208</v>
      </c>
      <c r="CB5" s="86">
        <f t="shared" si="4"/>
        <v>515520728</v>
      </c>
    </row>
    <row r="6" spans="1:80" x14ac:dyDescent="0.25">
      <c r="A6" s="91" t="s">
        <v>60</v>
      </c>
      <c r="B6" s="114">
        <v>1143526612</v>
      </c>
      <c r="C6" s="114">
        <v>310989491</v>
      </c>
      <c r="D6" s="114">
        <v>489285542</v>
      </c>
      <c r="E6" s="114">
        <v>48500</v>
      </c>
      <c r="F6" s="114">
        <v>121096215</v>
      </c>
      <c r="G6" s="114">
        <v>17868179</v>
      </c>
      <c r="H6" s="114">
        <v>28284805</v>
      </c>
      <c r="I6" s="114">
        <v>1618600</v>
      </c>
      <c r="J6" s="114">
        <v>263200</v>
      </c>
      <c r="K6" s="114">
        <v>37600</v>
      </c>
      <c r="L6" s="114">
        <v>474022566</v>
      </c>
      <c r="M6" s="114">
        <v>233097400</v>
      </c>
      <c r="N6" s="114">
        <v>4132</v>
      </c>
      <c r="O6" s="114">
        <v>595</v>
      </c>
      <c r="P6" s="114">
        <v>22486300</v>
      </c>
      <c r="Q6" s="114">
        <v>7299500</v>
      </c>
      <c r="R6" s="114">
        <v>8972300</v>
      </c>
      <c r="S6" s="114">
        <v>6877050</v>
      </c>
      <c r="T6" s="114">
        <v>2620100</v>
      </c>
      <c r="U6" s="114">
        <v>14089100</v>
      </c>
      <c r="V6" s="114">
        <v>22486300</v>
      </c>
      <c r="W6" s="114">
        <v>10314000</v>
      </c>
      <c r="X6" s="114">
        <v>8972300</v>
      </c>
      <c r="Y6" s="114">
        <v>6877050</v>
      </c>
      <c r="Z6" s="114">
        <v>3722908</v>
      </c>
      <c r="AA6" s="114">
        <v>14089100</v>
      </c>
      <c r="AB6" s="114">
        <v>-3279000</v>
      </c>
      <c r="AC6" s="114">
        <v>-163141</v>
      </c>
      <c r="AD6" s="114">
        <v>47</v>
      </c>
      <c r="AG6" s="114">
        <v>268158</v>
      </c>
      <c r="AH6" s="114">
        <v>146540.98000000001</v>
      </c>
      <c r="AI6" s="121">
        <v>430172.13</v>
      </c>
      <c r="AJ6" s="121">
        <v>0</v>
      </c>
      <c r="AK6" s="82">
        <v>294418930</v>
      </c>
      <c r="AL6" s="83">
        <v>12014456</v>
      </c>
      <c r="AM6" s="114">
        <v>2564555</v>
      </c>
      <c r="AN6" s="114">
        <v>86387484</v>
      </c>
      <c r="AO6" s="114">
        <v>20106717</v>
      </c>
      <c r="AP6" s="114">
        <v>365366164</v>
      </c>
      <c r="AQ6" s="114">
        <v>128073286</v>
      </c>
      <c r="AR6" s="114">
        <v>72544718</v>
      </c>
      <c r="AS6" s="114">
        <v>103990124</v>
      </c>
      <c r="AT6" s="114">
        <v>1576241</v>
      </c>
      <c r="AU6" s="114">
        <v>0</v>
      </c>
      <c r="AV6" s="114">
        <v>545252</v>
      </c>
      <c r="AW6" s="114">
        <v>50085</v>
      </c>
      <c r="AX6" s="114">
        <v>11057618</v>
      </c>
      <c r="AY6" s="114">
        <v>1881720</v>
      </c>
      <c r="BD6" s="82">
        <v>15077074.290000001</v>
      </c>
      <c r="BE6" s="82">
        <v>7689307.8900000006</v>
      </c>
      <c r="BF6" s="117">
        <v>0</v>
      </c>
      <c r="BG6" s="118">
        <v>2139169</v>
      </c>
      <c r="BH6" s="118">
        <v>4278338</v>
      </c>
      <c r="BI6" s="117">
        <v>38510933</v>
      </c>
      <c r="BJ6" s="117">
        <v>38127618</v>
      </c>
      <c r="BK6" s="117">
        <v>90410815.599999994</v>
      </c>
      <c r="BL6" s="117">
        <v>88184969.599999994</v>
      </c>
      <c r="BM6" s="117">
        <v>0</v>
      </c>
      <c r="BN6" s="117">
        <v>15200284</v>
      </c>
      <c r="BO6" s="119"/>
      <c r="BP6" s="86">
        <v>2636720579.5999999</v>
      </c>
      <c r="BQ6" s="86">
        <v>2178945845.1100001</v>
      </c>
      <c r="BR6" s="87">
        <v>3933222</v>
      </c>
      <c r="BT6" s="114">
        <v>17651</v>
      </c>
      <c r="BU6" s="114">
        <v>4646</v>
      </c>
      <c r="BV6" s="114">
        <v>1427</v>
      </c>
      <c r="BW6" s="114">
        <f t="shared" ref="BW6:BW16" si="5">SUM(BT6:BV6)</f>
        <v>23724</v>
      </c>
      <c r="BX6" s="86">
        <v>1943801645</v>
      </c>
      <c r="BY6" s="82">
        <f t="shared" si="1"/>
        <v>294418930</v>
      </c>
      <c r="BZ6" s="82">
        <f t="shared" si="2"/>
        <v>12014456</v>
      </c>
      <c r="CA6" s="86">
        <f t="shared" si="3"/>
        <v>338557611</v>
      </c>
      <c r="CB6" s="86">
        <f t="shared" si="4"/>
        <v>2588792642</v>
      </c>
    </row>
    <row r="7" spans="1:80" x14ac:dyDescent="0.25">
      <c r="A7" s="91" t="s">
        <v>61</v>
      </c>
      <c r="B7" s="114">
        <v>170779930</v>
      </c>
      <c r="C7" s="114">
        <v>85361100</v>
      </c>
      <c r="D7" s="114">
        <v>43872460</v>
      </c>
      <c r="E7" s="114">
        <v>5844502</v>
      </c>
      <c r="F7" s="114">
        <v>29901020</v>
      </c>
      <c r="G7" s="114">
        <v>13315200</v>
      </c>
      <c r="H7" s="114">
        <v>9276150</v>
      </c>
      <c r="I7" s="114">
        <v>2524000</v>
      </c>
      <c r="J7" s="114">
        <v>0</v>
      </c>
      <c r="K7" s="114">
        <v>37600</v>
      </c>
      <c r="L7" s="114">
        <v>161115286</v>
      </c>
      <c r="M7" s="114">
        <v>55448233</v>
      </c>
      <c r="N7" s="114">
        <v>1116</v>
      </c>
      <c r="O7" s="114">
        <v>497</v>
      </c>
      <c r="P7" s="114">
        <v>2048400</v>
      </c>
      <c r="Q7" s="114">
        <v>1123900</v>
      </c>
      <c r="R7" s="114">
        <v>2025834</v>
      </c>
      <c r="S7" s="114">
        <v>943028</v>
      </c>
      <c r="T7" s="114">
        <v>549100</v>
      </c>
      <c r="U7" s="114">
        <v>163000</v>
      </c>
      <c r="V7" s="114">
        <v>2048400</v>
      </c>
      <c r="W7" s="114">
        <v>1587700</v>
      </c>
      <c r="X7" s="114">
        <v>2025834</v>
      </c>
      <c r="Y7" s="114">
        <v>943028</v>
      </c>
      <c r="Z7" s="114">
        <v>688600</v>
      </c>
      <c r="AA7" s="114">
        <v>163000</v>
      </c>
      <c r="AB7" s="114">
        <v>-2328678</v>
      </c>
      <c r="AC7" s="114">
        <v>0</v>
      </c>
      <c r="AD7" s="114">
        <v>133</v>
      </c>
      <c r="AE7" s="114">
        <v>10188</v>
      </c>
      <c r="AF7" s="114">
        <v>11453900</v>
      </c>
      <c r="AG7" s="114">
        <v>156287</v>
      </c>
      <c r="AH7" s="114">
        <v>0</v>
      </c>
      <c r="AI7" s="121">
        <v>0</v>
      </c>
      <c r="AJ7" s="121">
        <v>0</v>
      </c>
      <c r="AK7" s="82">
        <v>69160876</v>
      </c>
      <c r="AL7" s="83">
        <v>1429397</v>
      </c>
      <c r="AM7" s="114">
        <v>0</v>
      </c>
      <c r="AN7" s="114">
        <v>14678930</v>
      </c>
      <c r="AO7" s="114">
        <v>1452343</v>
      </c>
      <c r="AP7" s="114">
        <v>20384627</v>
      </c>
      <c r="AQ7" s="114">
        <v>4258393</v>
      </c>
      <c r="AR7" s="114">
        <v>6028198</v>
      </c>
      <c r="AS7" s="114">
        <v>5977996</v>
      </c>
      <c r="AT7" s="114">
        <v>707823</v>
      </c>
      <c r="AU7" s="114">
        <v>0</v>
      </c>
      <c r="AV7" s="114">
        <v>0</v>
      </c>
      <c r="AW7" s="114">
        <v>2546827</v>
      </c>
      <c r="AX7" s="114">
        <v>1506</v>
      </c>
      <c r="AY7" s="114">
        <v>57000</v>
      </c>
      <c r="BD7" s="82">
        <v>3538331.67</v>
      </c>
      <c r="BE7" s="82">
        <v>1804549.15</v>
      </c>
      <c r="BF7" s="117">
        <v>0</v>
      </c>
      <c r="BG7" s="118">
        <v>0</v>
      </c>
      <c r="BH7" s="118">
        <v>0</v>
      </c>
      <c r="BI7" s="117">
        <v>34549949</v>
      </c>
      <c r="BJ7" s="117">
        <v>34549949</v>
      </c>
      <c r="BK7" s="117">
        <v>117131323.80000001</v>
      </c>
      <c r="BL7" s="117">
        <v>117121523.80000001</v>
      </c>
      <c r="BM7" s="117">
        <v>0</v>
      </c>
      <c r="BN7" s="117">
        <v>0</v>
      </c>
      <c r="BO7" s="119"/>
      <c r="BP7" s="86">
        <v>544469450.95000005</v>
      </c>
      <c r="BQ7" s="86">
        <v>320403156</v>
      </c>
      <c r="BR7" s="87">
        <v>833500</v>
      </c>
      <c r="BT7" s="114">
        <v>4712</v>
      </c>
      <c r="BU7" s="114">
        <v>1989</v>
      </c>
      <c r="BV7" s="114">
        <v>282</v>
      </c>
      <c r="BW7" s="114">
        <f t="shared" si="5"/>
        <v>6983</v>
      </c>
      <c r="BX7" s="86">
        <v>300013490</v>
      </c>
      <c r="BY7" s="82">
        <f t="shared" si="1"/>
        <v>69160876</v>
      </c>
      <c r="BZ7" s="82">
        <f t="shared" si="2"/>
        <v>1429397</v>
      </c>
      <c r="CA7" s="86">
        <f t="shared" si="3"/>
        <v>26367662</v>
      </c>
      <c r="CB7" s="86">
        <f t="shared" si="4"/>
        <v>396971425</v>
      </c>
    </row>
    <row r="8" spans="1:80" x14ac:dyDescent="0.25">
      <c r="A8" s="91" t="s">
        <v>62</v>
      </c>
      <c r="B8" s="114">
        <v>438260500</v>
      </c>
      <c r="C8" s="114">
        <v>28068300</v>
      </c>
      <c r="D8" s="114">
        <v>193156206</v>
      </c>
      <c r="E8" s="114">
        <v>0</v>
      </c>
      <c r="F8" s="114">
        <v>77516300</v>
      </c>
      <c r="G8" s="114">
        <v>22860100</v>
      </c>
      <c r="H8" s="114">
        <v>4606800</v>
      </c>
      <c r="I8" s="114">
        <v>876800</v>
      </c>
      <c r="J8" s="114">
        <v>75200</v>
      </c>
      <c r="K8" s="114">
        <v>0</v>
      </c>
      <c r="L8" s="114">
        <v>37336900</v>
      </c>
      <c r="M8" s="114">
        <v>0</v>
      </c>
      <c r="N8" s="114">
        <v>2605</v>
      </c>
      <c r="O8" s="114">
        <v>805</v>
      </c>
      <c r="P8" s="114">
        <v>1828300</v>
      </c>
      <c r="Q8" s="114">
        <v>0</v>
      </c>
      <c r="R8" s="114">
        <v>4828400</v>
      </c>
      <c r="S8" s="114">
        <v>6523300</v>
      </c>
      <c r="T8" s="114">
        <v>161600</v>
      </c>
      <c r="U8" s="114">
        <v>4717900</v>
      </c>
      <c r="V8" s="114">
        <v>1828300</v>
      </c>
      <c r="W8" s="114">
        <v>0</v>
      </c>
      <c r="X8" s="114">
        <v>4828400</v>
      </c>
      <c r="Y8" s="114">
        <v>6523300</v>
      </c>
      <c r="Z8" s="114">
        <v>174100</v>
      </c>
      <c r="AA8" s="114">
        <v>4717900</v>
      </c>
      <c r="AB8" s="114">
        <v>-5191040</v>
      </c>
      <c r="AC8" s="114">
        <v>-1709535</v>
      </c>
      <c r="AD8" s="114">
        <v>155507</v>
      </c>
      <c r="AE8" s="114">
        <v>0</v>
      </c>
      <c r="AF8" s="114">
        <v>0</v>
      </c>
      <c r="AG8" s="114">
        <v>0</v>
      </c>
      <c r="AH8" s="114">
        <v>8274385.25</v>
      </c>
      <c r="AI8" s="121">
        <v>10417663.93</v>
      </c>
      <c r="AJ8" s="121">
        <v>15972975.41</v>
      </c>
      <c r="AK8" s="82">
        <v>126128232</v>
      </c>
      <c r="AL8" s="83">
        <v>946419</v>
      </c>
      <c r="AM8" s="114">
        <v>0</v>
      </c>
      <c r="AN8" s="114">
        <v>40666141</v>
      </c>
      <c r="AO8" s="114">
        <v>4594891</v>
      </c>
      <c r="AP8" s="114">
        <v>37694860</v>
      </c>
      <c r="AQ8" s="114">
        <v>40531711</v>
      </c>
      <c r="AR8" s="114">
        <v>19025473</v>
      </c>
      <c r="AS8" s="114">
        <v>8639</v>
      </c>
      <c r="AT8" s="114">
        <v>0</v>
      </c>
      <c r="AU8" s="114">
        <v>0</v>
      </c>
      <c r="AV8" s="114">
        <v>0</v>
      </c>
      <c r="AW8" s="114">
        <v>0</v>
      </c>
      <c r="AX8" s="114">
        <v>26560</v>
      </c>
      <c r="AY8" s="114">
        <v>134000</v>
      </c>
      <c r="BD8" s="82">
        <v>6448816.3099999996</v>
      </c>
      <c r="BE8" s="82">
        <v>3288896.32</v>
      </c>
      <c r="BF8" s="117">
        <v>0</v>
      </c>
      <c r="BG8" s="118">
        <v>8672894</v>
      </c>
      <c r="BH8" s="118">
        <v>17345788</v>
      </c>
      <c r="BI8" s="117">
        <v>57200111</v>
      </c>
      <c r="BJ8" s="117">
        <v>57200111</v>
      </c>
      <c r="BK8" s="117">
        <v>83713326.999999985</v>
      </c>
      <c r="BL8" s="117">
        <v>78254551.999999985</v>
      </c>
      <c r="BM8" s="117">
        <v>0</v>
      </c>
      <c r="BN8" s="117">
        <v>0</v>
      </c>
      <c r="BO8" s="119"/>
      <c r="BP8" s="86">
        <v>1054433877.91</v>
      </c>
      <c r="BQ8" s="86">
        <v>779942773.58999991</v>
      </c>
      <c r="BR8" s="87">
        <v>2466300</v>
      </c>
      <c r="BT8" s="114">
        <v>14808</v>
      </c>
      <c r="BU8" s="114">
        <v>1106</v>
      </c>
      <c r="BV8" s="114">
        <v>658</v>
      </c>
      <c r="BW8" s="114">
        <f t="shared" si="5"/>
        <v>16572</v>
      </c>
      <c r="BX8" s="86">
        <v>659485006</v>
      </c>
      <c r="BY8" s="82">
        <f t="shared" si="1"/>
        <v>126128232</v>
      </c>
      <c r="BZ8" s="82">
        <f t="shared" si="2"/>
        <v>946419</v>
      </c>
      <c r="CA8" s="86">
        <f t="shared" si="3"/>
        <v>85801382</v>
      </c>
      <c r="CB8" s="86">
        <f t="shared" si="4"/>
        <v>872361039</v>
      </c>
    </row>
    <row r="9" spans="1:80" x14ac:dyDescent="0.25">
      <c r="A9" s="91" t="s">
        <v>63</v>
      </c>
      <c r="B9" s="114">
        <v>6843993827</v>
      </c>
      <c r="C9" s="114">
        <v>289429533</v>
      </c>
      <c r="D9" s="114">
        <v>4419379527</v>
      </c>
      <c r="E9" s="114">
        <v>96152942</v>
      </c>
      <c r="F9" s="114">
        <v>296029480</v>
      </c>
      <c r="G9" s="114">
        <v>22262750</v>
      </c>
      <c r="H9" s="114">
        <v>16455860</v>
      </c>
      <c r="I9" s="114">
        <v>676800</v>
      </c>
      <c r="J9" s="114">
        <v>451200</v>
      </c>
      <c r="K9" s="114">
        <v>0</v>
      </c>
      <c r="L9" s="114">
        <v>764681577</v>
      </c>
      <c r="M9" s="114">
        <v>0</v>
      </c>
      <c r="N9" s="114">
        <v>8444</v>
      </c>
      <c r="O9" s="114">
        <v>634</v>
      </c>
      <c r="P9" s="114">
        <v>156102327</v>
      </c>
      <c r="Q9" s="114">
        <v>7672990</v>
      </c>
      <c r="R9" s="114">
        <v>181947930</v>
      </c>
      <c r="S9" s="114">
        <v>11863268</v>
      </c>
      <c r="T9" s="114">
        <v>7911040</v>
      </c>
      <c r="U9" s="114">
        <v>48764610</v>
      </c>
      <c r="V9" s="114">
        <v>156102327</v>
      </c>
      <c r="W9" s="114">
        <v>9475320</v>
      </c>
      <c r="X9" s="114">
        <v>181947930</v>
      </c>
      <c r="Y9" s="114">
        <v>11863268</v>
      </c>
      <c r="Z9" s="114">
        <v>30037008</v>
      </c>
      <c r="AA9" s="114">
        <v>48764886</v>
      </c>
      <c r="AB9" s="114">
        <v>38702810</v>
      </c>
      <c r="AC9" s="114">
        <v>-19957069</v>
      </c>
      <c r="AD9" s="114">
        <v>0</v>
      </c>
      <c r="AE9" s="114">
        <v>0</v>
      </c>
      <c r="AF9" s="114">
        <v>0</v>
      </c>
      <c r="AG9" s="114">
        <v>0</v>
      </c>
      <c r="AH9" s="114">
        <v>0</v>
      </c>
      <c r="AI9" s="121">
        <v>201229.51</v>
      </c>
      <c r="AJ9" s="121">
        <v>0</v>
      </c>
      <c r="AK9" s="82">
        <v>1131380290</v>
      </c>
      <c r="AL9" s="83">
        <v>19002103</v>
      </c>
      <c r="AM9" s="114">
        <v>44200</v>
      </c>
      <c r="AN9" s="114">
        <v>833549474</v>
      </c>
      <c r="AO9" s="114">
        <v>51108104</v>
      </c>
      <c r="AP9" s="114">
        <v>1195519683</v>
      </c>
      <c r="AQ9" s="114">
        <v>769078946</v>
      </c>
      <c r="AR9" s="114">
        <v>499136084</v>
      </c>
      <c r="AS9" s="114">
        <v>1547750186</v>
      </c>
      <c r="AT9" s="114">
        <f>1832063+683643062</f>
        <v>685475125</v>
      </c>
      <c r="AU9" s="114">
        <v>0</v>
      </c>
      <c r="AV9" s="114">
        <v>149437</v>
      </c>
      <c r="AW9" s="114">
        <v>11904840</v>
      </c>
      <c r="AX9" s="114">
        <v>8305141</v>
      </c>
      <c r="AY9" s="114">
        <v>27800401</v>
      </c>
      <c r="BD9" s="82">
        <v>57871821.959999993</v>
      </c>
      <c r="BE9" s="82">
        <v>29514629.190000001</v>
      </c>
      <c r="BF9" s="117">
        <v>39809326</v>
      </c>
      <c r="BG9" s="118">
        <v>1303896</v>
      </c>
      <c r="BH9" s="118">
        <v>2607792</v>
      </c>
      <c r="BI9" s="117">
        <v>144980538</v>
      </c>
      <c r="BJ9" s="117">
        <v>144980538</v>
      </c>
      <c r="BK9" s="117">
        <v>877679996.99999988</v>
      </c>
      <c r="BL9" s="117">
        <v>540342824</v>
      </c>
      <c r="BM9" s="117">
        <v>240524</v>
      </c>
      <c r="BN9" s="117">
        <v>0</v>
      </c>
      <c r="BO9" s="119"/>
      <c r="BP9" s="86">
        <v>15073505444.700001</v>
      </c>
      <c r="BQ9" s="86">
        <v>13206740640.51</v>
      </c>
      <c r="BR9" s="87">
        <v>4524670</v>
      </c>
      <c r="BT9" s="114">
        <v>42268</v>
      </c>
      <c r="BU9" s="114">
        <v>2519</v>
      </c>
      <c r="BV9" s="114">
        <v>2648</v>
      </c>
      <c r="BW9" s="114">
        <f t="shared" si="5"/>
        <v>47435</v>
      </c>
      <c r="BX9" s="86">
        <v>11552802887</v>
      </c>
      <c r="BY9" s="82">
        <f t="shared" si="1"/>
        <v>1131380290</v>
      </c>
      <c r="BZ9" s="82">
        <f t="shared" si="2"/>
        <v>19002103</v>
      </c>
      <c r="CA9" s="86">
        <f t="shared" si="3"/>
        <v>3201486710</v>
      </c>
      <c r="CB9" s="86">
        <f t="shared" si="4"/>
        <v>15904671990</v>
      </c>
    </row>
    <row r="10" spans="1:80" x14ac:dyDescent="0.25">
      <c r="A10" s="91" t="s">
        <v>64</v>
      </c>
      <c r="B10" s="114">
        <v>604568177</v>
      </c>
      <c r="C10" s="114">
        <v>338869436</v>
      </c>
      <c r="D10" s="114">
        <v>183682730</v>
      </c>
      <c r="E10" s="114">
        <v>0</v>
      </c>
      <c r="F10" s="114">
        <v>51326390</v>
      </c>
      <c r="G10" s="114">
        <v>9140700</v>
      </c>
      <c r="H10" s="114">
        <v>12126852</v>
      </c>
      <c r="I10" s="114">
        <v>1042600</v>
      </c>
      <c r="J10" s="114">
        <v>96200</v>
      </c>
      <c r="K10" s="114">
        <v>0</v>
      </c>
      <c r="L10" s="114">
        <v>838237984</v>
      </c>
      <c r="M10" s="114">
        <v>206867270</v>
      </c>
      <c r="N10" s="114">
        <v>1711</v>
      </c>
      <c r="O10" s="114">
        <v>279</v>
      </c>
      <c r="P10" s="114">
        <v>6958791</v>
      </c>
      <c r="Q10" s="114">
        <v>3367073</v>
      </c>
      <c r="R10" s="114">
        <v>2937875</v>
      </c>
      <c r="S10" s="114">
        <v>3323083</v>
      </c>
      <c r="T10" s="114">
        <v>6082607</v>
      </c>
      <c r="U10" s="114">
        <v>2762765</v>
      </c>
      <c r="V10" s="114">
        <v>6958791</v>
      </c>
      <c r="W10" s="114">
        <v>3553808</v>
      </c>
      <c r="X10" s="114">
        <v>2937875</v>
      </c>
      <c r="Y10" s="114">
        <v>3323083</v>
      </c>
      <c r="Z10" s="114">
        <v>7117325</v>
      </c>
      <c r="AA10" s="114">
        <v>2762765</v>
      </c>
      <c r="AB10" s="114">
        <v>-1665255</v>
      </c>
      <c r="AC10" s="114">
        <v>-4498261</v>
      </c>
      <c r="AG10" s="114">
        <v>175258</v>
      </c>
      <c r="AH10" s="114">
        <v>0</v>
      </c>
      <c r="AI10" s="114">
        <v>416893.44</v>
      </c>
      <c r="AJ10" s="121">
        <v>0</v>
      </c>
      <c r="AK10" s="82">
        <v>169876519</v>
      </c>
      <c r="AL10" s="83">
        <v>2850437</v>
      </c>
      <c r="AM10" s="114">
        <v>0</v>
      </c>
      <c r="AN10" s="114">
        <v>33361595</v>
      </c>
      <c r="AO10" s="114">
        <v>15005741</v>
      </c>
      <c r="AP10" s="114">
        <v>160233965</v>
      </c>
      <c r="AQ10" s="114">
        <v>62213664</v>
      </c>
      <c r="AR10" s="114">
        <v>84388159</v>
      </c>
      <c r="AS10" s="114">
        <v>5486459</v>
      </c>
      <c r="AT10" s="114">
        <v>126947866</v>
      </c>
      <c r="AU10" s="114">
        <v>0</v>
      </c>
      <c r="AV10" s="114">
        <v>35604</v>
      </c>
      <c r="AW10" s="114">
        <v>2989214</v>
      </c>
      <c r="AX10" s="114">
        <v>5390</v>
      </c>
      <c r="AY10" s="114">
        <v>0</v>
      </c>
      <c r="BD10" s="82">
        <v>8689435.6400000006</v>
      </c>
      <c r="BE10" s="82">
        <v>4431612.1800000006</v>
      </c>
      <c r="BF10" s="117">
        <v>0</v>
      </c>
      <c r="BG10" s="118">
        <v>2517816</v>
      </c>
      <c r="BH10" s="118">
        <v>5035632</v>
      </c>
      <c r="BI10" s="117">
        <v>26286651</v>
      </c>
      <c r="BJ10" s="117">
        <v>26286651</v>
      </c>
      <c r="BK10" s="117">
        <v>50435529.799999997</v>
      </c>
      <c r="BL10" s="117">
        <v>47607423.799999997</v>
      </c>
      <c r="BM10" s="117">
        <v>5632</v>
      </c>
      <c r="BN10" s="117">
        <v>0</v>
      </c>
      <c r="BO10" s="119"/>
      <c r="BP10" s="86">
        <v>1491694327.4200001</v>
      </c>
      <c r="BQ10" s="86">
        <v>1238118236.4400001</v>
      </c>
      <c r="BR10" s="87">
        <v>1290730</v>
      </c>
      <c r="BT10" s="114">
        <v>6609</v>
      </c>
      <c r="BU10" s="114">
        <v>1835</v>
      </c>
      <c r="BV10" s="114">
        <v>535</v>
      </c>
      <c r="BW10" s="114">
        <f t="shared" si="5"/>
        <v>8979</v>
      </c>
      <c r="BX10" s="86">
        <v>1127120343</v>
      </c>
      <c r="BY10" s="82">
        <f t="shared" si="1"/>
        <v>169876519</v>
      </c>
      <c r="BZ10" s="82">
        <f t="shared" si="2"/>
        <v>2850437</v>
      </c>
      <c r="CA10" s="86">
        <f t="shared" si="3"/>
        <v>116067459</v>
      </c>
      <c r="CB10" s="86">
        <f t="shared" si="4"/>
        <v>1415914758</v>
      </c>
    </row>
    <row r="11" spans="1:80" x14ac:dyDescent="0.25">
      <c r="A11" s="91" t="s">
        <v>65</v>
      </c>
      <c r="B11" s="114">
        <v>1194779135</v>
      </c>
      <c r="C11" s="114">
        <v>93985094</v>
      </c>
      <c r="D11" s="114">
        <v>664796821</v>
      </c>
      <c r="E11" s="114">
        <v>1000000</v>
      </c>
      <c r="F11" s="114">
        <v>145040220</v>
      </c>
      <c r="G11" s="114">
        <v>49429920</v>
      </c>
      <c r="H11" s="114">
        <v>8908800</v>
      </c>
      <c r="I11" s="114">
        <v>2413600</v>
      </c>
      <c r="J11" s="114">
        <v>585300</v>
      </c>
      <c r="K11" s="114">
        <v>187900</v>
      </c>
      <c r="L11" s="114">
        <v>64710948</v>
      </c>
      <c r="M11" s="114">
        <v>80308380</v>
      </c>
      <c r="N11" s="114">
        <v>4361</v>
      </c>
      <c r="O11" s="114">
        <v>1523</v>
      </c>
      <c r="P11" s="114">
        <v>3195530</v>
      </c>
      <c r="Q11" s="114">
        <v>446800</v>
      </c>
      <c r="R11" s="114">
        <v>33839000</v>
      </c>
      <c r="S11" s="114">
        <v>15072468</v>
      </c>
      <c r="T11" s="114">
        <v>521062</v>
      </c>
      <c r="U11" s="114">
        <v>16477719</v>
      </c>
      <c r="V11" s="114">
        <v>3195530</v>
      </c>
      <c r="W11" s="114">
        <v>523000</v>
      </c>
      <c r="X11" s="114">
        <v>33839000</v>
      </c>
      <c r="Y11" s="114">
        <v>15072468</v>
      </c>
      <c r="Z11" s="114">
        <v>879150</v>
      </c>
      <c r="AA11" s="114">
        <v>16477719</v>
      </c>
      <c r="AB11" s="114">
        <v>-10213500</v>
      </c>
      <c r="AC11" s="114">
        <v>-139741</v>
      </c>
      <c r="AD11" s="114">
        <v>51392</v>
      </c>
      <c r="AG11" s="114">
        <v>457634</v>
      </c>
      <c r="AH11" s="114">
        <v>28721.31</v>
      </c>
      <c r="AI11" s="121">
        <v>1667352.46</v>
      </c>
      <c r="AJ11" s="121">
        <v>301000</v>
      </c>
      <c r="AK11" s="82">
        <v>315849943</v>
      </c>
      <c r="AL11" s="83">
        <v>8435591</v>
      </c>
      <c r="AM11" s="114">
        <v>599636</v>
      </c>
      <c r="AN11" s="114">
        <v>109499276</v>
      </c>
      <c r="AO11" s="114">
        <v>12135362</v>
      </c>
      <c r="AP11" s="114">
        <v>295680704</v>
      </c>
      <c r="AQ11" s="114">
        <v>100353211</v>
      </c>
      <c r="AR11" s="114">
        <v>96750259</v>
      </c>
      <c r="AS11" s="114">
        <v>24650128</v>
      </c>
      <c r="AT11" s="114">
        <f>902280+1414306097</f>
        <v>1415208377</v>
      </c>
      <c r="AU11" s="114">
        <v>0</v>
      </c>
      <c r="AV11" s="114">
        <v>0</v>
      </c>
      <c r="AW11" s="114">
        <v>0</v>
      </c>
      <c r="AX11" s="114">
        <v>3364244</v>
      </c>
      <c r="AY11" s="114">
        <v>9000</v>
      </c>
      <c r="BD11" s="82">
        <v>451552.96</v>
      </c>
      <c r="BE11" s="82">
        <v>230292.00999999998</v>
      </c>
      <c r="BF11" s="117">
        <v>22341969</v>
      </c>
      <c r="BG11" s="118">
        <v>7087824</v>
      </c>
      <c r="BH11" s="118">
        <v>14175649</v>
      </c>
      <c r="BI11" s="117">
        <v>73265095</v>
      </c>
      <c r="BJ11" s="117">
        <v>73265095</v>
      </c>
      <c r="BK11" s="117">
        <v>148484537.39999998</v>
      </c>
      <c r="BL11" s="117">
        <v>145404168.39999998</v>
      </c>
      <c r="BM11" s="117">
        <v>0</v>
      </c>
      <c r="BN11" s="117">
        <v>0</v>
      </c>
      <c r="BO11" s="119"/>
      <c r="BP11" s="86">
        <v>2727818886.1800003</v>
      </c>
      <c r="BQ11" s="86">
        <v>2177545972.77</v>
      </c>
      <c r="BR11" s="87">
        <v>6890243</v>
      </c>
      <c r="BT11" s="114">
        <v>22974</v>
      </c>
      <c r="BU11" s="114">
        <v>1249</v>
      </c>
      <c r="BV11" s="114">
        <v>2363</v>
      </c>
      <c r="BW11" s="114">
        <f t="shared" si="5"/>
        <v>26586</v>
      </c>
      <c r="BX11" s="86">
        <v>1953561050</v>
      </c>
      <c r="BY11" s="82">
        <f t="shared" si="1"/>
        <v>315849943</v>
      </c>
      <c r="BZ11" s="82">
        <f t="shared" si="2"/>
        <v>8435591</v>
      </c>
      <c r="CA11" s="86">
        <f t="shared" si="3"/>
        <v>246637977</v>
      </c>
      <c r="CB11" s="86">
        <f t="shared" si="4"/>
        <v>2524484561</v>
      </c>
    </row>
    <row r="12" spans="1:80" x14ac:dyDescent="0.25">
      <c r="A12" s="91" t="s">
        <v>66</v>
      </c>
      <c r="B12" s="114">
        <v>1021802750</v>
      </c>
      <c r="C12" s="114">
        <v>182506000</v>
      </c>
      <c r="D12" s="114">
        <v>466960650</v>
      </c>
      <c r="E12" s="114">
        <v>0</v>
      </c>
      <c r="F12" s="114">
        <v>100211000</v>
      </c>
      <c r="G12" s="114">
        <v>10621700</v>
      </c>
      <c r="H12" s="114">
        <v>12348600</v>
      </c>
      <c r="I12" s="114">
        <v>1255200</v>
      </c>
      <c r="J12" s="114">
        <v>150400</v>
      </c>
      <c r="K12" s="114">
        <v>0</v>
      </c>
      <c r="L12" s="114">
        <v>269429430</v>
      </c>
      <c r="M12" s="114">
        <v>155387000</v>
      </c>
      <c r="N12" s="114">
        <v>3085</v>
      </c>
      <c r="O12" s="114">
        <v>347</v>
      </c>
      <c r="P12" s="114">
        <v>8091500</v>
      </c>
      <c r="Q12" s="114">
        <v>3020000</v>
      </c>
      <c r="R12" s="114">
        <v>4496000</v>
      </c>
      <c r="S12" s="114">
        <v>4801500</v>
      </c>
      <c r="T12" s="114">
        <v>324900</v>
      </c>
      <c r="U12" s="114">
        <v>4197500</v>
      </c>
      <c r="V12" s="114">
        <v>8091500</v>
      </c>
      <c r="W12" s="114">
        <v>3110000</v>
      </c>
      <c r="X12" s="114">
        <v>4496000</v>
      </c>
      <c r="Y12" s="114">
        <v>4859000</v>
      </c>
      <c r="Z12" s="114">
        <v>820882</v>
      </c>
      <c r="AA12" s="114">
        <v>4197500</v>
      </c>
      <c r="AB12" s="114">
        <v>-6009100</v>
      </c>
      <c r="AC12" s="114">
        <v>-2855130</v>
      </c>
      <c r="AD12" s="114">
        <v>15128</v>
      </c>
      <c r="AE12" s="114">
        <v>0</v>
      </c>
      <c r="AF12" s="114">
        <v>0</v>
      </c>
      <c r="AG12" s="114">
        <v>97467</v>
      </c>
      <c r="AH12" s="114">
        <v>0</v>
      </c>
      <c r="AI12" s="121">
        <v>0</v>
      </c>
      <c r="AJ12" s="121">
        <v>0</v>
      </c>
      <c r="AK12" s="82">
        <v>190203423</v>
      </c>
      <c r="AL12" s="83">
        <v>5376114</v>
      </c>
      <c r="AM12" s="114">
        <v>0</v>
      </c>
      <c r="AN12" s="114">
        <v>84508952</v>
      </c>
      <c r="AO12" s="114">
        <v>8298322</v>
      </c>
      <c r="AP12" s="114">
        <v>243484752</v>
      </c>
      <c r="AQ12" s="114">
        <v>60806557</v>
      </c>
      <c r="AR12" s="114">
        <v>101793033</v>
      </c>
      <c r="AS12" s="114">
        <v>215938084</v>
      </c>
      <c r="AT12" s="114">
        <v>513345</v>
      </c>
      <c r="AU12" s="114">
        <v>3370400</v>
      </c>
      <c r="AV12" s="114">
        <v>412566</v>
      </c>
      <c r="AW12" s="114">
        <v>1777664</v>
      </c>
      <c r="AX12" s="114">
        <v>230465</v>
      </c>
      <c r="AY12" s="114">
        <v>12873750</v>
      </c>
      <c r="BD12" s="82">
        <v>9734470.5700000003</v>
      </c>
      <c r="BE12" s="82">
        <v>4964579.99</v>
      </c>
      <c r="BF12" s="117">
        <v>0</v>
      </c>
      <c r="BG12" s="118">
        <v>3623766</v>
      </c>
      <c r="BH12" s="118">
        <v>7247531</v>
      </c>
      <c r="BI12" s="117">
        <v>56805728</v>
      </c>
      <c r="BJ12" s="117">
        <v>56805728</v>
      </c>
      <c r="BK12" s="117">
        <v>71171002.199999988</v>
      </c>
      <c r="BL12" s="117">
        <v>65341954.200000003</v>
      </c>
      <c r="BM12" s="117">
        <v>249428</v>
      </c>
      <c r="BN12" s="117">
        <v>0</v>
      </c>
      <c r="BO12" s="119"/>
      <c r="BP12" s="86">
        <v>2151448224.1900001</v>
      </c>
      <c r="BQ12" s="86">
        <v>1824883231</v>
      </c>
      <c r="BR12" s="87">
        <v>2550000</v>
      </c>
      <c r="BT12" s="114">
        <v>10344</v>
      </c>
      <c r="BU12" s="114">
        <v>1476</v>
      </c>
      <c r="BV12" s="114">
        <v>866</v>
      </c>
      <c r="BW12" s="114">
        <f t="shared" si="5"/>
        <v>12686</v>
      </c>
      <c r="BX12" s="86">
        <v>1671269400</v>
      </c>
      <c r="BY12" s="82">
        <f t="shared" si="1"/>
        <v>190203423</v>
      </c>
      <c r="BZ12" s="82">
        <f t="shared" si="2"/>
        <v>5376114</v>
      </c>
      <c r="CA12" s="86">
        <f t="shared" si="3"/>
        <v>369551915</v>
      </c>
      <c r="CB12" s="86">
        <f t="shared" si="4"/>
        <v>2236400852</v>
      </c>
    </row>
    <row r="13" spans="1:80" x14ac:dyDescent="0.25">
      <c r="A13" s="91" t="s">
        <v>67</v>
      </c>
      <c r="B13" s="114">
        <v>143272100</v>
      </c>
      <c r="C13" s="114">
        <v>104929655</v>
      </c>
      <c r="D13" s="114">
        <v>29900990</v>
      </c>
      <c r="E13" s="114">
        <v>0</v>
      </c>
      <c r="F13" s="114">
        <v>21495550</v>
      </c>
      <c r="G13" s="114">
        <v>3674840</v>
      </c>
      <c r="H13" s="114">
        <v>9569100</v>
      </c>
      <c r="I13" s="114">
        <v>671850</v>
      </c>
      <c r="J13" s="114">
        <v>0</v>
      </c>
      <c r="K13" s="114">
        <v>0</v>
      </c>
      <c r="L13" s="114">
        <v>104278415</v>
      </c>
      <c r="M13" s="114">
        <v>61732575</v>
      </c>
      <c r="N13" s="114">
        <v>889</v>
      </c>
      <c r="O13" s="114">
        <v>133</v>
      </c>
      <c r="P13" s="114">
        <v>2241975</v>
      </c>
      <c r="Q13" s="114">
        <v>1593810</v>
      </c>
      <c r="R13" s="114">
        <v>5500000</v>
      </c>
      <c r="S13" s="114">
        <v>1837419</v>
      </c>
      <c r="T13" s="114">
        <v>605810</v>
      </c>
      <c r="U13" s="114">
        <v>580500</v>
      </c>
      <c r="V13" s="114">
        <v>2241975</v>
      </c>
      <c r="W13" s="114">
        <v>1730650</v>
      </c>
      <c r="X13" s="114">
        <v>5500000</v>
      </c>
      <c r="Y13" s="114">
        <v>1837419</v>
      </c>
      <c r="Z13" s="114">
        <v>93700</v>
      </c>
      <c r="AA13" s="114">
        <v>580500</v>
      </c>
      <c r="AB13" s="114">
        <v>-175400</v>
      </c>
      <c r="AC13" s="114">
        <v>0</v>
      </c>
      <c r="AG13" s="114">
        <v>118637</v>
      </c>
      <c r="AH13" s="114">
        <v>0</v>
      </c>
      <c r="AI13" s="114">
        <v>0</v>
      </c>
      <c r="AJ13" s="121">
        <v>0</v>
      </c>
      <c r="AK13" s="82">
        <v>57629903</v>
      </c>
      <c r="AL13" s="83">
        <v>847462</v>
      </c>
      <c r="AM13" s="114">
        <v>0</v>
      </c>
      <c r="AN13" s="114">
        <v>3400880</v>
      </c>
      <c r="AO13" s="114">
        <v>151062</v>
      </c>
      <c r="AP13" s="114">
        <v>31728054</v>
      </c>
      <c r="AQ13" s="114">
        <v>2886936</v>
      </c>
      <c r="AR13" s="114">
        <v>7638071</v>
      </c>
      <c r="AS13" s="114">
        <v>3493762</v>
      </c>
      <c r="AT13" s="114">
        <v>536101</v>
      </c>
      <c r="AU13" s="114">
        <v>0</v>
      </c>
      <c r="AV13" s="114">
        <v>0</v>
      </c>
      <c r="AW13" s="114">
        <v>0</v>
      </c>
      <c r="AX13" s="114">
        <v>0</v>
      </c>
      <c r="AY13" s="114">
        <v>0</v>
      </c>
      <c r="BD13" s="82">
        <v>2947565.81</v>
      </c>
      <c r="BE13" s="82">
        <v>1503258.56</v>
      </c>
      <c r="BF13" s="117">
        <v>19600000</v>
      </c>
      <c r="BG13" s="118">
        <v>1634556</v>
      </c>
      <c r="BH13" s="118">
        <v>3269112</v>
      </c>
      <c r="BI13" s="117">
        <v>121634775</v>
      </c>
      <c r="BJ13" s="117">
        <v>121634775</v>
      </c>
      <c r="BK13" s="117">
        <v>84311770.400000021</v>
      </c>
      <c r="BL13" s="117">
        <v>80561775.400000021</v>
      </c>
      <c r="BM13" s="117">
        <v>0</v>
      </c>
      <c r="BN13" s="117">
        <v>0</v>
      </c>
      <c r="BO13" s="119"/>
      <c r="BP13" s="86">
        <v>548353352.96000004</v>
      </c>
      <c r="BQ13" s="86">
        <v>284541623</v>
      </c>
      <c r="BR13" s="87">
        <v>935040</v>
      </c>
      <c r="BT13" s="114">
        <v>3821</v>
      </c>
      <c r="BU13" s="114">
        <v>1862</v>
      </c>
      <c r="BV13" s="114">
        <v>254</v>
      </c>
      <c r="BW13" s="114">
        <f t="shared" si="5"/>
        <v>5937</v>
      </c>
      <c r="BX13" s="86">
        <v>278102745</v>
      </c>
      <c r="BY13" s="82">
        <f t="shared" si="1"/>
        <v>57629903</v>
      </c>
      <c r="BZ13" s="82">
        <f t="shared" si="2"/>
        <v>847462</v>
      </c>
      <c r="CA13" s="86">
        <f t="shared" si="3"/>
        <v>9932640</v>
      </c>
      <c r="CB13" s="86">
        <f t="shared" si="4"/>
        <v>346512750</v>
      </c>
    </row>
    <row r="14" spans="1:80" x14ac:dyDescent="0.25">
      <c r="A14" s="91" t="s">
        <v>68</v>
      </c>
      <c r="B14" s="114">
        <v>140134695</v>
      </c>
      <c r="C14" s="114">
        <v>78802898</v>
      </c>
      <c r="D14" s="114">
        <v>82628816</v>
      </c>
      <c r="E14" s="114">
        <v>0</v>
      </c>
      <c r="F14" s="114">
        <v>21580540</v>
      </c>
      <c r="G14" s="114">
        <v>36317810</v>
      </c>
      <c r="H14" s="114">
        <v>10977973</v>
      </c>
      <c r="I14" s="114">
        <v>11985467</v>
      </c>
      <c r="J14" s="114">
        <v>188000</v>
      </c>
      <c r="K14" s="114">
        <v>150400</v>
      </c>
      <c r="L14" s="114">
        <v>71318611</v>
      </c>
      <c r="M14" s="114">
        <v>49021395</v>
      </c>
      <c r="N14" s="114">
        <v>977</v>
      </c>
      <c r="O14" s="114">
        <v>1542</v>
      </c>
      <c r="P14" s="114">
        <v>3146233</v>
      </c>
      <c r="Q14" s="114">
        <v>183800</v>
      </c>
      <c r="R14" s="114">
        <v>176250</v>
      </c>
      <c r="S14" s="114">
        <v>3028081</v>
      </c>
      <c r="T14" s="114">
        <v>539209</v>
      </c>
      <c r="U14" s="114">
        <v>707950</v>
      </c>
      <c r="V14" s="114">
        <v>3146233</v>
      </c>
      <c r="W14" s="114">
        <v>202000</v>
      </c>
      <c r="X14" s="114">
        <v>176250</v>
      </c>
      <c r="Y14" s="114">
        <v>3028081</v>
      </c>
      <c r="Z14" s="114">
        <v>470769</v>
      </c>
      <c r="AA14" s="114">
        <v>707950</v>
      </c>
      <c r="AB14" s="114">
        <v>-4279750</v>
      </c>
      <c r="AC14" s="114">
        <v>-22224</v>
      </c>
      <c r="AD14" s="114">
        <v>258073</v>
      </c>
      <c r="AE14" s="114">
        <v>0</v>
      </c>
      <c r="AF14" s="114">
        <v>0</v>
      </c>
      <c r="AG14" s="114">
        <v>277085</v>
      </c>
      <c r="AH14" s="114">
        <v>653327.87</v>
      </c>
      <c r="AI14" s="114">
        <v>1764524.59</v>
      </c>
      <c r="AJ14" s="121">
        <v>12781418.029999999</v>
      </c>
      <c r="AK14" s="82">
        <v>64950105</v>
      </c>
      <c r="AL14" s="83">
        <v>1143395</v>
      </c>
      <c r="AM14" s="114">
        <v>0</v>
      </c>
      <c r="AN14" s="114">
        <v>11788094</v>
      </c>
      <c r="AO14" s="114">
        <v>279765</v>
      </c>
      <c r="AP14" s="114">
        <v>1077049</v>
      </c>
      <c r="AQ14" s="114">
        <v>12029107</v>
      </c>
      <c r="AR14" s="114">
        <v>1501829</v>
      </c>
      <c r="AS14" s="114">
        <v>0</v>
      </c>
      <c r="AT14" s="114">
        <v>220966</v>
      </c>
      <c r="AU14" s="114">
        <v>0</v>
      </c>
      <c r="AV14" s="114">
        <v>0</v>
      </c>
      <c r="AW14" s="114">
        <v>0</v>
      </c>
      <c r="AX14" s="114">
        <v>317</v>
      </c>
      <c r="AY14" s="114">
        <v>0</v>
      </c>
      <c r="BD14" s="82">
        <v>3322423.6500000004</v>
      </c>
      <c r="BE14" s="82">
        <v>1694436.06</v>
      </c>
      <c r="BF14" s="117">
        <v>0</v>
      </c>
      <c r="BG14" s="118">
        <v>2725510</v>
      </c>
      <c r="BH14" s="118">
        <v>5451019</v>
      </c>
      <c r="BI14" s="117">
        <v>13382274</v>
      </c>
      <c r="BJ14" s="117">
        <v>13382274</v>
      </c>
      <c r="BK14" s="117">
        <v>41319877.600000001</v>
      </c>
      <c r="BL14" s="117">
        <v>36278138.600000009</v>
      </c>
      <c r="BM14" s="117">
        <v>0</v>
      </c>
      <c r="BN14" s="117">
        <v>0</v>
      </c>
      <c r="BO14" s="119"/>
      <c r="BP14" s="86">
        <v>461036504.14999998</v>
      </c>
      <c r="BQ14" s="86">
        <v>340862645.48999995</v>
      </c>
      <c r="BR14" s="87">
        <v>1315379</v>
      </c>
      <c r="BT14" s="114">
        <v>5660</v>
      </c>
      <c r="BU14" s="114">
        <v>3542</v>
      </c>
      <c r="BV14" s="114">
        <v>321</v>
      </c>
      <c r="BW14" s="114">
        <f t="shared" si="5"/>
        <v>9523</v>
      </c>
      <c r="BX14" s="86">
        <v>301566409</v>
      </c>
      <c r="BY14" s="82">
        <f t="shared" si="1"/>
        <v>64950105</v>
      </c>
      <c r="BZ14" s="82">
        <f t="shared" si="2"/>
        <v>1143395</v>
      </c>
      <c r="CA14" s="86">
        <f t="shared" si="3"/>
        <v>24096966</v>
      </c>
      <c r="CB14" s="86">
        <f t="shared" si="4"/>
        <v>391756875</v>
      </c>
    </row>
    <row r="15" spans="1:80" x14ac:dyDescent="0.25">
      <c r="A15" s="91" t="s">
        <v>69</v>
      </c>
      <c r="B15" s="114">
        <v>586083806</v>
      </c>
      <c r="C15" s="114">
        <v>231278572</v>
      </c>
      <c r="D15" s="114">
        <v>84706675</v>
      </c>
      <c r="E15" s="114">
        <v>0</v>
      </c>
      <c r="F15" s="114">
        <v>56333261</v>
      </c>
      <c r="G15" s="114">
        <v>10879525</v>
      </c>
      <c r="H15" s="114">
        <v>21524113</v>
      </c>
      <c r="I15" s="114">
        <v>1985255</v>
      </c>
      <c r="J15" s="114">
        <v>75200</v>
      </c>
      <c r="K15" s="114">
        <v>60000</v>
      </c>
      <c r="L15" s="114">
        <v>441051357</v>
      </c>
      <c r="M15" s="114">
        <v>135514200</v>
      </c>
      <c r="N15" s="114">
        <v>2225</v>
      </c>
      <c r="O15" s="114">
        <v>419</v>
      </c>
      <c r="P15" s="114">
        <v>7571300</v>
      </c>
      <c r="Q15" s="114">
        <v>4291600</v>
      </c>
      <c r="R15" s="114">
        <v>1288000</v>
      </c>
      <c r="S15" s="114">
        <v>3831425</v>
      </c>
      <c r="T15" s="114">
        <v>942400</v>
      </c>
      <c r="U15" s="114">
        <v>1576338</v>
      </c>
      <c r="V15" s="114">
        <v>7571300</v>
      </c>
      <c r="W15" s="114">
        <v>4776600</v>
      </c>
      <c r="X15" s="114">
        <v>1288000</v>
      </c>
      <c r="Y15" s="114">
        <v>3831425</v>
      </c>
      <c r="Z15" s="114">
        <v>1310400</v>
      </c>
      <c r="AA15" s="114">
        <v>1576338</v>
      </c>
      <c r="AB15" s="114">
        <v>-1093275</v>
      </c>
      <c r="AC15" s="114">
        <v>-777679</v>
      </c>
      <c r="AD15" s="114">
        <v>148479</v>
      </c>
      <c r="AE15" s="114">
        <v>0</v>
      </c>
      <c r="AF15" s="114">
        <v>0</v>
      </c>
      <c r="AG15" s="114">
        <v>345855</v>
      </c>
      <c r="AH15" s="114">
        <v>1663803.28</v>
      </c>
      <c r="AI15" s="114">
        <v>816598.36</v>
      </c>
      <c r="AJ15" s="121">
        <v>0</v>
      </c>
      <c r="AK15" s="82">
        <v>136849238</v>
      </c>
      <c r="AL15" s="83">
        <v>19808334</v>
      </c>
      <c r="AM15" s="114">
        <v>473500</v>
      </c>
      <c r="AN15" s="114">
        <v>21705337</v>
      </c>
      <c r="AO15" s="114">
        <v>244413</v>
      </c>
      <c r="AP15" s="114">
        <v>16510842</v>
      </c>
      <c r="AQ15" s="114">
        <v>18268094</v>
      </c>
      <c r="AR15" s="114">
        <v>21854780</v>
      </c>
      <c r="AS15" s="114">
        <v>0</v>
      </c>
      <c r="AT15" s="114">
        <v>3037186</v>
      </c>
      <c r="AU15" s="114">
        <v>0</v>
      </c>
      <c r="AV15" s="114">
        <v>0</v>
      </c>
      <c r="AW15" s="114">
        <v>875149</v>
      </c>
      <c r="AX15" s="114">
        <v>0</v>
      </c>
      <c r="AY15" s="114">
        <v>116690</v>
      </c>
      <c r="BD15" s="82">
        <v>7042395.9799999995</v>
      </c>
      <c r="BE15" s="82">
        <v>3591621.9499999997</v>
      </c>
      <c r="BF15" s="117">
        <v>22951295</v>
      </c>
      <c r="BG15" s="118">
        <v>2226145</v>
      </c>
      <c r="BH15" s="118">
        <v>4452290</v>
      </c>
      <c r="BI15" s="117">
        <v>36382562</v>
      </c>
      <c r="BJ15" s="117">
        <v>36382562</v>
      </c>
      <c r="BK15" s="117">
        <v>92351520.200000003</v>
      </c>
      <c r="BL15" s="117">
        <v>89717460.200000003</v>
      </c>
      <c r="BM15" s="117">
        <v>0</v>
      </c>
      <c r="BN15" s="117">
        <v>0</v>
      </c>
      <c r="BO15" s="119"/>
      <c r="BP15" s="86">
        <v>1233342659.79</v>
      </c>
      <c r="BQ15" s="86">
        <v>944767298.63999999</v>
      </c>
      <c r="BR15" s="87">
        <v>2173856</v>
      </c>
      <c r="BW15" s="114">
        <f t="shared" si="5"/>
        <v>0</v>
      </c>
      <c r="BX15" s="86">
        <v>902069053</v>
      </c>
      <c r="BY15" s="82">
        <f t="shared" si="1"/>
        <v>136849238</v>
      </c>
      <c r="BZ15" s="82">
        <f t="shared" si="2"/>
        <v>19808334</v>
      </c>
      <c r="CA15" s="86">
        <f t="shared" si="3"/>
        <v>40217844</v>
      </c>
      <c r="CB15" s="86">
        <f t="shared" si="4"/>
        <v>1098944469</v>
      </c>
    </row>
    <row r="16" spans="1:80" x14ac:dyDescent="0.25">
      <c r="A16" s="91" t="s">
        <v>70</v>
      </c>
      <c r="B16" s="114">
        <v>3814957303</v>
      </c>
      <c r="C16" s="114">
        <v>251106538</v>
      </c>
      <c r="D16" s="114">
        <v>1126421735</v>
      </c>
      <c r="E16" s="114">
        <v>26908231</v>
      </c>
      <c r="F16" s="114">
        <v>221048212</v>
      </c>
      <c r="G16" s="114">
        <v>38118741</v>
      </c>
      <c r="H16" s="114">
        <v>19199244</v>
      </c>
      <c r="I16" s="114">
        <v>2580312</v>
      </c>
      <c r="J16" s="114">
        <v>338400</v>
      </c>
      <c r="K16" s="114">
        <v>37600</v>
      </c>
      <c r="L16" s="114">
        <v>346718796</v>
      </c>
      <c r="M16" s="114">
        <v>169596811</v>
      </c>
      <c r="N16" s="114">
        <v>6527</v>
      </c>
      <c r="O16" s="114">
        <v>1159</v>
      </c>
      <c r="P16" s="114">
        <v>73909588</v>
      </c>
      <c r="Q16" s="114">
        <v>4634612</v>
      </c>
      <c r="R16" s="114">
        <v>26990333</v>
      </c>
      <c r="S16" s="114">
        <v>5796610</v>
      </c>
      <c r="T16" s="114">
        <v>1510795</v>
      </c>
      <c r="U16" s="114">
        <v>1920106</v>
      </c>
      <c r="V16" s="114">
        <v>73909588</v>
      </c>
      <c r="W16" s="114">
        <v>5263184</v>
      </c>
      <c r="X16" s="114">
        <v>26990333</v>
      </c>
      <c r="Y16" s="114">
        <v>5796610</v>
      </c>
      <c r="Z16" s="114">
        <v>4867639</v>
      </c>
      <c r="AA16" s="114">
        <v>1920106</v>
      </c>
      <c r="AB16" s="114">
        <v>-487279</v>
      </c>
      <c r="AC16" s="114">
        <v>-4740407</v>
      </c>
      <c r="AD16" s="114">
        <v>25775</v>
      </c>
      <c r="AE16" s="114">
        <v>552</v>
      </c>
      <c r="AF16" s="114">
        <v>14143808</v>
      </c>
      <c r="AG16" s="114">
        <v>87288</v>
      </c>
      <c r="AH16" s="114">
        <v>0</v>
      </c>
      <c r="AI16" s="114">
        <v>1097393.44</v>
      </c>
      <c r="AJ16" s="121">
        <v>0</v>
      </c>
      <c r="AK16" s="82">
        <v>580399029</v>
      </c>
      <c r="AL16" s="83">
        <v>19389340</v>
      </c>
      <c r="AM16" s="114">
        <v>6000</v>
      </c>
      <c r="AN16" s="114">
        <v>204664102</v>
      </c>
      <c r="AO16" s="114">
        <v>4624443</v>
      </c>
      <c r="AP16" s="114">
        <v>155358425</v>
      </c>
      <c r="AQ16" s="114">
        <v>365781663</v>
      </c>
      <c r="AR16" s="114">
        <v>2348039566</v>
      </c>
      <c r="AS16" s="114">
        <v>5723226309</v>
      </c>
      <c r="AT16" s="114">
        <f>430796+23618008</f>
        <v>24048804</v>
      </c>
      <c r="AU16" s="114">
        <v>0</v>
      </c>
      <c r="AV16" s="114">
        <v>0</v>
      </c>
      <c r="AW16" s="114">
        <v>7479568</v>
      </c>
      <c r="AX16" s="114">
        <v>1558493</v>
      </c>
      <c r="AY16" s="114">
        <v>457775</v>
      </c>
      <c r="BD16" s="82">
        <v>29711611.07</v>
      </c>
      <c r="BE16" s="82">
        <v>15152921.65</v>
      </c>
      <c r="BF16" s="117">
        <v>0</v>
      </c>
      <c r="BG16" s="118">
        <v>3401076</v>
      </c>
      <c r="BH16" s="118">
        <v>6802152</v>
      </c>
      <c r="BI16" s="117">
        <v>33291319</v>
      </c>
      <c r="BJ16" s="117">
        <v>33034522</v>
      </c>
      <c r="BK16" s="117">
        <v>81131620.200000003</v>
      </c>
      <c r="BL16" s="117">
        <v>77774232.199999988</v>
      </c>
      <c r="BM16" s="117">
        <v>256118566</v>
      </c>
      <c r="BN16" s="117">
        <v>0</v>
      </c>
      <c r="BO16" s="119"/>
      <c r="BP16" s="86">
        <v>6753922864.289999</v>
      </c>
      <c r="BQ16" s="86">
        <v>5768653177.4399996</v>
      </c>
      <c r="BR16" s="87">
        <v>3089636</v>
      </c>
      <c r="BT16" s="114">
        <v>29013</v>
      </c>
      <c r="BU16" s="114">
        <v>2483</v>
      </c>
      <c r="BV16" s="114">
        <v>1067</v>
      </c>
      <c r="BW16" s="114">
        <f t="shared" si="5"/>
        <v>32563</v>
      </c>
      <c r="BX16" s="86">
        <v>5192485576</v>
      </c>
      <c r="BY16" s="82">
        <f t="shared" si="1"/>
        <v>580399029</v>
      </c>
      <c r="BZ16" s="82">
        <f t="shared" si="2"/>
        <v>19389340</v>
      </c>
      <c r="CA16" s="86">
        <f t="shared" si="3"/>
        <v>6298296517</v>
      </c>
      <c r="CB16" s="86">
        <f t="shared" si="4"/>
        <v>12090570462</v>
      </c>
    </row>
    <row r="17" spans="1:80" x14ac:dyDescent="0.25">
      <c r="A17" s="91" t="s">
        <v>71</v>
      </c>
      <c r="B17" s="114">
        <v>194704500</v>
      </c>
      <c r="C17" s="114">
        <v>133558730</v>
      </c>
      <c r="D17" s="114">
        <v>65384610</v>
      </c>
      <c r="E17" s="114">
        <v>0</v>
      </c>
      <c r="F17" s="114">
        <v>23663000</v>
      </c>
      <c r="G17" s="114">
        <v>9817500</v>
      </c>
      <c r="H17" s="114">
        <v>12837700</v>
      </c>
      <c r="I17" s="114">
        <v>3243000</v>
      </c>
      <c r="J17" s="114">
        <v>0</v>
      </c>
      <c r="K17" s="114">
        <v>0</v>
      </c>
      <c r="L17" s="114">
        <v>247280303</v>
      </c>
      <c r="M17" s="114">
        <v>85127637</v>
      </c>
      <c r="N17" s="114">
        <v>1053</v>
      </c>
      <c r="O17" s="114">
        <v>409</v>
      </c>
      <c r="P17" s="114">
        <v>3088600</v>
      </c>
      <c r="Q17" s="114">
        <v>5303200</v>
      </c>
      <c r="R17" s="114">
        <v>542200</v>
      </c>
      <c r="S17" s="114">
        <v>538900</v>
      </c>
      <c r="T17" s="114">
        <v>141800</v>
      </c>
      <c r="U17" s="114">
        <v>2171760</v>
      </c>
      <c r="V17" s="114">
        <v>3088600</v>
      </c>
      <c r="W17" s="114">
        <v>5850030</v>
      </c>
      <c r="X17" s="114">
        <v>542200</v>
      </c>
      <c r="Y17" s="114">
        <v>538900</v>
      </c>
      <c r="Z17" s="114">
        <v>151500</v>
      </c>
      <c r="AA17" s="114">
        <v>2171760</v>
      </c>
      <c r="AB17" s="114">
        <v>-586200</v>
      </c>
      <c r="AC17" s="114">
        <v>-217496</v>
      </c>
      <c r="AD17" s="114">
        <v>147387</v>
      </c>
      <c r="AE17" s="114">
        <v>0</v>
      </c>
      <c r="AF17" s="114">
        <v>19080470</v>
      </c>
      <c r="AG17" s="114">
        <v>254639</v>
      </c>
      <c r="AH17" s="114">
        <v>156049.18</v>
      </c>
      <c r="AI17" s="114">
        <v>146057.37</v>
      </c>
      <c r="AJ17" s="121">
        <v>0</v>
      </c>
      <c r="AK17" s="82">
        <v>87596312</v>
      </c>
      <c r="AL17" s="83">
        <v>2416214</v>
      </c>
      <c r="AM17" s="114">
        <v>0</v>
      </c>
      <c r="AN17" s="114">
        <v>17927846</v>
      </c>
      <c r="AO17" s="114">
        <v>1795899</v>
      </c>
      <c r="AP17" s="114">
        <v>45081923</v>
      </c>
      <c r="AQ17" s="114">
        <v>8759028</v>
      </c>
      <c r="AR17" s="114">
        <v>20039965</v>
      </c>
      <c r="AS17" s="114">
        <v>402676</v>
      </c>
      <c r="AT17" s="114">
        <v>431286</v>
      </c>
      <c r="AU17" s="114">
        <v>0</v>
      </c>
      <c r="AV17" s="114">
        <v>0</v>
      </c>
      <c r="AW17" s="114">
        <v>0</v>
      </c>
      <c r="AX17" s="114">
        <v>314455</v>
      </c>
      <c r="AY17" s="114">
        <v>14000</v>
      </c>
      <c r="BD17" s="82">
        <v>4482970.09</v>
      </c>
      <c r="BE17" s="82">
        <v>2286314.7399999998</v>
      </c>
      <c r="BF17" s="117">
        <v>0</v>
      </c>
      <c r="BG17" s="118">
        <v>0</v>
      </c>
      <c r="BH17" s="118">
        <v>0</v>
      </c>
      <c r="BI17" s="117">
        <v>1502746</v>
      </c>
      <c r="BJ17" s="117">
        <v>1502746</v>
      </c>
      <c r="BK17" s="117">
        <v>21648738.600000001</v>
      </c>
      <c r="BL17" s="117">
        <v>21648738.600000001</v>
      </c>
      <c r="BM17" s="117">
        <v>0</v>
      </c>
      <c r="BN17" s="117">
        <v>0</v>
      </c>
      <c r="BO17" s="119"/>
      <c r="BP17" s="86">
        <v>537883044.88999999</v>
      </c>
      <c r="BQ17" s="86">
        <v>422432719.55000001</v>
      </c>
      <c r="BR17" s="87">
        <v>1184600</v>
      </c>
      <c r="BT17" s="114">
        <v>5054</v>
      </c>
      <c r="BU17" s="114">
        <v>3284</v>
      </c>
      <c r="BV17" s="114">
        <v>36</v>
      </c>
      <c r="BW17" s="114">
        <f>SUM(BT17:BV17)</f>
        <v>8374</v>
      </c>
      <c r="BX17" s="86">
        <v>393647840</v>
      </c>
      <c r="BY17" s="82">
        <f t="shared" si="1"/>
        <v>87596312</v>
      </c>
      <c r="BZ17" s="82">
        <f t="shared" si="2"/>
        <v>2416214</v>
      </c>
      <c r="CA17" s="86">
        <f t="shared" si="3"/>
        <v>28885449</v>
      </c>
      <c r="CB17" s="86">
        <f t="shared" si="4"/>
        <v>512545815</v>
      </c>
    </row>
    <row r="18" spans="1:80" x14ac:dyDescent="0.25">
      <c r="A18" s="91" t="s">
        <v>72</v>
      </c>
      <c r="B18" s="114">
        <v>239720857</v>
      </c>
      <c r="C18" s="114">
        <v>122708373</v>
      </c>
      <c r="D18" s="114">
        <v>90644283</v>
      </c>
      <c r="E18" s="114">
        <v>3700000</v>
      </c>
      <c r="F18" s="114">
        <v>38139209</v>
      </c>
      <c r="G18" s="114">
        <v>11056570</v>
      </c>
      <c r="H18" s="114">
        <v>10754811</v>
      </c>
      <c r="I18" s="114">
        <v>1742067</v>
      </c>
      <c r="J18" s="114">
        <v>62600</v>
      </c>
      <c r="K18" s="114">
        <v>36900</v>
      </c>
      <c r="L18" s="114">
        <v>274742682</v>
      </c>
      <c r="M18" s="114">
        <v>65257835</v>
      </c>
      <c r="N18" s="114">
        <v>1357</v>
      </c>
      <c r="O18" s="114">
        <v>382</v>
      </c>
      <c r="P18" s="114">
        <v>3128340</v>
      </c>
      <c r="Q18" s="114">
        <v>2008832</v>
      </c>
      <c r="R18" s="114">
        <v>20000</v>
      </c>
      <c r="S18" s="114">
        <v>2085700</v>
      </c>
      <c r="T18" s="114">
        <v>273481</v>
      </c>
      <c r="U18" s="114">
        <v>211900</v>
      </c>
      <c r="V18" s="114">
        <v>3128340</v>
      </c>
      <c r="W18" s="114">
        <v>1882693</v>
      </c>
      <c r="X18" s="114">
        <v>20000</v>
      </c>
      <c r="Y18" s="114">
        <v>2085700</v>
      </c>
      <c r="Z18" s="114">
        <v>586911</v>
      </c>
      <c r="AA18" s="114">
        <v>211900</v>
      </c>
      <c r="AB18" s="114">
        <v>-1840067</v>
      </c>
      <c r="AC18" s="114">
        <v>994</v>
      </c>
      <c r="AD18" s="114">
        <v>24699</v>
      </c>
      <c r="AE18" s="114">
        <v>46652</v>
      </c>
      <c r="AF18" s="114">
        <v>31825783</v>
      </c>
      <c r="AG18" s="114">
        <v>200125</v>
      </c>
      <c r="AH18" s="114">
        <v>1122.95</v>
      </c>
      <c r="AI18" s="114">
        <v>2647991.7999999998</v>
      </c>
      <c r="AJ18" s="121">
        <v>0</v>
      </c>
      <c r="AK18" s="82">
        <v>94715093</v>
      </c>
      <c r="AL18" s="83">
        <v>2638525</v>
      </c>
      <c r="AM18" s="114">
        <v>0</v>
      </c>
      <c r="AN18" s="114">
        <v>22334565</v>
      </c>
      <c r="AO18" s="114">
        <v>5708362</v>
      </c>
      <c r="AP18" s="114">
        <v>131993449</v>
      </c>
      <c r="AQ18" s="114">
        <v>25757250</v>
      </c>
      <c r="AR18" s="114">
        <v>41978831</v>
      </c>
      <c r="AS18" s="114">
        <v>27231382</v>
      </c>
      <c r="AT18" s="114">
        <v>2303247</v>
      </c>
      <c r="AU18" s="114">
        <v>141140</v>
      </c>
      <c r="AV18" s="114">
        <v>0</v>
      </c>
      <c r="AW18" s="114">
        <v>0</v>
      </c>
      <c r="AX18" s="114">
        <v>88593</v>
      </c>
      <c r="AY18" s="114">
        <v>982900</v>
      </c>
      <c r="BD18" s="82">
        <v>4847355.07</v>
      </c>
      <c r="BE18" s="82">
        <v>2472151.09</v>
      </c>
      <c r="BF18" s="117">
        <v>0</v>
      </c>
      <c r="BG18" s="118">
        <v>1655550</v>
      </c>
      <c r="BH18" s="118">
        <v>3311100</v>
      </c>
      <c r="BI18" s="117">
        <v>20958487</v>
      </c>
      <c r="BJ18" s="117">
        <v>17132784</v>
      </c>
      <c r="BK18" s="117">
        <v>27249848.999999996</v>
      </c>
      <c r="BL18" s="117">
        <v>24979856.999999996</v>
      </c>
      <c r="BM18" s="117">
        <v>0</v>
      </c>
      <c r="BN18" s="117">
        <v>12140939</v>
      </c>
      <c r="BO18" s="119"/>
      <c r="BP18" s="86">
        <v>665257703.84000003</v>
      </c>
      <c r="BQ18" s="86">
        <v>509522804.75</v>
      </c>
      <c r="BR18" s="87">
        <v>399000</v>
      </c>
      <c r="BT18" s="114">
        <v>5520</v>
      </c>
      <c r="BU18" s="114">
        <v>2278</v>
      </c>
      <c r="BV18" s="114">
        <v>485</v>
      </c>
      <c r="BW18" s="114">
        <f>SUM(BT18:BV18)</f>
        <v>8283</v>
      </c>
      <c r="BX18" s="86">
        <v>453073513</v>
      </c>
      <c r="BY18" s="82">
        <f t="shared" si="1"/>
        <v>94715093</v>
      </c>
      <c r="BZ18" s="82">
        <f t="shared" si="2"/>
        <v>2638525</v>
      </c>
      <c r="CA18" s="86">
        <f t="shared" si="3"/>
        <v>81031559</v>
      </c>
      <c r="CB18" s="86">
        <f t="shared" si="4"/>
        <v>631458690</v>
      </c>
    </row>
    <row r="19" spans="1:80" ht="12.75" customHeight="1" x14ac:dyDescent="0.25">
      <c r="A19" s="91" t="s">
        <v>73</v>
      </c>
      <c r="B19" s="114">
        <v>1375817019</v>
      </c>
      <c r="C19" s="114">
        <v>249383646</v>
      </c>
      <c r="D19" s="114">
        <v>400193608</v>
      </c>
      <c r="E19" s="114">
        <v>0</v>
      </c>
      <c r="F19" s="114">
        <v>109046250</v>
      </c>
      <c r="G19" s="114">
        <v>10225061</v>
      </c>
      <c r="H19" s="114">
        <v>17195800</v>
      </c>
      <c r="I19" s="114">
        <v>1019500</v>
      </c>
      <c r="J19" s="114">
        <v>188000</v>
      </c>
      <c r="K19" s="114">
        <v>75200</v>
      </c>
      <c r="L19" s="114">
        <v>630259178</v>
      </c>
      <c r="M19" s="114">
        <v>156505402</v>
      </c>
      <c r="N19" s="114">
        <v>3508</v>
      </c>
      <c r="O19" s="114">
        <v>352</v>
      </c>
      <c r="P19" s="114">
        <v>9651109</v>
      </c>
      <c r="Q19" s="114">
        <v>18000</v>
      </c>
      <c r="R19" s="114">
        <v>7597000</v>
      </c>
      <c r="S19" s="114">
        <v>7806941</v>
      </c>
      <c r="T19" s="114">
        <v>557500</v>
      </c>
      <c r="U19" s="114">
        <v>4735000</v>
      </c>
      <c r="V19" s="114">
        <v>9651109</v>
      </c>
      <c r="W19" s="114">
        <v>110000</v>
      </c>
      <c r="X19" s="114">
        <v>7597000</v>
      </c>
      <c r="Y19" s="114">
        <v>7806941</v>
      </c>
      <c r="Z19" s="114">
        <v>1393500</v>
      </c>
      <c r="AA19" s="114">
        <v>4735000</v>
      </c>
      <c r="AB19" s="114">
        <v>-4817200</v>
      </c>
      <c r="AC19" s="114">
        <v>-9407</v>
      </c>
      <c r="AD19" s="114">
        <v>66658</v>
      </c>
      <c r="AE19" s="114">
        <v>46101</v>
      </c>
      <c r="AF19" s="114">
        <v>2340500</v>
      </c>
      <c r="AG19" s="114">
        <v>202253</v>
      </c>
      <c r="AH19" s="114">
        <v>0</v>
      </c>
      <c r="AI19" s="114">
        <v>50024.59</v>
      </c>
      <c r="AJ19" s="121">
        <v>0</v>
      </c>
      <c r="AK19" s="82">
        <v>267342800</v>
      </c>
      <c r="AL19" s="83">
        <v>12638633</v>
      </c>
      <c r="AM19" s="114">
        <v>326500</v>
      </c>
      <c r="AN19" s="114">
        <v>62947793</v>
      </c>
      <c r="AO19" s="114">
        <v>4503300</v>
      </c>
      <c r="AP19" s="114">
        <v>132230334</v>
      </c>
      <c r="AQ19" s="114">
        <v>63867136</v>
      </c>
      <c r="AR19" s="114">
        <v>76252354</v>
      </c>
      <c r="AS19" s="114">
        <v>78013032</v>
      </c>
      <c r="AT19" s="114">
        <f>3745118+685</f>
        <v>3745803</v>
      </c>
      <c r="AU19" s="114">
        <v>0</v>
      </c>
      <c r="AV19" s="114">
        <v>0</v>
      </c>
      <c r="AW19" s="114">
        <v>0</v>
      </c>
      <c r="AX19" s="114">
        <v>1368074</v>
      </c>
      <c r="AY19" s="114">
        <v>2604317</v>
      </c>
      <c r="BD19" s="82">
        <v>13694698.579999998</v>
      </c>
      <c r="BE19" s="82">
        <v>6984296.2700000005</v>
      </c>
      <c r="BF19" s="117">
        <v>9495337</v>
      </c>
      <c r="BG19" s="118">
        <v>911003</v>
      </c>
      <c r="BH19" s="118">
        <v>1822005</v>
      </c>
      <c r="BI19" s="117">
        <v>3127043</v>
      </c>
      <c r="BJ19" s="117">
        <v>3127043</v>
      </c>
      <c r="BK19" s="117">
        <v>49769288.800000012</v>
      </c>
      <c r="BL19" s="117">
        <v>48702305.800000012</v>
      </c>
      <c r="BM19" s="117">
        <v>0</v>
      </c>
      <c r="BN19" s="117">
        <v>7287471</v>
      </c>
      <c r="BO19" s="119"/>
      <c r="BP19" s="86">
        <v>2503756078.6600003</v>
      </c>
      <c r="BQ19" s="86">
        <v>2156762526.5900002</v>
      </c>
      <c r="BR19" s="87">
        <v>3039753</v>
      </c>
      <c r="BT19" s="114">
        <v>31100</v>
      </c>
      <c r="BU19" s="114">
        <v>5522</v>
      </c>
      <c r="BV19" s="114">
        <v>1434</v>
      </c>
      <c r="BW19" s="114">
        <f t="shared" ref="BW19:BW24" si="6">SUM(BT19:BV19)</f>
        <v>38056</v>
      </c>
      <c r="BX19" s="86">
        <v>2025394273</v>
      </c>
      <c r="BY19" s="82">
        <f t="shared" si="1"/>
        <v>267342800</v>
      </c>
      <c r="BZ19" s="82">
        <f t="shared" si="2"/>
        <v>12638633</v>
      </c>
      <c r="CA19" s="86">
        <f t="shared" si="3"/>
        <v>209331261</v>
      </c>
      <c r="CB19" s="86">
        <f t="shared" si="4"/>
        <v>2514706967</v>
      </c>
    </row>
    <row r="20" spans="1:80" x14ac:dyDescent="0.25">
      <c r="A20" s="91" t="s">
        <v>74</v>
      </c>
      <c r="B20" s="114">
        <v>4500158711</v>
      </c>
      <c r="C20" s="114">
        <v>186517410</v>
      </c>
      <c r="D20" s="114">
        <v>1127738074</v>
      </c>
      <c r="E20" s="114">
        <v>0</v>
      </c>
      <c r="F20" s="114">
        <v>268646674</v>
      </c>
      <c r="G20" s="114">
        <v>29413490</v>
      </c>
      <c r="H20" s="114">
        <v>14631200</v>
      </c>
      <c r="I20" s="114">
        <v>1278400</v>
      </c>
      <c r="J20" s="114">
        <v>940000</v>
      </c>
      <c r="K20" s="114">
        <v>75200</v>
      </c>
      <c r="L20" s="114">
        <v>220140731</v>
      </c>
      <c r="M20" s="114">
        <v>406658141</v>
      </c>
      <c r="N20" s="114">
        <v>7610</v>
      </c>
      <c r="O20" s="114">
        <v>837</v>
      </c>
      <c r="P20" s="114">
        <v>52466728</v>
      </c>
      <c r="Q20" s="114">
        <v>6145000</v>
      </c>
      <c r="R20" s="114">
        <v>9624206</v>
      </c>
      <c r="S20" s="114">
        <v>19035996</v>
      </c>
      <c r="T20" s="114">
        <v>1751740</v>
      </c>
      <c r="U20" s="114">
        <v>15610980</v>
      </c>
      <c r="V20" s="114">
        <v>52466728</v>
      </c>
      <c r="W20" s="114">
        <v>6145000</v>
      </c>
      <c r="X20" s="114">
        <v>9624206</v>
      </c>
      <c r="Y20" s="114">
        <v>18785276</v>
      </c>
      <c r="Z20" s="114">
        <v>1751740</v>
      </c>
      <c r="AA20" s="114">
        <v>15259029</v>
      </c>
      <c r="AB20" s="114">
        <v>-16277854</v>
      </c>
      <c r="AC20" s="114">
        <v>-4671278</v>
      </c>
      <c r="AH20" s="114">
        <v>0</v>
      </c>
      <c r="AI20" s="114">
        <v>0</v>
      </c>
      <c r="AJ20" s="121">
        <v>0</v>
      </c>
      <c r="AK20" s="82">
        <v>622830450</v>
      </c>
      <c r="AL20" s="83">
        <v>10156510</v>
      </c>
      <c r="AM20" s="114">
        <v>819162</v>
      </c>
      <c r="AN20" s="114">
        <v>168170175</v>
      </c>
      <c r="AO20" s="114">
        <v>19622884</v>
      </c>
      <c r="AP20" s="114">
        <v>230197292</v>
      </c>
      <c r="AQ20" s="114">
        <v>123160564</v>
      </c>
      <c r="AR20" s="114">
        <v>78133615</v>
      </c>
      <c r="AS20" s="114">
        <v>14980932</v>
      </c>
      <c r="AT20" s="114">
        <v>273206</v>
      </c>
      <c r="AU20" s="114">
        <v>0</v>
      </c>
      <c r="AV20" s="114">
        <v>0</v>
      </c>
      <c r="AW20" s="114">
        <v>22288</v>
      </c>
      <c r="AX20" s="114">
        <v>295160</v>
      </c>
      <c r="AY20" s="114">
        <v>0</v>
      </c>
      <c r="BD20" s="82">
        <v>31857988.620000001</v>
      </c>
      <c r="BE20" s="82">
        <v>16247574.199999999</v>
      </c>
      <c r="BF20" s="117">
        <v>30364767</v>
      </c>
      <c r="BG20" s="118">
        <v>2654279</v>
      </c>
      <c r="BH20" s="118">
        <v>5308558</v>
      </c>
      <c r="BI20" s="117">
        <v>92461117</v>
      </c>
      <c r="BJ20" s="117">
        <v>92461117</v>
      </c>
      <c r="BK20" s="117">
        <v>147101561.00000003</v>
      </c>
      <c r="BL20" s="117">
        <v>142091364</v>
      </c>
      <c r="BM20" s="117">
        <v>666653</v>
      </c>
      <c r="BN20" s="117">
        <v>0</v>
      </c>
      <c r="BO20" s="119"/>
      <c r="BP20" s="86">
        <v>7012475765.1999998</v>
      </c>
      <c r="BQ20" s="86">
        <v>6125367818</v>
      </c>
      <c r="BR20" s="87">
        <v>7559751</v>
      </c>
      <c r="BT20" s="114">
        <v>33503</v>
      </c>
      <c r="BU20" s="114">
        <v>1884</v>
      </c>
      <c r="BV20" s="114">
        <v>6000</v>
      </c>
      <c r="BW20" s="114">
        <f t="shared" si="6"/>
        <v>41387</v>
      </c>
      <c r="BX20" s="86">
        <v>5814414195</v>
      </c>
      <c r="BY20" s="82">
        <f t="shared" si="1"/>
        <v>622830450</v>
      </c>
      <c r="BZ20" s="82">
        <f t="shared" si="2"/>
        <v>10156510</v>
      </c>
      <c r="CA20" s="86">
        <f t="shared" si="3"/>
        <v>325934555</v>
      </c>
      <c r="CB20" s="86">
        <f t="shared" si="4"/>
        <v>6773335710</v>
      </c>
    </row>
    <row r="21" spans="1:80" x14ac:dyDescent="0.25">
      <c r="A21" s="91" t="s">
        <v>75</v>
      </c>
      <c r="B21" s="114">
        <v>77395716</v>
      </c>
      <c r="C21" s="114">
        <v>88011700</v>
      </c>
      <c r="D21" s="114">
        <v>17906452</v>
      </c>
      <c r="E21" s="114">
        <v>0</v>
      </c>
      <c r="F21" s="114">
        <v>14426719</v>
      </c>
      <c r="G21" s="114">
        <v>5839800</v>
      </c>
      <c r="H21" s="114">
        <v>6929525</v>
      </c>
      <c r="I21" s="114">
        <v>1202807</v>
      </c>
      <c r="J21" s="114">
        <v>0</v>
      </c>
      <c r="K21" s="114">
        <v>0</v>
      </c>
      <c r="L21" s="114">
        <v>387721383</v>
      </c>
      <c r="M21" s="114">
        <v>32105020</v>
      </c>
      <c r="N21" s="114">
        <v>614</v>
      </c>
      <c r="O21" s="114">
        <v>217</v>
      </c>
      <c r="P21" s="114">
        <v>2383150</v>
      </c>
      <c r="Q21" s="114">
        <v>682189</v>
      </c>
      <c r="R21" s="114">
        <v>774200</v>
      </c>
      <c r="S21" s="114">
        <v>603600</v>
      </c>
      <c r="T21" s="114">
        <v>246610</v>
      </c>
      <c r="U21" s="114">
        <v>178000</v>
      </c>
      <c r="V21" s="114">
        <v>2383150</v>
      </c>
      <c r="W21" s="114">
        <v>1428100</v>
      </c>
      <c r="X21" s="114">
        <v>774200</v>
      </c>
      <c r="Y21" s="114">
        <v>603600</v>
      </c>
      <c r="Z21" s="114">
        <v>971000</v>
      </c>
      <c r="AA21" s="114">
        <v>178000</v>
      </c>
      <c r="AB21" s="114">
        <v>-331588</v>
      </c>
      <c r="AC21" s="114">
        <v>0</v>
      </c>
      <c r="AD21" s="114">
        <v>0</v>
      </c>
      <c r="AE21" s="114">
        <v>0</v>
      </c>
      <c r="AF21" s="114">
        <v>0</v>
      </c>
      <c r="AG21" s="114">
        <v>0</v>
      </c>
      <c r="AH21" s="114">
        <v>0</v>
      </c>
      <c r="AI21" s="114">
        <v>16844.259999999998</v>
      </c>
      <c r="AJ21" s="121">
        <v>0</v>
      </c>
      <c r="AK21" s="82">
        <v>47305355</v>
      </c>
      <c r="AL21" s="83">
        <v>1563670</v>
      </c>
      <c r="AM21" s="114">
        <v>0</v>
      </c>
      <c r="AN21" s="114">
        <v>12099508</v>
      </c>
      <c r="AO21" s="114">
        <v>29609</v>
      </c>
      <c r="AP21" s="114">
        <v>427947</v>
      </c>
      <c r="AQ21" s="114">
        <v>3340597</v>
      </c>
      <c r="AR21" s="114">
        <v>835467</v>
      </c>
      <c r="AS21" s="114">
        <v>0</v>
      </c>
      <c r="AT21" s="114">
        <v>1911321</v>
      </c>
      <c r="AU21" s="114">
        <v>0</v>
      </c>
      <c r="AV21" s="114">
        <v>0</v>
      </c>
      <c r="AW21" s="114">
        <v>0</v>
      </c>
      <c r="AX21" s="114">
        <v>400</v>
      </c>
      <c r="AY21" s="114">
        <v>0</v>
      </c>
      <c r="BD21" s="82">
        <v>2421601.1</v>
      </c>
      <c r="BE21" s="82">
        <v>1235016.56</v>
      </c>
      <c r="BF21" s="117">
        <v>12694301</v>
      </c>
      <c r="BG21" s="118">
        <v>922249</v>
      </c>
      <c r="BH21" s="118">
        <v>1844499</v>
      </c>
      <c r="BI21" s="117">
        <v>10433101</v>
      </c>
      <c r="BJ21" s="117">
        <v>10433101</v>
      </c>
      <c r="BK21" s="117">
        <v>26166651.600000005</v>
      </c>
      <c r="BL21" s="117">
        <v>20780841.600000005</v>
      </c>
      <c r="BM21" s="117">
        <v>0</v>
      </c>
      <c r="BN21" s="117">
        <v>0</v>
      </c>
      <c r="BO21" s="119"/>
      <c r="BP21" s="86">
        <v>281040659.42000002</v>
      </c>
      <c r="BQ21" s="86">
        <v>198800426.25999999</v>
      </c>
      <c r="BR21" s="87">
        <v>277450</v>
      </c>
      <c r="BT21" s="114">
        <v>2270</v>
      </c>
      <c r="BU21" s="114">
        <v>1558</v>
      </c>
      <c r="BV21" s="114">
        <v>178</v>
      </c>
      <c r="BW21" s="114">
        <f t="shared" si="6"/>
        <v>4006</v>
      </c>
      <c r="BX21" s="86">
        <v>183313868</v>
      </c>
      <c r="BY21" s="82">
        <f t="shared" si="1"/>
        <v>47305355</v>
      </c>
      <c r="BZ21" s="82">
        <f t="shared" si="2"/>
        <v>1563670</v>
      </c>
      <c r="CA21" s="86">
        <f t="shared" si="3"/>
        <v>15469714</v>
      </c>
      <c r="CB21" s="86">
        <f t="shared" si="4"/>
        <v>247652607</v>
      </c>
    </row>
    <row r="22" spans="1:80" x14ac:dyDescent="0.25">
      <c r="A22" s="91" t="s">
        <v>76</v>
      </c>
      <c r="B22" s="114">
        <v>232223040</v>
      </c>
      <c r="C22" s="114">
        <v>66379050</v>
      </c>
      <c r="D22" s="114">
        <v>194480113</v>
      </c>
      <c r="E22" s="114">
        <v>202316964</v>
      </c>
      <c r="F22" s="114">
        <v>25105600</v>
      </c>
      <c r="G22" s="114">
        <v>2551800</v>
      </c>
      <c r="H22" s="114">
        <v>5518000</v>
      </c>
      <c r="I22" s="114">
        <v>112800</v>
      </c>
      <c r="J22" s="114">
        <v>110200</v>
      </c>
      <c r="K22" s="114">
        <v>37600</v>
      </c>
      <c r="L22" s="114">
        <v>130353190</v>
      </c>
      <c r="M22" s="114">
        <v>47000600</v>
      </c>
      <c r="N22" s="114">
        <v>859</v>
      </c>
      <c r="O22" s="114">
        <v>87</v>
      </c>
      <c r="P22" s="114">
        <v>1974600</v>
      </c>
      <c r="Q22" s="114">
        <v>1922700</v>
      </c>
      <c r="R22" s="114">
        <v>100000</v>
      </c>
      <c r="S22" s="114">
        <v>1520600</v>
      </c>
      <c r="T22" s="114">
        <v>241400</v>
      </c>
      <c r="U22" s="114">
        <v>1090500</v>
      </c>
      <c r="V22" s="114">
        <v>664000</v>
      </c>
      <c r="W22" s="114">
        <v>2023000</v>
      </c>
      <c r="X22" s="114">
        <v>100000</v>
      </c>
      <c r="Y22" s="114">
        <v>799800</v>
      </c>
      <c r="Z22" s="114">
        <v>308700</v>
      </c>
      <c r="AA22" s="114">
        <v>871000</v>
      </c>
      <c r="AB22" s="114">
        <v>-559500</v>
      </c>
      <c r="AC22" s="114">
        <v>-77762</v>
      </c>
      <c r="AD22" s="114">
        <v>22331</v>
      </c>
      <c r="AE22" s="114">
        <v>0</v>
      </c>
      <c r="AF22" s="114">
        <v>0</v>
      </c>
      <c r="AG22" s="114">
        <v>67426</v>
      </c>
      <c r="AH22" s="114">
        <v>0</v>
      </c>
      <c r="AI22" s="114">
        <v>401827.87</v>
      </c>
      <c r="AJ22" s="121">
        <v>0</v>
      </c>
      <c r="AK22" s="82">
        <v>71402478</v>
      </c>
      <c r="AL22" s="83">
        <v>1876331</v>
      </c>
      <c r="AM22" s="114">
        <v>962983</v>
      </c>
      <c r="AN22" s="114">
        <v>39481693</v>
      </c>
      <c r="AO22" s="114">
        <v>3659978</v>
      </c>
      <c r="AP22" s="114">
        <v>111678467</v>
      </c>
      <c r="AQ22" s="114">
        <v>23810827</v>
      </c>
      <c r="AR22" s="114">
        <v>41281768</v>
      </c>
      <c r="AS22" s="114">
        <v>20312768</v>
      </c>
      <c r="AT22" s="114">
        <v>1687054625</v>
      </c>
      <c r="AU22" s="114">
        <v>0</v>
      </c>
      <c r="AV22" s="114">
        <v>0</v>
      </c>
      <c r="AW22" s="114">
        <v>0</v>
      </c>
      <c r="AX22" s="114">
        <v>16751</v>
      </c>
      <c r="AY22" s="114">
        <v>0</v>
      </c>
      <c r="BD22" s="82">
        <v>3653982.92</v>
      </c>
      <c r="BE22" s="82">
        <v>1863531.29</v>
      </c>
      <c r="BF22" s="117">
        <v>23129016</v>
      </c>
      <c r="BG22" s="118">
        <v>2390351</v>
      </c>
      <c r="BH22" s="118">
        <v>4780701</v>
      </c>
      <c r="BI22" s="117">
        <v>71898813</v>
      </c>
      <c r="BJ22" s="117">
        <v>71898813</v>
      </c>
      <c r="BK22" s="117">
        <v>59412048.600000009</v>
      </c>
      <c r="BL22" s="117">
        <v>57732108.600000009</v>
      </c>
      <c r="BM22" s="117">
        <v>0</v>
      </c>
      <c r="BN22" s="117">
        <v>0</v>
      </c>
      <c r="BO22" s="119"/>
      <c r="BP22" s="86">
        <v>767600141.75999999</v>
      </c>
      <c r="BQ22" s="86">
        <v>560436528.87</v>
      </c>
      <c r="BR22" s="87">
        <v>904500</v>
      </c>
      <c r="BW22" s="114">
        <f t="shared" si="6"/>
        <v>0</v>
      </c>
      <c r="BX22" s="86">
        <v>493082203</v>
      </c>
      <c r="BY22" s="82">
        <f t="shared" si="1"/>
        <v>71402478</v>
      </c>
      <c r="BZ22" s="82">
        <f t="shared" si="2"/>
        <v>1876331</v>
      </c>
      <c r="CA22" s="86">
        <f t="shared" si="3"/>
        <v>87265266</v>
      </c>
      <c r="CB22" s="86">
        <f t="shared" si="4"/>
        <v>653626278</v>
      </c>
    </row>
    <row r="23" spans="1:80" x14ac:dyDescent="0.25">
      <c r="A23" s="91" t="s">
        <v>77</v>
      </c>
      <c r="B23" s="114">
        <v>405414706</v>
      </c>
      <c r="C23" s="114">
        <v>146031784</v>
      </c>
      <c r="D23" s="114">
        <v>163793477</v>
      </c>
      <c r="E23" s="114">
        <v>0</v>
      </c>
      <c r="F23" s="114">
        <v>53882250</v>
      </c>
      <c r="G23" s="114">
        <v>36075600</v>
      </c>
      <c r="H23" s="114">
        <v>21194450</v>
      </c>
      <c r="I23" s="114">
        <v>8606250</v>
      </c>
      <c r="J23" s="114">
        <v>142800</v>
      </c>
      <c r="K23" s="114">
        <v>37600</v>
      </c>
      <c r="L23" s="114">
        <v>145650624</v>
      </c>
      <c r="M23" s="114">
        <v>112589190</v>
      </c>
      <c r="N23" s="114">
        <v>2272</v>
      </c>
      <c r="O23" s="114">
        <v>1439</v>
      </c>
      <c r="P23" s="114">
        <v>3326700</v>
      </c>
      <c r="Q23" s="114">
        <v>897490</v>
      </c>
      <c r="R23" s="114">
        <v>4452860</v>
      </c>
      <c r="S23" s="114">
        <v>4234760</v>
      </c>
      <c r="T23" s="114">
        <v>819300</v>
      </c>
      <c r="U23" s="114">
        <v>1887700</v>
      </c>
      <c r="V23" s="114">
        <v>3326700</v>
      </c>
      <c r="W23" s="114">
        <v>1154050</v>
      </c>
      <c r="X23" s="114">
        <v>4452860</v>
      </c>
      <c r="Y23" s="114">
        <v>4234760</v>
      </c>
      <c r="Z23" s="114">
        <v>435100</v>
      </c>
      <c r="AA23" s="114">
        <v>1887700</v>
      </c>
      <c r="AB23" s="114">
        <v>-7080400</v>
      </c>
      <c r="AC23" s="114">
        <v>-835951</v>
      </c>
      <c r="AD23" s="114">
        <v>143454</v>
      </c>
      <c r="AG23" s="114">
        <v>218070</v>
      </c>
      <c r="AH23" s="114">
        <v>0</v>
      </c>
      <c r="AI23" s="114">
        <v>1471868.85</v>
      </c>
      <c r="AJ23" s="121">
        <v>56000</v>
      </c>
      <c r="AK23" s="82">
        <v>180445832</v>
      </c>
      <c r="AL23" s="83">
        <v>4829365</v>
      </c>
      <c r="AM23" s="114">
        <v>249174</v>
      </c>
      <c r="AN23" s="114">
        <v>24526065</v>
      </c>
      <c r="AO23" s="114">
        <v>3317627</v>
      </c>
      <c r="AP23" s="114">
        <v>27582526</v>
      </c>
      <c r="AQ23" s="114">
        <v>24243986</v>
      </c>
      <c r="AR23" s="114">
        <v>9423222</v>
      </c>
      <c r="AS23" s="114">
        <v>0</v>
      </c>
      <c r="AT23" s="114">
        <v>793275</v>
      </c>
      <c r="AU23" s="114">
        <v>0</v>
      </c>
      <c r="AV23" s="114">
        <v>0</v>
      </c>
      <c r="AW23" s="114">
        <v>0</v>
      </c>
      <c r="AX23" s="114">
        <v>0</v>
      </c>
      <c r="AY23" s="114">
        <v>22800</v>
      </c>
      <c r="BD23" s="82">
        <v>9234428.9500000011</v>
      </c>
      <c r="BE23" s="82">
        <v>4709558.76</v>
      </c>
      <c r="BF23" s="117">
        <v>0</v>
      </c>
      <c r="BG23" s="118">
        <v>0</v>
      </c>
      <c r="BH23" s="118">
        <v>0</v>
      </c>
      <c r="BI23" s="117">
        <v>40659021</v>
      </c>
      <c r="BJ23" s="117">
        <v>40659021</v>
      </c>
      <c r="BK23" s="117">
        <v>62403580.400000006</v>
      </c>
      <c r="BL23" s="117">
        <v>62403580.400000006</v>
      </c>
      <c r="BM23" s="117">
        <v>0</v>
      </c>
      <c r="BN23" s="117">
        <v>0</v>
      </c>
      <c r="BO23" s="119"/>
      <c r="BP23" s="86">
        <v>1061902871.01</v>
      </c>
      <c r="BQ23" s="86">
        <v>768855513.85000002</v>
      </c>
      <c r="BR23" s="87">
        <v>14095291</v>
      </c>
      <c r="BT23" s="114">
        <v>11658</v>
      </c>
      <c r="BU23" s="114">
        <v>3624</v>
      </c>
      <c r="BV23" s="114">
        <v>686</v>
      </c>
      <c r="BW23" s="114">
        <f t="shared" si="6"/>
        <v>15968</v>
      </c>
      <c r="BX23" s="86">
        <v>715239967</v>
      </c>
      <c r="BY23" s="82">
        <f t="shared" si="1"/>
        <v>180445832</v>
      </c>
      <c r="BZ23" s="82">
        <f t="shared" si="2"/>
        <v>4829365</v>
      </c>
      <c r="CA23" s="86">
        <f t="shared" si="3"/>
        <v>52087678</v>
      </c>
      <c r="CB23" s="86">
        <f t="shared" si="4"/>
        <v>952602842</v>
      </c>
    </row>
    <row r="24" spans="1:80" x14ac:dyDescent="0.25">
      <c r="A24" s="91" t="s">
        <v>78</v>
      </c>
      <c r="B24" s="114">
        <v>224181205</v>
      </c>
      <c r="C24" s="114">
        <v>184434350</v>
      </c>
      <c r="D24" s="114">
        <v>74814950</v>
      </c>
      <c r="E24" s="114">
        <v>0</v>
      </c>
      <c r="F24" s="114">
        <v>41519500</v>
      </c>
      <c r="G24" s="114">
        <v>8401600</v>
      </c>
      <c r="H24" s="114">
        <v>23450400</v>
      </c>
      <c r="I24" s="114">
        <v>2267700</v>
      </c>
      <c r="J24" s="114">
        <v>0</v>
      </c>
      <c r="K24" s="114">
        <v>0</v>
      </c>
      <c r="L24" s="114">
        <v>295823195</v>
      </c>
      <c r="M24" s="114">
        <v>111664100</v>
      </c>
      <c r="N24" s="114">
        <v>1892</v>
      </c>
      <c r="O24" s="114">
        <v>357</v>
      </c>
      <c r="P24" s="114">
        <v>2246500</v>
      </c>
      <c r="Q24" s="114">
        <v>1861000</v>
      </c>
      <c r="R24" s="114">
        <v>3239500</v>
      </c>
      <c r="S24" s="114">
        <v>27500</v>
      </c>
      <c r="T24" s="114">
        <v>35000</v>
      </c>
      <c r="U24" s="114">
        <v>0</v>
      </c>
      <c r="V24" s="114">
        <v>2246500</v>
      </c>
      <c r="W24" s="114">
        <v>1907500</v>
      </c>
      <c r="X24" s="114">
        <v>3239500</v>
      </c>
      <c r="Y24" s="114">
        <v>27500</v>
      </c>
      <c r="Z24" s="114">
        <v>39000</v>
      </c>
      <c r="AA24" s="114">
        <v>0</v>
      </c>
      <c r="AB24" s="114">
        <v>-1687800</v>
      </c>
      <c r="AC24" s="114">
        <v>-3066</v>
      </c>
      <c r="AD24" s="114">
        <v>146617</v>
      </c>
      <c r="AG24" s="114">
        <v>274793</v>
      </c>
      <c r="AH24" s="114">
        <v>4483.6099999999997</v>
      </c>
      <c r="AI24" s="114">
        <v>57147.54</v>
      </c>
      <c r="AJ24" s="121">
        <v>0</v>
      </c>
      <c r="AK24" s="82">
        <v>91229357</v>
      </c>
      <c r="AL24" s="83">
        <v>2548753</v>
      </c>
      <c r="AM24" s="114">
        <v>0</v>
      </c>
      <c r="AN24" s="114">
        <v>11483249</v>
      </c>
      <c r="AO24" s="114">
        <v>433834</v>
      </c>
      <c r="AP24" s="114">
        <v>21277530</v>
      </c>
      <c r="AQ24" s="114">
        <v>14148635</v>
      </c>
      <c r="AR24" s="114">
        <v>27531334</v>
      </c>
      <c r="AS24" s="114">
        <v>17820131</v>
      </c>
      <c r="AT24" s="114">
        <v>0</v>
      </c>
      <c r="AU24" s="114">
        <v>0</v>
      </c>
      <c r="AV24" s="114">
        <v>0</v>
      </c>
      <c r="AW24" s="114">
        <v>32302</v>
      </c>
      <c r="AX24" s="114">
        <v>8976</v>
      </c>
      <c r="AY24" s="114">
        <v>0</v>
      </c>
      <c r="BD24" s="82">
        <v>4668978.84</v>
      </c>
      <c r="BE24" s="82">
        <v>2381179.21</v>
      </c>
      <c r="BF24" s="117">
        <v>0</v>
      </c>
      <c r="BG24" s="118">
        <v>0</v>
      </c>
      <c r="BH24" s="118">
        <v>0</v>
      </c>
      <c r="BI24" s="117">
        <v>24305511</v>
      </c>
      <c r="BJ24" s="117">
        <v>24305511</v>
      </c>
      <c r="BK24" s="117">
        <v>57671325.399999999</v>
      </c>
      <c r="BL24" s="117">
        <v>57245111.399999999</v>
      </c>
      <c r="BM24" s="117">
        <v>0</v>
      </c>
      <c r="BN24" s="117">
        <v>0</v>
      </c>
      <c r="BO24" s="119"/>
      <c r="BP24" s="86">
        <v>687267765.76000011</v>
      </c>
      <c r="BQ24" s="86">
        <v>509557854.15000004</v>
      </c>
      <c r="BR24" s="87">
        <v>636000</v>
      </c>
      <c r="BT24" s="114">
        <v>6504</v>
      </c>
      <c r="BU24" s="114">
        <v>4161</v>
      </c>
      <c r="BV24" s="114">
        <v>383</v>
      </c>
      <c r="BW24" s="114">
        <f t="shared" si="6"/>
        <v>11048</v>
      </c>
      <c r="BX24" s="86">
        <v>483430505</v>
      </c>
      <c r="BY24" s="82">
        <f t="shared" si="1"/>
        <v>91229357</v>
      </c>
      <c r="BZ24" s="82">
        <f t="shared" si="2"/>
        <v>2548753</v>
      </c>
      <c r="CA24" s="86">
        <f t="shared" si="3"/>
        <v>43885849</v>
      </c>
      <c r="CB24" s="86">
        <f t="shared" si="4"/>
        <v>621094464</v>
      </c>
    </row>
    <row r="25" spans="1:80" x14ac:dyDescent="0.25">
      <c r="A25" s="91" t="s">
        <v>79</v>
      </c>
      <c r="B25" s="114">
        <v>1765774692</v>
      </c>
      <c r="C25" s="114">
        <v>440017601</v>
      </c>
      <c r="D25" s="114">
        <v>944006160</v>
      </c>
      <c r="E25" s="114">
        <v>35360053</v>
      </c>
      <c r="F25" s="114">
        <v>127693367</v>
      </c>
      <c r="G25" s="114">
        <v>17518820</v>
      </c>
      <c r="H25" s="114">
        <v>17140863</v>
      </c>
      <c r="I25" s="114">
        <v>1059282</v>
      </c>
      <c r="J25" s="114">
        <v>188000</v>
      </c>
      <c r="K25" s="114">
        <v>0</v>
      </c>
      <c r="L25" s="114">
        <v>1086294590</v>
      </c>
      <c r="M25" s="114">
        <v>208958291</v>
      </c>
      <c r="N25" s="114">
        <v>3967</v>
      </c>
      <c r="O25" s="114">
        <v>529</v>
      </c>
      <c r="P25" s="114">
        <v>31847143</v>
      </c>
      <c r="Q25" s="114">
        <v>8813062</v>
      </c>
      <c r="R25" s="114">
        <v>45538763</v>
      </c>
      <c r="S25" s="114">
        <v>16186624</v>
      </c>
      <c r="T25" s="114">
        <v>4082152</v>
      </c>
      <c r="U25" s="114">
        <v>8107966</v>
      </c>
      <c r="V25" s="114">
        <v>31847143</v>
      </c>
      <c r="W25" s="114">
        <v>10096492</v>
      </c>
      <c r="X25" s="114">
        <v>45538763</v>
      </c>
      <c r="Y25" s="114">
        <v>16186624</v>
      </c>
      <c r="Z25" s="114">
        <v>6485058</v>
      </c>
      <c r="AA25" s="114">
        <v>8107966</v>
      </c>
      <c r="AB25" s="114">
        <v>-5321762</v>
      </c>
      <c r="AC25" s="114">
        <v>-274543</v>
      </c>
      <c r="AD25" s="114">
        <v>44266</v>
      </c>
      <c r="AE25" s="114">
        <v>2810</v>
      </c>
      <c r="AF25" s="114">
        <v>256549797</v>
      </c>
      <c r="AG25" s="114">
        <v>409266</v>
      </c>
      <c r="AH25" s="114">
        <v>797434.43</v>
      </c>
      <c r="AI25" s="114">
        <v>1786844.26</v>
      </c>
      <c r="AJ25" s="121">
        <v>0</v>
      </c>
      <c r="AK25" s="82">
        <v>370596380</v>
      </c>
      <c r="AL25" s="83">
        <v>8188153</v>
      </c>
      <c r="AM25" s="114">
        <v>0</v>
      </c>
      <c r="AN25" s="114">
        <v>155393700</v>
      </c>
      <c r="AO25" s="114">
        <v>38836602</v>
      </c>
      <c r="AP25" s="114">
        <v>622599674</v>
      </c>
      <c r="AQ25" s="114">
        <v>161669960</v>
      </c>
      <c r="AR25" s="114">
        <v>186463981</v>
      </c>
      <c r="AS25" s="114">
        <v>71269117</v>
      </c>
      <c r="AT25" s="114">
        <v>12026605</v>
      </c>
      <c r="AU25" s="114">
        <v>17201896</v>
      </c>
      <c r="AV25" s="114">
        <v>1951517</v>
      </c>
      <c r="AW25" s="114">
        <v>269010826</v>
      </c>
      <c r="AX25" s="114">
        <v>1689312</v>
      </c>
      <c r="AY25" s="114">
        <v>1048250</v>
      </c>
      <c r="BD25" s="82">
        <v>18961317.93</v>
      </c>
      <c r="BE25" s="82">
        <v>9670272.1500000004</v>
      </c>
      <c r="BF25" s="117">
        <v>0</v>
      </c>
      <c r="BG25" s="118">
        <v>2525314</v>
      </c>
      <c r="BH25" s="118">
        <v>5050628</v>
      </c>
      <c r="BI25" s="117">
        <v>58055563</v>
      </c>
      <c r="BJ25" s="117">
        <v>58055563</v>
      </c>
      <c r="BK25" s="117">
        <v>91601271</v>
      </c>
      <c r="BL25" s="117">
        <v>85486916</v>
      </c>
      <c r="BM25" s="117">
        <v>50911</v>
      </c>
      <c r="BN25" s="117">
        <v>16398174</v>
      </c>
      <c r="BO25" s="119"/>
      <c r="BP25" s="86">
        <v>4059254676.8400002</v>
      </c>
      <c r="BQ25" s="86">
        <v>3508282993.6900001</v>
      </c>
      <c r="BR25" s="87">
        <v>4919026</v>
      </c>
      <c r="BT25" s="114">
        <f>21741+4009</f>
        <v>25750</v>
      </c>
      <c r="BU25" s="114">
        <v>1632</v>
      </c>
      <c r="BV25" s="114">
        <v>962</v>
      </c>
      <c r="BW25" s="114">
        <f>SUM(BT25:BV25)</f>
        <v>28344</v>
      </c>
      <c r="BX25" s="86">
        <v>3149798453</v>
      </c>
      <c r="BY25" s="82">
        <f t="shared" si="1"/>
        <v>370596380</v>
      </c>
      <c r="BZ25" s="82">
        <f t="shared" si="2"/>
        <v>8188153</v>
      </c>
      <c r="CA25" s="86">
        <f t="shared" si="3"/>
        <v>427169379</v>
      </c>
      <c r="CB25" s="86">
        <f t="shared" si="4"/>
        <v>3955752365</v>
      </c>
    </row>
    <row r="26" spans="1:80" x14ac:dyDescent="0.25">
      <c r="A26" s="91" t="s">
        <v>80</v>
      </c>
      <c r="B26" s="114">
        <v>1476457600</v>
      </c>
      <c r="C26" s="114">
        <v>255138000</v>
      </c>
      <c r="D26" s="114">
        <v>618030600</v>
      </c>
      <c r="E26" s="114">
        <v>4200000</v>
      </c>
      <c r="F26" s="114">
        <v>93758800</v>
      </c>
      <c r="G26" s="114">
        <v>19072200</v>
      </c>
      <c r="H26" s="114">
        <v>13914900</v>
      </c>
      <c r="I26" s="114">
        <v>1685100</v>
      </c>
      <c r="J26" s="114">
        <v>112800</v>
      </c>
      <c r="K26" s="114">
        <v>0</v>
      </c>
      <c r="L26" s="114">
        <v>478719600</v>
      </c>
      <c r="M26" s="114">
        <v>0</v>
      </c>
      <c r="N26" s="114">
        <v>2925</v>
      </c>
      <c r="O26" s="114">
        <v>582</v>
      </c>
      <c r="P26" s="56">
        <v>9564100</v>
      </c>
      <c r="Q26" s="114">
        <v>1218100</v>
      </c>
      <c r="R26" s="114">
        <v>900000</v>
      </c>
      <c r="S26" s="114">
        <v>4729300</v>
      </c>
      <c r="T26" s="114">
        <v>2432800</v>
      </c>
      <c r="U26" s="114">
        <v>2820500</v>
      </c>
      <c r="V26" s="114">
        <v>9564100</v>
      </c>
      <c r="W26" s="114">
        <v>2209600</v>
      </c>
      <c r="X26" s="114">
        <v>900000</v>
      </c>
      <c r="Y26" s="114">
        <v>4729300</v>
      </c>
      <c r="Z26" s="114">
        <v>6096900</v>
      </c>
      <c r="AA26" s="114">
        <v>2820500</v>
      </c>
      <c r="AB26" s="114">
        <v>-5092700</v>
      </c>
      <c r="AC26" s="114">
        <v>-1135484</v>
      </c>
      <c r="AD26" s="114">
        <v>0</v>
      </c>
      <c r="AE26" s="114">
        <v>0</v>
      </c>
      <c r="AF26" s="114">
        <v>0</v>
      </c>
      <c r="AG26" s="114">
        <v>0</v>
      </c>
      <c r="AH26" s="114">
        <v>0</v>
      </c>
      <c r="AI26" s="114">
        <v>0</v>
      </c>
      <c r="AJ26" s="121">
        <v>0</v>
      </c>
      <c r="AK26" s="82">
        <v>279602406</v>
      </c>
      <c r="AL26" s="83">
        <v>5056504</v>
      </c>
      <c r="AM26" s="114">
        <v>0</v>
      </c>
      <c r="AN26" s="114">
        <v>75799574</v>
      </c>
      <c r="AO26" s="114">
        <v>14721177</v>
      </c>
      <c r="AP26" s="114">
        <v>239854795</v>
      </c>
      <c r="AQ26" s="114">
        <v>78800619</v>
      </c>
      <c r="AR26" s="114">
        <v>120976181</v>
      </c>
      <c r="AS26" s="114">
        <v>72937343</v>
      </c>
      <c r="AT26" s="114">
        <v>3176402</v>
      </c>
      <c r="AU26" s="114">
        <v>0</v>
      </c>
      <c r="AV26" s="114">
        <v>26092</v>
      </c>
      <c r="AW26" s="114">
        <v>8111403</v>
      </c>
      <c r="AX26" s="114">
        <v>2456222</v>
      </c>
      <c r="AY26" s="114">
        <v>10000</v>
      </c>
      <c r="BD26" s="82">
        <v>14302959.93</v>
      </c>
      <c r="BE26" s="82">
        <v>7294509.5700000003</v>
      </c>
      <c r="BF26" s="117">
        <v>0</v>
      </c>
      <c r="BG26" s="118">
        <v>3836708</v>
      </c>
      <c r="BH26" s="118">
        <v>7673415</v>
      </c>
      <c r="BI26" s="117">
        <v>89885323</v>
      </c>
      <c r="BJ26" s="117">
        <v>89711108</v>
      </c>
      <c r="BK26" s="117">
        <v>144687536</v>
      </c>
      <c r="BL26" s="117">
        <v>140319818</v>
      </c>
      <c r="BM26" s="117">
        <v>0</v>
      </c>
      <c r="BN26" s="117">
        <v>0</v>
      </c>
      <c r="BO26" s="119"/>
      <c r="BP26" s="86">
        <v>3044768623.5700002</v>
      </c>
      <c r="BQ26" s="86">
        <v>2518947570</v>
      </c>
      <c r="BR26" s="87">
        <v>1498900</v>
      </c>
      <c r="BT26" s="114">
        <v>13828</v>
      </c>
      <c r="BU26" s="114">
        <v>2524</v>
      </c>
      <c r="BV26" s="114">
        <v>983</v>
      </c>
      <c r="BW26" s="114">
        <f t="shared" ref="BW26:BW27" si="7">SUM(BT26:BV26)</f>
        <v>17335</v>
      </c>
      <c r="BX26" s="86">
        <v>2349626200</v>
      </c>
      <c r="BY26" s="82">
        <f t="shared" si="1"/>
        <v>279602406</v>
      </c>
      <c r="BZ26" s="82">
        <f t="shared" si="2"/>
        <v>5056504</v>
      </c>
      <c r="CA26" s="86">
        <f t="shared" si="3"/>
        <v>242258713</v>
      </c>
      <c r="CB26" s="86">
        <f t="shared" si="4"/>
        <v>2876543823</v>
      </c>
    </row>
    <row r="27" spans="1:80" x14ac:dyDescent="0.25">
      <c r="A27" s="91" t="s">
        <v>81</v>
      </c>
      <c r="B27" s="114">
        <v>191676800</v>
      </c>
      <c r="C27" s="114">
        <v>70364715</v>
      </c>
      <c r="D27" s="114">
        <v>76106900</v>
      </c>
      <c r="E27" s="114">
        <v>0</v>
      </c>
      <c r="F27" s="114">
        <v>41713100</v>
      </c>
      <c r="G27" s="114">
        <v>29759900</v>
      </c>
      <c r="H27" s="114">
        <v>12642000</v>
      </c>
      <c r="I27" s="114">
        <v>5297800</v>
      </c>
      <c r="J27" s="114">
        <v>72600</v>
      </c>
      <c r="K27" s="114">
        <v>37600</v>
      </c>
      <c r="L27" s="114">
        <v>68621565</v>
      </c>
      <c r="M27" s="114">
        <v>48069790</v>
      </c>
      <c r="N27" s="114">
        <v>1689</v>
      </c>
      <c r="O27" s="114">
        <v>1223</v>
      </c>
      <c r="P27" s="114">
        <v>6471100</v>
      </c>
      <c r="Q27" s="114">
        <v>2390650</v>
      </c>
      <c r="R27" s="114">
        <v>1461000</v>
      </c>
      <c r="S27" s="114">
        <v>4793400</v>
      </c>
      <c r="T27" s="114">
        <v>1188365</v>
      </c>
      <c r="U27" s="114">
        <v>1137800</v>
      </c>
      <c r="V27" s="114">
        <v>6471100</v>
      </c>
      <c r="W27" s="114">
        <v>3054400</v>
      </c>
      <c r="X27" s="114">
        <v>1461000</v>
      </c>
      <c r="Y27" s="114">
        <v>4793400</v>
      </c>
      <c r="Z27" s="114">
        <v>1607000</v>
      </c>
      <c r="AA27" s="114">
        <v>1137800</v>
      </c>
      <c r="AB27" s="114">
        <v>-3531900</v>
      </c>
      <c r="AC27" s="114">
        <v>-93170</v>
      </c>
      <c r="AD27" s="114">
        <v>182712</v>
      </c>
      <c r="AE27" s="114">
        <v>0</v>
      </c>
      <c r="AF27" s="114">
        <v>0</v>
      </c>
      <c r="AG27" s="114">
        <v>215802</v>
      </c>
      <c r="AH27" s="114">
        <v>1445803.28</v>
      </c>
      <c r="AI27" s="114">
        <v>7669311.4800000004</v>
      </c>
      <c r="AJ27" s="121">
        <v>22991.8</v>
      </c>
      <c r="AK27" s="82">
        <v>96675975</v>
      </c>
      <c r="AL27" s="83">
        <v>2367220</v>
      </c>
      <c r="AM27" s="114">
        <v>0</v>
      </c>
      <c r="AN27" s="114">
        <v>21914607</v>
      </c>
      <c r="AO27" s="114">
        <v>2982090</v>
      </c>
      <c r="AP27" s="114">
        <v>8726173</v>
      </c>
      <c r="AQ27" s="114">
        <v>10742021</v>
      </c>
      <c r="AR27" s="114">
        <v>7730001</v>
      </c>
      <c r="AS27" s="114">
        <v>0</v>
      </c>
      <c r="AT27" s="114">
        <f>441922</f>
        <v>441922</v>
      </c>
      <c r="AU27" s="114">
        <v>0</v>
      </c>
      <c r="AV27" s="114">
        <v>0</v>
      </c>
      <c r="AW27" s="114">
        <v>0</v>
      </c>
      <c r="AX27" s="114">
        <v>899</v>
      </c>
      <c r="AY27" s="114">
        <v>0</v>
      </c>
      <c r="BD27" s="82">
        <v>4946921.33</v>
      </c>
      <c r="BE27" s="82">
        <v>2522929.87</v>
      </c>
      <c r="BF27" s="117">
        <v>0</v>
      </c>
      <c r="BG27" s="118">
        <v>800033</v>
      </c>
      <c r="BH27" s="118">
        <v>1600065</v>
      </c>
      <c r="BI27" s="117">
        <v>16783116</v>
      </c>
      <c r="BJ27" s="117">
        <v>16783116</v>
      </c>
      <c r="BK27" s="117">
        <v>48661394.599999994</v>
      </c>
      <c r="BL27" s="117">
        <v>47098747.599999994</v>
      </c>
      <c r="BM27" s="117">
        <v>0</v>
      </c>
      <c r="BN27" s="117">
        <v>0</v>
      </c>
      <c r="BO27" s="119"/>
      <c r="BP27" s="86">
        <v>549173261.02999997</v>
      </c>
      <c r="BQ27" s="86">
        <v>382925239.56</v>
      </c>
      <c r="BR27" s="87">
        <v>504700</v>
      </c>
      <c r="BT27" s="114">
        <v>8441</v>
      </c>
      <c r="BU27" s="114">
        <v>3282</v>
      </c>
      <c r="BV27" s="114">
        <v>382</v>
      </c>
      <c r="BW27" s="114">
        <f t="shared" si="7"/>
        <v>12105</v>
      </c>
      <c r="BX27" s="86">
        <v>338148415</v>
      </c>
      <c r="BY27" s="82">
        <f t="shared" si="1"/>
        <v>96675975</v>
      </c>
      <c r="BZ27" s="82">
        <f t="shared" si="2"/>
        <v>2367220</v>
      </c>
      <c r="CA27" s="86">
        <f t="shared" si="3"/>
        <v>35638718</v>
      </c>
      <c r="CB27" s="86">
        <f t="shared" si="4"/>
        <v>472830328</v>
      </c>
    </row>
    <row r="28" spans="1:80" x14ac:dyDescent="0.25">
      <c r="A28" s="91" t="s">
        <v>82</v>
      </c>
      <c r="B28" s="114">
        <v>198579954</v>
      </c>
      <c r="C28" s="114">
        <v>71605114</v>
      </c>
      <c r="D28" s="114">
        <v>105231886</v>
      </c>
      <c r="E28" s="114">
        <v>0</v>
      </c>
      <c r="F28" s="114">
        <v>25889100</v>
      </c>
      <c r="G28" s="114">
        <v>10306800</v>
      </c>
      <c r="H28" s="114">
        <v>9373450</v>
      </c>
      <c r="I28" s="114">
        <v>1356000</v>
      </c>
      <c r="J28" s="114">
        <v>37600</v>
      </c>
      <c r="K28" s="114">
        <v>0</v>
      </c>
      <c r="L28" s="114">
        <v>137403712</v>
      </c>
      <c r="M28" s="114">
        <v>46858740</v>
      </c>
      <c r="N28" s="114">
        <v>1046</v>
      </c>
      <c r="O28" s="114">
        <v>386</v>
      </c>
      <c r="P28" s="114">
        <v>2696200</v>
      </c>
      <c r="Q28" s="114">
        <v>96925</v>
      </c>
      <c r="R28" s="114">
        <v>368550</v>
      </c>
      <c r="S28" s="114">
        <v>2429164</v>
      </c>
      <c r="T28" s="114">
        <v>425369</v>
      </c>
      <c r="U28" s="114">
        <v>7795290</v>
      </c>
      <c r="V28" s="114">
        <v>2696200</v>
      </c>
      <c r="W28" s="114">
        <v>229000</v>
      </c>
      <c r="X28" s="114">
        <v>368550</v>
      </c>
      <c r="Y28" s="114">
        <v>2429164</v>
      </c>
      <c r="Z28" s="114">
        <v>714625</v>
      </c>
      <c r="AA28" s="114">
        <v>7795290</v>
      </c>
      <c r="AB28" s="114">
        <v>-835950</v>
      </c>
      <c r="AC28" s="114">
        <v>0</v>
      </c>
      <c r="AD28" s="114">
        <v>48349</v>
      </c>
      <c r="AE28" s="114">
        <v>0</v>
      </c>
      <c r="AF28" s="114">
        <v>0</v>
      </c>
      <c r="AG28" s="114">
        <v>96658</v>
      </c>
      <c r="AH28" s="114">
        <v>1096090.1599999999</v>
      </c>
      <c r="AI28" s="114">
        <v>313368.84999999998</v>
      </c>
      <c r="AJ28" s="121">
        <v>0</v>
      </c>
      <c r="AK28" s="82">
        <v>57775584</v>
      </c>
      <c r="AL28" s="83">
        <v>8627878</v>
      </c>
      <c r="AM28" s="114">
        <v>4927424</v>
      </c>
      <c r="AN28" s="114">
        <v>9674698</v>
      </c>
      <c r="AO28" s="114">
        <v>1686336</v>
      </c>
      <c r="AP28" s="114">
        <v>42124054</v>
      </c>
      <c r="AQ28" s="114">
        <v>8642318</v>
      </c>
      <c r="AR28" s="114">
        <v>2369481</v>
      </c>
      <c r="AS28" s="114">
        <v>1038047</v>
      </c>
      <c r="AT28" s="114">
        <v>294161</v>
      </c>
      <c r="AU28" s="114">
        <v>0</v>
      </c>
      <c r="AV28" s="114">
        <v>0</v>
      </c>
      <c r="AW28" s="114">
        <v>312008</v>
      </c>
      <c r="AX28" s="114">
        <v>1590</v>
      </c>
      <c r="AY28" s="114">
        <v>0</v>
      </c>
      <c r="BD28" s="82">
        <v>2973829.4099999997</v>
      </c>
      <c r="BE28" s="82">
        <v>1516653</v>
      </c>
      <c r="BF28" s="117">
        <v>0</v>
      </c>
      <c r="BG28" s="118">
        <v>0</v>
      </c>
      <c r="BH28" s="118">
        <v>0</v>
      </c>
      <c r="BI28" s="117">
        <v>3791862</v>
      </c>
      <c r="BJ28" s="117">
        <v>3791862</v>
      </c>
      <c r="BK28" s="117">
        <v>23827892.600000005</v>
      </c>
      <c r="BL28" s="117">
        <v>23224273.600000005</v>
      </c>
      <c r="BM28" s="117">
        <v>0</v>
      </c>
      <c r="BN28" s="117">
        <v>0</v>
      </c>
      <c r="BO28" s="119"/>
      <c r="BP28" s="86">
        <v>491766015.61000007</v>
      </c>
      <c r="BQ28" s="86">
        <v>396829765.01000005</v>
      </c>
      <c r="BR28" s="87">
        <v>402056</v>
      </c>
      <c r="BT28" s="114">
        <v>5583</v>
      </c>
      <c r="BU28" s="114">
        <v>1772</v>
      </c>
      <c r="BV28" s="114">
        <v>389</v>
      </c>
      <c r="BW28" s="114">
        <f>SUM(BT28:BV28)</f>
        <v>7744</v>
      </c>
      <c r="BX28" s="86">
        <v>375416954</v>
      </c>
      <c r="BY28" s="82">
        <f t="shared" si="1"/>
        <v>57775584</v>
      </c>
      <c r="BZ28" s="82">
        <f t="shared" si="2"/>
        <v>8627878</v>
      </c>
      <c r="CA28" s="86">
        <f t="shared" si="3"/>
        <v>21041399</v>
      </c>
      <c r="CB28" s="86">
        <f t="shared" si="4"/>
        <v>462861815</v>
      </c>
    </row>
    <row r="29" spans="1:80" x14ac:dyDescent="0.25">
      <c r="A29" s="91" t="s">
        <v>83</v>
      </c>
      <c r="B29" s="114">
        <v>153908309</v>
      </c>
      <c r="C29" s="114">
        <v>155826502</v>
      </c>
      <c r="D29" s="114">
        <v>39751099</v>
      </c>
      <c r="E29" s="114">
        <v>0</v>
      </c>
      <c r="F29" s="114">
        <v>25947761</v>
      </c>
      <c r="G29" s="114">
        <v>4744926</v>
      </c>
      <c r="H29" s="114">
        <v>9400300</v>
      </c>
      <c r="I29" s="114">
        <v>1268466</v>
      </c>
      <c r="J29" s="114">
        <v>17500</v>
      </c>
      <c r="K29" s="114">
        <v>0</v>
      </c>
      <c r="L29" s="114">
        <v>244610640</v>
      </c>
      <c r="M29" s="114">
        <v>61731978</v>
      </c>
      <c r="N29" s="114">
        <v>1034</v>
      </c>
      <c r="O29" s="114">
        <v>196</v>
      </c>
      <c r="P29" s="114">
        <v>3354987</v>
      </c>
      <c r="Q29" s="114">
        <v>1643800</v>
      </c>
      <c r="R29" s="114">
        <v>58500</v>
      </c>
      <c r="S29" s="114">
        <v>1810132</v>
      </c>
      <c r="T29" s="114">
        <v>502240</v>
      </c>
      <c r="U29" s="114">
        <v>1807700</v>
      </c>
      <c r="V29" s="114">
        <v>3354987</v>
      </c>
      <c r="W29" s="114">
        <v>1801300</v>
      </c>
      <c r="X29" s="114">
        <v>58500</v>
      </c>
      <c r="Y29" s="114">
        <v>1810132</v>
      </c>
      <c r="Z29" s="114">
        <v>763314</v>
      </c>
      <c r="AA29" s="114">
        <v>1807700</v>
      </c>
      <c r="AB29" s="114">
        <v>-1548074</v>
      </c>
      <c r="AC29" s="114">
        <v>-2213522</v>
      </c>
      <c r="AD29" s="114">
        <v>95216</v>
      </c>
      <c r="AE29" s="114">
        <v>4568</v>
      </c>
      <c r="AF29" s="114">
        <v>780226</v>
      </c>
      <c r="AG29" s="114">
        <v>212871</v>
      </c>
      <c r="AH29" s="114">
        <v>0</v>
      </c>
      <c r="AI29" s="114">
        <v>477672.13</v>
      </c>
      <c r="AJ29" s="121">
        <v>0</v>
      </c>
      <c r="AK29" s="82">
        <v>60479363</v>
      </c>
      <c r="AL29" s="83">
        <v>2081784</v>
      </c>
      <c r="AM29" s="114">
        <v>10000</v>
      </c>
      <c r="AN29" s="114">
        <v>8272361</v>
      </c>
      <c r="AO29" s="114">
        <v>221040</v>
      </c>
      <c r="AP29" s="114">
        <v>11455169</v>
      </c>
      <c r="AQ29" s="114">
        <v>7283299</v>
      </c>
      <c r="AR29" s="114">
        <v>20779197</v>
      </c>
      <c r="AS29" s="114">
        <v>0</v>
      </c>
      <c r="AT29" s="114">
        <v>1049074</v>
      </c>
      <c r="AU29" s="114">
        <v>0</v>
      </c>
      <c r="AV29" s="114">
        <v>0</v>
      </c>
      <c r="AW29" s="114">
        <v>100776</v>
      </c>
      <c r="AX29" s="114">
        <v>2023125</v>
      </c>
      <c r="AY29" s="114">
        <v>709750</v>
      </c>
      <c r="BD29" s="82">
        <v>3096189.6</v>
      </c>
      <c r="BE29" s="82">
        <v>1579056.7000000002</v>
      </c>
      <c r="BF29" s="117">
        <v>21681865</v>
      </c>
      <c r="BG29" s="118">
        <v>0</v>
      </c>
      <c r="BH29" s="118">
        <v>0</v>
      </c>
      <c r="BI29" s="117">
        <v>6699925</v>
      </c>
      <c r="BJ29" s="117">
        <v>6699925</v>
      </c>
      <c r="BK29" s="117">
        <v>25237030.200000003</v>
      </c>
      <c r="BL29" s="117">
        <v>24942044.200000003</v>
      </c>
      <c r="BM29" s="117">
        <v>0</v>
      </c>
      <c r="BN29" s="117">
        <v>0</v>
      </c>
      <c r="BO29" s="119"/>
      <c r="BP29" s="86">
        <v>461522455.02999997</v>
      </c>
      <c r="BQ29" s="86">
        <v>365740282.13</v>
      </c>
      <c r="BR29" s="87">
        <v>423499</v>
      </c>
      <c r="BT29" s="114">
        <v>4498</v>
      </c>
      <c r="BU29" s="114">
        <v>4158</v>
      </c>
      <c r="BV29" s="114">
        <v>329</v>
      </c>
      <c r="BW29" s="114">
        <f t="shared" ref="BW29:BW33" si="8">SUM(BT29:BV29)</f>
        <v>8985</v>
      </c>
      <c r="BX29" s="86">
        <v>349485910</v>
      </c>
      <c r="BY29" s="82">
        <f t="shared" si="1"/>
        <v>60479363</v>
      </c>
      <c r="BZ29" s="82">
        <f t="shared" si="2"/>
        <v>2081784</v>
      </c>
      <c r="CA29" s="86">
        <f t="shared" si="3"/>
        <v>15776700</v>
      </c>
      <c r="CB29" s="86">
        <f t="shared" si="4"/>
        <v>427823757</v>
      </c>
    </row>
    <row r="30" spans="1:80" x14ac:dyDescent="0.25">
      <c r="A30" s="91" t="s">
        <v>84</v>
      </c>
      <c r="B30" s="114">
        <v>147548706</v>
      </c>
      <c r="C30" s="114">
        <v>109508995</v>
      </c>
      <c r="D30" s="114">
        <v>32276937</v>
      </c>
      <c r="E30" s="114">
        <v>0</v>
      </c>
      <c r="F30" s="114">
        <v>17994550</v>
      </c>
      <c r="G30" s="114">
        <v>5124100</v>
      </c>
      <c r="H30" s="114">
        <v>7700400</v>
      </c>
      <c r="I30" s="114">
        <v>1022500</v>
      </c>
      <c r="J30" s="114">
        <v>37600</v>
      </c>
      <c r="K30" s="114">
        <v>0</v>
      </c>
      <c r="L30" s="114">
        <v>147735328</v>
      </c>
      <c r="M30" s="114">
        <v>54843000</v>
      </c>
      <c r="N30" s="114">
        <v>707</v>
      </c>
      <c r="O30" s="114">
        <v>178</v>
      </c>
      <c r="P30" s="114">
        <v>1485338</v>
      </c>
      <c r="Q30" s="114">
        <v>1065000</v>
      </c>
      <c r="R30" s="114">
        <v>336000</v>
      </c>
      <c r="S30" s="114">
        <v>1426254</v>
      </c>
      <c r="T30" s="114">
        <v>44400</v>
      </c>
      <c r="U30" s="114">
        <v>634800</v>
      </c>
      <c r="V30" s="114">
        <v>1485338</v>
      </c>
      <c r="W30" s="114">
        <v>1175000</v>
      </c>
      <c r="X30" s="114">
        <v>336000</v>
      </c>
      <c r="Y30" s="114">
        <v>1426254</v>
      </c>
      <c r="Z30" s="114">
        <v>104000</v>
      </c>
      <c r="AA30" s="114">
        <v>634800</v>
      </c>
      <c r="AB30" s="114">
        <v>-873400</v>
      </c>
      <c r="AC30" s="114">
        <v>60051</v>
      </c>
      <c r="AD30" s="114">
        <v>166884</v>
      </c>
      <c r="AE30" s="114">
        <v>0</v>
      </c>
      <c r="AF30" s="114">
        <v>0</v>
      </c>
      <c r="AG30" s="114">
        <v>0</v>
      </c>
      <c r="AH30" s="114">
        <v>2063860.66</v>
      </c>
      <c r="AI30" s="114">
        <v>29459.02</v>
      </c>
      <c r="AJ30" s="121">
        <v>0</v>
      </c>
      <c r="AK30" s="82">
        <v>41851842</v>
      </c>
      <c r="AL30" s="83">
        <v>6034833</v>
      </c>
      <c r="AM30" s="114">
        <v>5225894</v>
      </c>
      <c r="AN30" s="114">
        <v>6036102</v>
      </c>
      <c r="AO30" s="114">
        <v>335503</v>
      </c>
      <c r="AP30" s="114">
        <v>922360</v>
      </c>
      <c r="AQ30" s="114">
        <v>4503998</v>
      </c>
      <c r="AR30" s="114">
        <v>5725994</v>
      </c>
      <c r="AS30" s="114">
        <v>0</v>
      </c>
      <c r="AT30" s="114">
        <v>141673</v>
      </c>
      <c r="AU30" s="114">
        <v>0</v>
      </c>
      <c r="AV30" s="114">
        <v>0</v>
      </c>
      <c r="AW30" s="114">
        <v>0</v>
      </c>
      <c r="AX30" s="114">
        <v>6530</v>
      </c>
      <c r="AY30" s="114">
        <v>70000</v>
      </c>
      <c r="BD30" s="82">
        <v>2153681.0999999996</v>
      </c>
      <c r="BE30" s="82">
        <v>1098377.3599999999</v>
      </c>
      <c r="BF30" s="117">
        <v>0</v>
      </c>
      <c r="BG30" s="118">
        <v>0</v>
      </c>
      <c r="BH30" s="118">
        <v>0</v>
      </c>
      <c r="BI30" s="117">
        <v>2161476</v>
      </c>
      <c r="BJ30" s="117">
        <v>2161476</v>
      </c>
      <c r="BK30" s="117">
        <v>19344272.600000001</v>
      </c>
      <c r="BL30" s="117">
        <v>19200323.600000001</v>
      </c>
      <c r="BM30" s="117">
        <v>0</v>
      </c>
      <c r="BN30" s="117">
        <v>0</v>
      </c>
      <c r="BO30" s="119"/>
      <c r="BP30" s="86">
        <v>372650412.64000005</v>
      </c>
      <c r="BQ30" s="86">
        <v>302303560.68000001</v>
      </c>
      <c r="BR30" s="87">
        <v>361116</v>
      </c>
      <c r="BT30" s="114">
        <v>3562</v>
      </c>
      <c r="BU30" s="114">
        <v>1834</v>
      </c>
      <c r="BV30" s="114">
        <v>239</v>
      </c>
      <c r="BW30" s="114">
        <f t="shared" si="8"/>
        <v>5635</v>
      </c>
      <c r="BX30" s="86">
        <v>289334638</v>
      </c>
      <c r="BY30" s="82">
        <f t="shared" si="1"/>
        <v>41851842</v>
      </c>
      <c r="BZ30" s="82">
        <f t="shared" si="2"/>
        <v>6034833</v>
      </c>
      <c r="CA30" s="86">
        <f t="shared" si="3"/>
        <v>10875603</v>
      </c>
      <c r="CB30" s="86">
        <f t="shared" si="4"/>
        <v>348096916</v>
      </c>
    </row>
    <row r="31" spans="1:80" x14ac:dyDescent="0.25">
      <c r="A31" s="91" t="s">
        <v>85</v>
      </c>
      <c r="B31" s="114">
        <v>3696306174</v>
      </c>
      <c r="C31" s="114">
        <v>414579799</v>
      </c>
      <c r="D31" s="114">
        <v>1663054625</v>
      </c>
      <c r="E31" s="114">
        <v>0</v>
      </c>
      <c r="F31" s="114">
        <v>300850555</v>
      </c>
      <c r="G31" s="114">
        <v>37023700</v>
      </c>
      <c r="H31" s="114">
        <v>21107900</v>
      </c>
      <c r="I31" s="114">
        <v>1651600</v>
      </c>
      <c r="J31" s="114">
        <v>1165400</v>
      </c>
      <c r="K31" s="114">
        <v>75200</v>
      </c>
      <c r="L31" s="114">
        <v>1011079812</v>
      </c>
      <c r="M31" s="114">
        <v>224641663</v>
      </c>
      <c r="N31" s="114">
        <v>8695</v>
      </c>
      <c r="O31" s="114">
        <v>1080</v>
      </c>
      <c r="P31" s="114">
        <v>56166776</v>
      </c>
      <c r="Q31" s="114">
        <v>6081040</v>
      </c>
      <c r="R31" s="114">
        <v>60806381</v>
      </c>
      <c r="S31" s="114">
        <v>13603386</v>
      </c>
      <c r="T31" s="114">
        <v>3271296</v>
      </c>
      <c r="U31" s="114">
        <v>21154459</v>
      </c>
      <c r="V31" s="114">
        <v>56166776</v>
      </c>
      <c r="W31" s="114">
        <v>7497318</v>
      </c>
      <c r="X31" s="114">
        <v>60806381</v>
      </c>
      <c r="Y31" s="114">
        <v>13603386</v>
      </c>
      <c r="Z31" s="114">
        <v>8293002</v>
      </c>
      <c r="AA31" s="114">
        <v>21154459</v>
      </c>
      <c r="AB31" s="114">
        <v>-14067359</v>
      </c>
      <c r="AC31" s="114">
        <v>420353</v>
      </c>
      <c r="AG31" s="114">
        <v>245016</v>
      </c>
      <c r="AH31" s="114">
        <v>2346114.75</v>
      </c>
      <c r="AI31" s="114">
        <v>226131.15</v>
      </c>
      <c r="AJ31" s="121">
        <v>402073.77</v>
      </c>
      <c r="AK31" s="82">
        <v>702760109</v>
      </c>
      <c r="AL31" s="83">
        <v>14565743</v>
      </c>
      <c r="AM31" s="114">
        <v>39260</v>
      </c>
      <c r="AN31" s="114">
        <v>229450169</v>
      </c>
      <c r="AO31" s="114">
        <v>27734459</v>
      </c>
      <c r="AP31" s="114">
        <v>414019055</v>
      </c>
      <c r="AQ31" s="114">
        <v>280659406</v>
      </c>
      <c r="AR31" s="114">
        <v>249328740</v>
      </c>
      <c r="AS31" s="114">
        <v>45798613</v>
      </c>
      <c r="AT31" s="114">
        <f>30903760+462935224</f>
        <v>493838984</v>
      </c>
      <c r="AU31" s="114">
        <v>27027769</v>
      </c>
      <c r="AV31" s="114">
        <v>7830866</v>
      </c>
      <c r="AW31" s="114">
        <v>64255827</v>
      </c>
      <c r="AX31" s="114">
        <v>867485</v>
      </c>
      <c r="AY31" s="114">
        <v>2539741</v>
      </c>
      <c r="BD31" s="82">
        <v>35953927.079999998</v>
      </c>
      <c r="BE31" s="82">
        <v>18336502.809999999</v>
      </c>
      <c r="BF31" s="117">
        <v>33817617</v>
      </c>
      <c r="BG31" s="118">
        <v>2220147</v>
      </c>
      <c r="BH31" s="118">
        <v>4440294</v>
      </c>
      <c r="BI31" s="117">
        <v>91151175</v>
      </c>
      <c r="BJ31" s="117">
        <v>91151175</v>
      </c>
      <c r="BK31" s="117">
        <v>150550701.19999999</v>
      </c>
      <c r="BL31" s="117">
        <v>144347941.19999999</v>
      </c>
      <c r="BM31" s="117">
        <v>44990475</v>
      </c>
      <c r="BN31" s="117">
        <v>0</v>
      </c>
      <c r="BO31" s="119"/>
      <c r="BP31" s="86">
        <v>7333131044.6800003</v>
      </c>
      <c r="BQ31" s="86">
        <v>6314758951.6700001</v>
      </c>
      <c r="BR31" s="87">
        <v>2757580</v>
      </c>
      <c r="BT31" s="114">
        <v>35658</v>
      </c>
      <c r="BU31" s="114">
        <v>4715</v>
      </c>
      <c r="BV31" s="114">
        <v>4145</v>
      </c>
      <c r="BW31" s="114">
        <f t="shared" si="8"/>
        <v>44518</v>
      </c>
      <c r="BX31" s="86">
        <v>5773940598</v>
      </c>
      <c r="BY31" s="82">
        <f t="shared" si="1"/>
        <v>702760109</v>
      </c>
      <c r="BZ31" s="82">
        <f t="shared" si="2"/>
        <v>14565743</v>
      </c>
      <c r="CA31" s="86">
        <f t="shared" si="3"/>
        <v>583642647</v>
      </c>
      <c r="CB31" s="86">
        <f t="shared" si="4"/>
        <v>7074909097</v>
      </c>
    </row>
    <row r="32" spans="1:80" x14ac:dyDescent="0.25">
      <c r="A32" s="91" t="s">
        <v>86</v>
      </c>
      <c r="B32" s="114">
        <v>406733988</v>
      </c>
      <c r="C32" s="114">
        <v>120520854</v>
      </c>
      <c r="D32" s="114">
        <v>44416559</v>
      </c>
      <c r="E32" s="114">
        <v>0</v>
      </c>
      <c r="F32" s="114">
        <v>30784850</v>
      </c>
      <c r="G32" s="114">
        <v>9653950</v>
      </c>
      <c r="H32" s="114">
        <v>14186359</v>
      </c>
      <c r="I32" s="114">
        <v>1703800</v>
      </c>
      <c r="J32" s="114">
        <v>37600</v>
      </c>
      <c r="K32" s="114">
        <v>0</v>
      </c>
      <c r="L32" s="114">
        <v>192280851</v>
      </c>
      <c r="M32" s="114">
        <v>95066110</v>
      </c>
      <c r="N32" s="114">
        <v>1284</v>
      </c>
      <c r="O32" s="114">
        <v>364</v>
      </c>
      <c r="P32" s="114">
        <v>12111600</v>
      </c>
      <c r="Q32" s="114">
        <v>1516200</v>
      </c>
      <c r="R32" s="114">
        <v>273316</v>
      </c>
      <c r="S32" s="114">
        <v>210100</v>
      </c>
      <c r="T32" s="114">
        <v>77000</v>
      </c>
      <c r="U32" s="114">
        <v>17000</v>
      </c>
      <c r="V32" s="114">
        <v>12111600</v>
      </c>
      <c r="W32" s="114">
        <v>1297000</v>
      </c>
      <c r="X32" s="114">
        <v>273316</v>
      </c>
      <c r="Y32" s="114">
        <v>210100</v>
      </c>
      <c r="Z32" s="114">
        <v>0</v>
      </c>
      <c r="AA32" s="114">
        <v>17000</v>
      </c>
      <c r="AB32" s="114">
        <v>-1472354</v>
      </c>
      <c r="AC32" s="114">
        <v>31642</v>
      </c>
      <c r="AD32" s="114">
        <v>69243</v>
      </c>
      <c r="AE32" s="114">
        <v>7845</v>
      </c>
      <c r="AF32" s="114">
        <v>9696399</v>
      </c>
      <c r="AG32" s="114">
        <v>140386</v>
      </c>
      <c r="AH32" s="114">
        <v>660442.62</v>
      </c>
      <c r="AI32" s="114">
        <v>0</v>
      </c>
      <c r="AJ32" s="121">
        <v>0</v>
      </c>
      <c r="AK32" s="82">
        <v>78432113</v>
      </c>
      <c r="AL32" s="83">
        <v>7536926</v>
      </c>
      <c r="AM32" s="114">
        <v>808000</v>
      </c>
      <c r="AN32" s="114">
        <v>5227676</v>
      </c>
      <c r="AO32" s="114">
        <v>68519</v>
      </c>
      <c r="AP32" s="114">
        <v>5477614</v>
      </c>
      <c r="AQ32" s="114">
        <v>5920427</v>
      </c>
      <c r="AR32" s="114">
        <v>1350904</v>
      </c>
      <c r="AS32" s="114">
        <v>0</v>
      </c>
      <c r="AT32" s="114">
        <v>981766</v>
      </c>
      <c r="AU32" s="114">
        <v>0</v>
      </c>
      <c r="AV32" s="114">
        <v>0</v>
      </c>
      <c r="AW32" s="114">
        <v>0</v>
      </c>
      <c r="AX32" s="114">
        <v>0</v>
      </c>
      <c r="AY32" s="114">
        <v>0</v>
      </c>
      <c r="BD32" s="82">
        <v>4026964.6</v>
      </c>
      <c r="BE32" s="82">
        <v>2053751.94</v>
      </c>
      <c r="BF32" s="117">
        <v>0</v>
      </c>
      <c r="BG32" s="118">
        <v>332910</v>
      </c>
      <c r="BH32" s="118">
        <v>665819</v>
      </c>
      <c r="BI32" s="117">
        <v>2282136</v>
      </c>
      <c r="BJ32" s="117">
        <v>2282136</v>
      </c>
      <c r="BK32" s="117">
        <v>17308479.200000003</v>
      </c>
      <c r="BL32" s="117">
        <v>16804769.200000003</v>
      </c>
      <c r="BM32" s="117">
        <v>0</v>
      </c>
      <c r="BN32" s="117">
        <v>0</v>
      </c>
      <c r="BO32" s="119"/>
      <c r="BP32" s="86">
        <v>690991071.76000011</v>
      </c>
      <c r="BQ32" s="86">
        <v>583548465.62</v>
      </c>
      <c r="BR32" s="87">
        <v>767550</v>
      </c>
      <c r="BT32" s="114">
        <v>7327</v>
      </c>
      <c r="BU32" s="114">
        <v>2198</v>
      </c>
      <c r="BV32" s="114">
        <v>251</v>
      </c>
      <c r="BW32" s="114">
        <f t="shared" si="8"/>
        <v>9776</v>
      </c>
      <c r="BX32" s="86">
        <v>571671401</v>
      </c>
      <c r="BY32" s="82">
        <f t="shared" si="1"/>
        <v>78432113</v>
      </c>
      <c r="BZ32" s="82">
        <f t="shared" si="2"/>
        <v>7536926</v>
      </c>
      <c r="CA32" s="86">
        <f t="shared" si="3"/>
        <v>11216622</v>
      </c>
      <c r="CB32" s="86">
        <f t="shared" si="4"/>
        <v>668857062</v>
      </c>
    </row>
    <row r="33" spans="1:80" x14ac:dyDescent="0.25">
      <c r="A33" s="91" t="s">
        <v>87</v>
      </c>
      <c r="B33" s="114">
        <v>66114903</v>
      </c>
      <c r="C33" s="114">
        <v>60861244</v>
      </c>
      <c r="D33" s="114">
        <v>17183799</v>
      </c>
      <c r="E33" s="114">
        <v>0</v>
      </c>
      <c r="F33" s="114">
        <v>7675777</v>
      </c>
      <c r="G33" s="114">
        <v>7782120</v>
      </c>
      <c r="H33" s="114">
        <v>10730300</v>
      </c>
      <c r="I33" s="114">
        <v>5917322</v>
      </c>
      <c r="J33" s="114">
        <v>37600</v>
      </c>
      <c r="K33" s="114">
        <v>0</v>
      </c>
      <c r="L33" s="114">
        <v>101191135</v>
      </c>
      <c r="M33" s="114">
        <v>2313669</v>
      </c>
      <c r="N33" s="114">
        <v>574</v>
      </c>
      <c r="O33" s="114">
        <v>456</v>
      </c>
      <c r="P33" s="114">
        <v>2312450</v>
      </c>
      <c r="Q33" s="114">
        <v>956095</v>
      </c>
      <c r="R33" s="114">
        <v>1438578</v>
      </c>
      <c r="S33" s="114">
        <v>902719</v>
      </c>
      <c r="T33" s="114">
        <v>861536</v>
      </c>
      <c r="U33" s="114">
        <v>287863</v>
      </c>
      <c r="V33" s="114">
        <v>2312450</v>
      </c>
      <c r="W33" s="114">
        <v>1172693</v>
      </c>
      <c r="X33" s="114">
        <v>1438578</v>
      </c>
      <c r="Y33" s="114">
        <v>902719</v>
      </c>
      <c r="Z33" s="114">
        <v>1253217</v>
      </c>
      <c r="AA33" s="114">
        <v>287863</v>
      </c>
      <c r="AB33" s="114">
        <v>-1239357</v>
      </c>
      <c r="AC33" s="114">
        <v>0</v>
      </c>
      <c r="AD33" s="114">
        <v>120833</v>
      </c>
      <c r="AG33" s="114">
        <v>147720</v>
      </c>
      <c r="AH33" s="114">
        <v>921663.93</v>
      </c>
      <c r="AI33" s="114">
        <v>0</v>
      </c>
      <c r="AJ33" s="121">
        <v>30967.21</v>
      </c>
      <c r="AK33" s="82">
        <v>33446818</v>
      </c>
      <c r="AL33" s="83">
        <v>1039282</v>
      </c>
      <c r="AM33" s="114">
        <v>0</v>
      </c>
      <c r="AN33" s="114">
        <v>1444991</v>
      </c>
      <c r="AO33" s="114">
        <v>53379</v>
      </c>
      <c r="AP33" s="114">
        <v>24142</v>
      </c>
      <c r="AQ33" s="114">
        <v>2104724</v>
      </c>
      <c r="AR33" s="114">
        <v>294397</v>
      </c>
      <c r="AS33" s="114">
        <v>0</v>
      </c>
      <c r="AT33" s="114">
        <v>696778</v>
      </c>
      <c r="AU33" s="114">
        <v>0</v>
      </c>
      <c r="AV33" s="114">
        <v>0</v>
      </c>
      <c r="AW33" s="114">
        <v>0</v>
      </c>
      <c r="AX33" s="114">
        <v>0</v>
      </c>
      <c r="AY33" s="114">
        <v>0</v>
      </c>
      <c r="BD33" s="82">
        <v>1712010.54</v>
      </c>
      <c r="BE33" s="82">
        <v>873125.37</v>
      </c>
      <c r="BF33" s="117">
        <v>0</v>
      </c>
      <c r="BG33" s="118">
        <v>0</v>
      </c>
      <c r="BH33" s="118">
        <v>0</v>
      </c>
      <c r="BI33" s="117">
        <v>2819131</v>
      </c>
      <c r="BJ33" s="117">
        <v>2819131</v>
      </c>
      <c r="BK33" s="117">
        <v>22479382.999999996</v>
      </c>
      <c r="BL33" s="117">
        <v>22479382.999999996</v>
      </c>
      <c r="BM33" s="117">
        <v>0</v>
      </c>
      <c r="BN33" s="117">
        <v>0</v>
      </c>
      <c r="BO33" s="119"/>
      <c r="BP33" s="86">
        <v>209373410.51000002</v>
      </c>
      <c r="BQ33" s="86">
        <v>148715671.14000002</v>
      </c>
      <c r="BR33" s="87">
        <v>215481</v>
      </c>
      <c r="BW33" s="114">
        <f t="shared" si="8"/>
        <v>0</v>
      </c>
      <c r="BX33" s="86">
        <v>144159946</v>
      </c>
      <c r="BY33" s="82">
        <f t="shared" si="1"/>
        <v>33446818</v>
      </c>
      <c r="BZ33" s="82">
        <f t="shared" si="2"/>
        <v>1039282</v>
      </c>
      <c r="CA33" s="86">
        <f t="shared" si="3"/>
        <v>3603094</v>
      </c>
      <c r="CB33" s="86">
        <f t="shared" si="4"/>
        <v>182249140</v>
      </c>
    </row>
    <row r="34" spans="1:80" x14ac:dyDescent="0.25">
      <c r="A34" s="91" t="s">
        <v>88</v>
      </c>
      <c r="B34" s="114">
        <v>223081533</v>
      </c>
      <c r="C34" s="114">
        <v>101450690</v>
      </c>
      <c r="D34" s="114">
        <v>68772539</v>
      </c>
      <c r="E34" s="114">
        <v>0</v>
      </c>
      <c r="F34" s="114">
        <v>35489907</v>
      </c>
      <c r="G34" s="114">
        <v>14229585</v>
      </c>
      <c r="H34" s="114">
        <v>11155101</v>
      </c>
      <c r="I34" s="114">
        <v>2887801</v>
      </c>
      <c r="J34" s="114">
        <v>148800</v>
      </c>
      <c r="K34" s="114">
        <v>73152</v>
      </c>
      <c r="L34" s="114">
        <v>87048378</v>
      </c>
      <c r="M34" s="114">
        <v>1866800</v>
      </c>
      <c r="N34" s="114">
        <v>1339</v>
      </c>
      <c r="O34" s="114">
        <v>523</v>
      </c>
      <c r="P34" s="114">
        <v>1575240</v>
      </c>
      <c r="Q34" s="114">
        <v>1256000</v>
      </c>
      <c r="R34" s="114">
        <v>102000</v>
      </c>
      <c r="S34" s="114">
        <v>2994627</v>
      </c>
      <c r="T34" s="114">
        <v>1355928</v>
      </c>
      <c r="U34" s="114">
        <v>1736550</v>
      </c>
      <c r="V34" s="114">
        <v>1575240</v>
      </c>
      <c r="W34" s="114">
        <v>1558500</v>
      </c>
      <c r="X34" s="114">
        <v>102000</v>
      </c>
      <c r="Y34" s="114">
        <v>2994627</v>
      </c>
      <c r="Z34" s="114">
        <v>1586800</v>
      </c>
      <c r="AA34" s="114">
        <v>1736550</v>
      </c>
      <c r="AB34" s="114">
        <v>-1568950</v>
      </c>
      <c r="AC34" s="114">
        <v>1707783</v>
      </c>
      <c r="AD34" s="114">
        <v>94013</v>
      </c>
      <c r="AE34" s="114">
        <v>11842</v>
      </c>
      <c r="AF34" s="114">
        <v>12358674</v>
      </c>
      <c r="AG34" s="114">
        <v>136990</v>
      </c>
      <c r="AH34" s="114">
        <v>1422344.26</v>
      </c>
      <c r="AI34" s="114">
        <v>36295.08</v>
      </c>
      <c r="AJ34" s="121">
        <v>0</v>
      </c>
      <c r="AK34" s="82">
        <v>81842786</v>
      </c>
      <c r="AL34" s="83">
        <v>1623457</v>
      </c>
      <c r="AM34" s="114">
        <v>0</v>
      </c>
      <c r="AN34" s="114">
        <v>6185403</v>
      </c>
      <c r="AO34" s="114">
        <v>77862</v>
      </c>
      <c r="AP34" s="114">
        <v>3345060</v>
      </c>
      <c r="AQ34" s="114">
        <v>7162490</v>
      </c>
      <c r="AR34" s="114">
        <v>2039493</v>
      </c>
      <c r="AS34" s="114">
        <v>0</v>
      </c>
      <c r="AT34" s="114">
        <v>25250</v>
      </c>
      <c r="AU34" s="114">
        <v>0</v>
      </c>
      <c r="AV34" s="114">
        <v>0</v>
      </c>
      <c r="AW34" s="114">
        <v>0</v>
      </c>
      <c r="AX34" s="114">
        <v>8469</v>
      </c>
      <c r="AY34" s="114">
        <v>0</v>
      </c>
      <c r="BD34" s="82">
        <v>4186969.5100000002</v>
      </c>
      <c r="BE34" s="82">
        <v>2135354.4499999997</v>
      </c>
      <c r="BF34" s="117">
        <v>0</v>
      </c>
      <c r="BG34" s="118">
        <v>5393285</v>
      </c>
      <c r="BH34" s="118">
        <v>10786570</v>
      </c>
      <c r="BI34" s="117">
        <v>21225193</v>
      </c>
      <c r="BJ34" s="117">
        <v>21225193</v>
      </c>
      <c r="BK34" s="117">
        <v>34743311.600000001</v>
      </c>
      <c r="BL34" s="117">
        <v>32047939.599999998</v>
      </c>
      <c r="BM34" s="117">
        <v>0</v>
      </c>
      <c r="BN34" s="117">
        <v>0</v>
      </c>
      <c r="BO34" s="119"/>
      <c r="BP34" s="86">
        <v>552457171.38999999</v>
      </c>
      <c r="BQ34" s="86">
        <v>408189156.33999997</v>
      </c>
      <c r="BR34" s="87">
        <v>1042000</v>
      </c>
      <c r="BT34" s="114">
        <v>6898</v>
      </c>
      <c r="BU34" s="114">
        <v>2476</v>
      </c>
      <c r="BV34" s="114">
        <v>461</v>
      </c>
      <c r="BW34" s="114">
        <f>SUM(BT34:BV34)</f>
        <v>9835</v>
      </c>
      <c r="BX34" s="86">
        <v>393304762</v>
      </c>
      <c r="BY34" s="82">
        <f t="shared" ref="BY34:BY65" si="9">AK34</f>
        <v>81842786</v>
      </c>
      <c r="BZ34" s="82">
        <f t="shared" ref="BZ34:BZ65" si="10">AL34</f>
        <v>1623457</v>
      </c>
      <c r="CA34" s="86">
        <f t="shared" ref="CA34:CA65" si="11">AN34+AO34+AQ34+AS34</f>
        <v>13425755</v>
      </c>
      <c r="CB34" s="86">
        <f t="shared" si="4"/>
        <v>490196760</v>
      </c>
    </row>
    <row r="35" spans="1:80" x14ac:dyDescent="0.25">
      <c r="A35" s="91" t="s">
        <v>89</v>
      </c>
      <c r="B35" s="114">
        <v>17859281500</v>
      </c>
      <c r="C35" s="114">
        <v>752367000</v>
      </c>
      <c r="D35" s="114">
        <v>8789535000</v>
      </c>
      <c r="E35" s="114">
        <v>0</v>
      </c>
      <c r="F35" s="114">
        <v>749839600</v>
      </c>
      <c r="G35" s="114">
        <v>40662000</v>
      </c>
      <c r="H35" s="114">
        <v>11317600</v>
      </c>
      <c r="I35" s="114">
        <v>188000</v>
      </c>
      <c r="J35" s="114">
        <v>1316000</v>
      </c>
      <c r="K35" s="114">
        <v>75200</v>
      </c>
      <c r="L35" s="114">
        <v>1486027700</v>
      </c>
      <c r="M35" s="114">
        <v>57817770</v>
      </c>
      <c r="N35" s="114">
        <v>20410</v>
      </c>
      <c r="O35" s="114">
        <v>1118</v>
      </c>
      <c r="P35" s="114">
        <v>301612044</v>
      </c>
      <c r="Q35" s="114">
        <v>12975000</v>
      </c>
      <c r="R35" s="114">
        <v>341818737</v>
      </c>
      <c r="S35" s="114">
        <v>139173011</v>
      </c>
      <c r="T35" s="114">
        <v>17010000</v>
      </c>
      <c r="U35" s="114">
        <v>48242681</v>
      </c>
      <c r="V35" s="114">
        <v>301612044</v>
      </c>
      <c r="W35" s="114">
        <v>13125900</v>
      </c>
      <c r="X35" s="114">
        <v>341818737</v>
      </c>
      <c r="Y35" s="114">
        <v>139173011</v>
      </c>
      <c r="Z35" s="114">
        <v>63686000</v>
      </c>
      <c r="AA35" s="114">
        <v>48242681</v>
      </c>
      <c r="AB35" s="114">
        <v>73063300</v>
      </c>
      <c r="AC35" s="114">
        <v>-56108563</v>
      </c>
      <c r="AH35" s="114">
        <v>0</v>
      </c>
      <c r="AI35" s="114">
        <v>1889057.38</v>
      </c>
      <c r="AJ35" s="121">
        <v>0</v>
      </c>
      <c r="AK35" s="82">
        <v>2291576115</v>
      </c>
      <c r="AL35" s="83">
        <v>21508732</v>
      </c>
      <c r="AM35" s="114">
        <v>0</v>
      </c>
      <c r="AN35" s="114">
        <v>919416345</v>
      </c>
      <c r="AO35" s="114">
        <v>25553150</v>
      </c>
      <c r="AP35" s="114">
        <v>420510936</v>
      </c>
      <c r="AQ35" s="114">
        <v>761343395</v>
      </c>
      <c r="AR35" s="114">
        <v>468963969</v>
      </c>
      <c r="AS35" s="114">
        <v>195874222</v>
      </c>
      <c r="AT35" s="114">
        <f>604295023+31500012</f>
        <v>635795035</v>
      </c>
      <c r="AU35" s="114">
        <v>1203152</v>
      </c>
      <c r="AV35" s="114">
        <v>35816</v>
      </c>
      <c r="AW35" s="114">
        <v>3856180</v>
      </c>
      <c r="AX35" s="114">
        <v>3689060</v>
      </c>
      <c r="AY35" s="114">
        <v>61476009</v>
      </c>
      <c r="BD35" s="82">
        <v>117176535.87</v>
      </c>
      <c r="BE35" s="82">
        <v>59760033.299999997</v>
      </c>
      <c r="BF35" s="117">
        <v>0</v>
      </c>
      <c r="BG35" s="118">
        <v>5436773</v>
      </c>
      <c r="BH35" s="118">
        <v>10873546</v>
      </c>
      <c r="BI35" s="117">
        <v>372612648</v>
      </c>
      <c r="BJ35" s="117">
        <v>369371163</v>
      </c>
      <c r="BK35" s="117">
        <v>673671664.19999993</v>
      </c>
      <c r="BL35" s="117">
        <v>629579729.19999981</v>
      </c>
      <c r="BM35" s="117">
        <v>179922</v>
      </c>
      <c r="BN35" s="117">
        <v>0</v>
      </c>
      <c r="BO35" s="119"/>
      <c r="BP35" s="86">
        <v>32486797914.880001</v>
      </c>
      <c r="BQ35" s="86">
        <v>29109385447.380001</v>
      </c>
      <c r="BR35" s="87">
        <v>13919300</v>
      </c>
      <c r="BT35" s="114">
        <v>98144</v>
      </c>
      <c r="BU35" s="114">
        <v>2016</v>
      </c>
      <c r="BV35" s="114">
        <v>9022</v>
      </c>
      <c r="BW35" s="114">
        <f t="shared" ref="BW35:BW40" si="12">SUM(BT35:BV35)</f>
        <v>109182</v>
      </c>
      <c r="BX35" s="86">
        <v>27401183500</v>
      </c>
      <c r="BY35" s="82">
        <f t="shared" si="9"/>
        <v>2291576115</v>
      </c>
      <c r="BZ35" s="82">
        <f t="shared" si="10"/>
        <v>21508732</v>
      </c>
      <c r="CA35" s="86">
        <f t="shared" si="11"/>
        <v>1902187112</v>
      </c>
      <c r="CB35" s="86">
        <f t="shared" si="4"/>
        <v>31616455459</v>
      </c>
    </row>
    <row r="36" spans="1:80" x14ac:dyDescent="0.25">
      <c r="A36" s="91" t="s">
        <v>90</v>
      </c>
      <c r="B36" s="114">
        <v>276478355</v>
      </c>
      <c r="C36" s="114">
        <v>188926551</v>
      </c>
      <c r="D36" s="114">
        <v>80019490</v>
      </c>
      <c r="E36" s="114">
        <v>0</v>
      </c>
      <c r="F36" s="114">
        <v>40794000</v>
      </c>
      <c r="G36" s="114">
        <v>8423800</v>
      </c>
      <c r="H36" s="114">
        <v>15446200</v>
      </c>
      <c r="I36" s="114">
        <v>1575100</v>
      </c>
      <c r="J36" s="114">
        <v>37600</v>
      </c>
      <c r="K36" s="114">
        <v>0</v>
      </c>
      <c r="L36" s="114">
        <v>236987914</v>
      </c>
      <c r="M36" s="114">
        <v>98155700</v>
      </c>
      <c r="N36" s="114">
        <v>1599</v>
      </c>
      <c r="O36" s="114">
        <v>300</v>
      </c>
      <c r="P36" s="114">
        <v>4195400</v>
      </c>
      <c r="Q36" s="114">
        <v>3727200</v>
      </c>
      <c r="R36" s="114">
        <v>505100</v>
      </c>
      <c r="S36" s="114">
        <v>2281055</v>
      </c>
      <c r="T36" s="114">
        <v>1058200</v>
      </c>
      <c r="U36" s="114">
        <v>505500</v>
      </c>
      <c r="V36" s="114">
        <v>4195400</v>
      </c>
      <c r="W36" s="114">
        <v>3475350</v>
      </c>
      <c r="X36" s="114">
        <v>505100</v>
      </c>
      <c r="Y36" s="114">
        <v>2388155</v>
      </c>
      <c r="Z36" s="114">
        <v>1708500</v>
      </c>
      <c r="AA36" s="114">
        <v>505500</v>
      </c>
      <c r="AB36" s="114">
        <v>-1350300</v>
      </c>
      <c r="AC36" s="114">
        <v>0</v>
      </c>
      <c r="AD36" s="114">
        <v>51941</v>
      </c>
      <c r="AE36" s="114">
        <v>48646</v>
      </c>
      <c r="AF36" s="114">
        <v>79719895</v>
      </c>
      <c r="AG36" s="114">
        <v>211891</v>
      </c>
      <c r="AH36" s="114">
        <v>0</v>
      </c>
      <c r="AI36" s="114">
        <v>119311.48</v>
      </c>
      <c r="AJ36" s="121">
        <v>0</v>
      </c>
      <c r="AK36" s="82">
        <v>111746594</v>
      </c>
      <c r="AL36" s="83">
        <v>1228555</v>
      </c>
      <c r="AM36" s="114">
        <v>0</v>
      </c>
      <c r="AN36" s="114">
        <v>18272177</v>
      </c>
      <c r="AO36" s="114">
        <v>1791400</v>
      </c>
      <c r="AP36" s="114">
        <v>32183984</v>
      </c>
      <c r="AQ36" s="114">
        <v>20327865</v>
      </c>
      <c r="AR36" s="114">
        <v>17349829</v>
      </c>
      <c r="AS36" s="114">
        <v>473213</v>
      </c>
      <c r="AT36" s="114">
        <v>0</v>
      </c>
      <c r="AU36" s="114">
        <v>0</v>
      </c>
      <c r="AV36" s="114">
        <v>65415</v>
      </c>
      <c r="AW36" s="114">
        <v>1255303</v>
      </c>
      <c r="AX36" s="114">
        <v>2083</v>
      </c>
      <c r="AY36" s="114">
        <v>35000</v>
      </c>
      <c r="BD36" s="82">
        <v>5714440.2299999995</v>
      </c>
      <c r="BE36" s="82">
        <v>2914364.51</v>
      </c>
      <c r="BF36" s="117">
        <v>0</v>
      </c>
      <c r="BG36" s="118">
        <v>670318</v>
      </c>
      <c r="BH36" s="118">
        <v>1340636</v>
      </c>
      <c r="BI36" s="117">
        <v>14453517</v>
      </c>
      <c r="BJ36" s="117">
        <v>14453517</v>
      </c>
      <c r="BK36" s="117">
        <v>32884040</v>
      </c>
      <c r="BL36" s="117">
        <v>32652889</v>
      </c>
      <c r="BM36" s="117">
        <v>0</v>
      </c>
      <c r="BN36" s="117">
        <v>0</v>
      </c>
      <c r="BO36" s="119"/>
      <c r="BP36" s="86">
        <v>749601386.99000001</v>
      </c>
      <c r="BQ36" s="86">
        <v>585935149.48000002</v>
      </c>
      <c r="BR36" s="87">
        <v>873550</v>
      </c>
      <c r="BT36" s="114">
        <v>5802</v>
      </c>
      <c r="BU36" s="114">
        <v>2686</v>
      </c>
      <c r="BV36" s="114">
        <v>404</v>
      </c>
      <c r="BW36" s="114">
        <f t="shared" si="12"/>
        <v>8892</v>
      </c>
      <c r="BX36" s="86">
        <v>545424396</v>
      </c>
      <c r="BY36" s="82">
        <f t="shared" si="9"/>
        <v>111746594</v>
      </c>
      <c r="BZ36" s="82">
        <f t="shared" si="10"/>
        <v>1228555</v>
      </c>
      <c r="CA36" s="86">
        <f t="shared" si="11"/>
        <v>40864655</v>
      </c>
      <c r="CB36" s="86">
        <f t="shared" si="4"/>
        <v>699264200</v>
      </c>
    </row>
    <row r="37" spans="1:80" x14ac:dyDescent="0.25">
      <c r="A37" s="91" t="s">
        <v>91</v>
      </c>
      <c r="B37" s="114">
        <v>643588498</v>
      </c>
      <c r="C37" s="114">
        <v>122074827</v>
      </c>
      <c r="D37" s="114">
        <v>281926651</v>
      </c>
      <c r="E37" s="114">
        <v>0</v>
      </c>
      <c r="F37" s="114">
        <v>89953150</v>
      </c>
      <c r="G37" s="114">
        <v>81201050</v>
      </c>
      <c r="H37" s="114">
        <v>19777434</v>
      </c>
      <c r="I37" s="114">
        <v>9968100</v>
      </c>
      <c r="J37" s="114">
        <v>290200</v>
      </c>
      <c r="K37" s="114">
        <v>180400</v>
      </c>
      <c r="L37" s="114">
        <v>69293544</v>
      </c>
      <c r="M37" s="114">
        <v>62104522</v>
      </c>
      <c r="N37" s="114">
        <v>3275</v>
      </c>
      <c r="O37" s="114">
        <v>3011</v>
      </c>
      <c r="P37" s="114">
        <v>6157300</v>
      </c>
      <c r="Q37" s="114">
        <v>590000</v>
      </c>
      <c r="R37" s="114">
        <v>695000</v>
      </c>
      <c r="S37" s="114">
        <v>4978600</v>
      </c>
      <c r="T37" s="114">
        <v>77000</v>
      </c>
      <c r="U37" s="114">
        <v>1138000</v>
      </c>
      <c r="V37" s="114">
        <v>6157300</v>
      </c>
      <c r="W37" s="114">
        <v>590000</v>
      </c>
      <c r="X37" s="114">
        <v>695000</v>
      </c>
      <c r="Y37" s="114">
        <v>4978600</v>
      </c>
      <c r="Z37" s="114">
        <v>77000</v>
      </c>
      <c r="AA37" s="114">
        <v>1138000</v>
      </c>
      <c r="AB37" s="114">
        <v>-7644500</v>
      </c>
      <c r="AC37" s="114">
        <v>-2416</v>
      </c>
      <c r="AD37" s="114">
        <v>248712</v>
      </c>
      <c r="AE37" s="114">
        <v>0</v>
      </c>
      <c r="AF37" s="114">
        <v>0</v>
      </c>
      <c r="AG37" s="114">
        <v>208906</v>
      </c>
      <c r="AH37" s="114">
        <v>1092836.07</v>
      </c>
      <c r="AI37" s="114">
        <v>33383852.460000001</v>
      </c>
      <c r="AJ37" s="121">
        <v>17234303.280000001</v>
      </c>
      <c r="AK37" s="82">
        <v>283231051</v>
      </c>
      <c r="AL37" s="83">
        <v>6904046</v>
      </c>
      <c r="AM37" s="114">
        <v>0</v>
      </c>
      <c r="AN37" s="114">
        <v>59110230</v>
      </c>
      <c r="AO37" s="114">
        <v>2404719</v>
      </c>
      <c r="AP37" s="114">
        <v>136836916</v>
      </c>
      <c r="AQ37" s="114">
        <v>50873687</v>
      </c>
      <c r="AR37" s="114">
        <v>38692747</v>
      </c>
      <c r="AS37" s="114">
        <v>563503</v>
      </c>
      <c r="AT37" s="114">
        <v>34958</v>
      </c>
      <c r="AU37" s="114">
        <v>0</v>
      </c>
      <c r="AV37" s="114">
        <v>0</v>
      </c>
      <c r="AW37" s="114">
        <v>0</v>
      </c>
      <c r="AX37" s="114">
        <v>1112</v>
      </c>
      <c r="AY37" s="114">
        <v>0</v>
      </c>
      <c r="BD37" s="82">
        <v>14492891.699999999</v>
      </c>
      <c r="BE37" s="82">
        <v>7391374.7700000005</v>
      </c>
      <c r="BF37" s="117">
        <v>0</v>
      </c>
      <c r="BG37" s="118">
        <v>5718696</v>
      </c>
      <c r="BH37" s="118">
        <v>11437393</v>
      </c>
      <c r="BI37" s="117">
        <v>155791563</v>
      </c>
      <c r="BJ37" s="117">
        <v>155791563</v>
      </c>
      <c r="BK37" s="117">
        <v>208336116.59999993</v>
      </c>
      <c r="BL37" s="117">
        <v>204242104.59999993</v>
      </c>
      <c r="BM37" s="117">
        <v>0</v>
      </c>
      <c r="BN37" s="117">
        <v>0</v>
      </c>
      <c r="BO37" s="119"/>
      <c r="BP37" s="86">
        <v>1874968439.1799998</v>
      </c>
      <c r="BQ37" s="86">
        <v>1211689603.8099999</v>
      </c>
      <c r="BR37" s="87">
        <v>14753000</v>
      </c>
      <c r="BT37" s="114">
        <v>22880</v>
      </c>
      <c r="BU37" s="114">
        <v>4473</v>
      </c>
      <c r="BV37" s="114">
        <v>1566</v>
      </c>
      <c r="BW37" s="114">
        <f t="shared" si="12"/>
        <v>28919</v>
      </c>
      <c r="BX37" s="86">
        <v>1047589976</v>
      </c>
      <c r="BY37" s="82">
        <f t="shared" si="9"/>
        <v>283231051</v>
      </c>
      <c r="BZ37" s="82">
        <f t="shared" si="10"/>
        <v>6904046</v>
      </c>
      <c r="CA37" s="86">
        <f t="shared" si="11"/>
        <v>112952139</v>
      </c>
      <c r="CB37" s="86">
        <f t="shared" si="4"/>
        <v>1450677212</v>
      </c>
    </row>
    <row r="38" spans="1:80" x14ac:dyDescent="0.25">
      <c r="A38" s="91" t="s">
        <v>92</v>
      </c>
      <c r="B38" s="114">
        <v>1964896300</v>
      </c>
      <c r="C38" s="114">
        <v>185776818</v>
      </c>
      <c r="D38" s="114">
        <v>887623606</v>
      </c>
      <c r="E38" s="114">
        <v>0</v>
      </c>
      <c r="F38" s="114">
        <v>170755775</v>
      </c>
      <c r="G38" s="114">
        <v>9939670</v>
      </c>
      <c r="H38" s="114">
        <v>12810524</v>
      </c>
      <c r="I38" s="114">
        <v>387420</v>
      </c>
      <c r="J38" s="114">
        <v>188000</v>
      </c>
      <c r="K38" s="114">
        <v>37600</v>
      </c>
      <c r="L38" s="114">
        <v>161584717</v>
      </c>
      <c r="M38" s="114">
        <v>139486815</v>
      </c>
      <c r="N38" s="114">
        <v>4964</v>
      </c>
      <c r="O38" s="114">
        <v>302</v>
      </c>
      <c r="P38" s="114">
        <v>13064847</v>
      </c>
      <c r="Q38" s="114">
        <v>4195357</v>
      </c>
      <c r="R38" s="114">
        <v>17383720</v>
      </c>
      <c r="S38" s="114">
        <v>6408415</v>
      </c>
      <c r="T38" s="114">
        <v>769592</v>
      </c>
      <c r="U38" s="114">
        <v>5050989</v>
      </c>
      <c r="V38" s="114">
        <v>13064847</v>
      </c>
      <c r="W38" s="114">
        <v>5402091</v>
      </c>
      <c r="X38" s="114">
        <v>17383720</v>
      </c>
      <c r="Y38" s="114">
        <v>6408415</v>
      </c>
      <c r="Z38" s="114">
        <v>1807850</v>
      </c>
      <c r="AA38" s="114">
        <v>5050989</v>
      </c>
      <c r="AB38" s="114">
        <v>-5039421</v>
      </c>
      <c r="AC38" s="114">
        <v>-185537</v>
      </c>
      <c r="AG38" s="114">
        <v>103113</v>
      </c>
      <c r="AH38" s="114">
        <v>0</v>
      </c>
      <c r="AI38" s="114">
        <v>461500</v>
      </c>
      <c r="AJ38" s="121">
        <v>0</v>
      </c>
      <c r="AK38" s="82">
        <v>358600369</v>
      </c>
      <c r="AL38" s="83">
        <v>8726925</v>
      </c>
      <c r="AM38" s="114">
        <v>90854</v>
      </c>
      <c r="AN38" s="114">
        <v>105622674</v>
      </c>
      <c r="AO38" s="114">
        <v>7610032</v>
      </c>
      <c r="AP38" s="114">
        <v>288110950</v>
      </c>
      <c r="AQ38" s="114">
        <v>87401169</v>
      </c>
      <c r="AR38" s="114">
        <v>99650512</v>
      </c>
      <c r="AS38" s="114">
        <v>42458570</v>
      </c>
      <c r="AT38" s="114">
        <v>2547989</v>
      </c>
      <c r="AU38" s="114">
        <v>0</v>
      </c>
      <c r="AV38" s="114">
        <v>0</v>
      </c>
      <c r="AW38" s="114">
        <v>34236</v>
      </c>
      <c r="AX38" s="114">
        <v>304560</v>
      </c>
      <c r="AY38" s="114">
        <v>1390200</v>
      </c>
      <c r="BD38" s="82">
        <v>18349494.100000001</v>
      </c>
      <c r="BE38" s="82">
        <v>9358241.9899999984</v>
      </c>
      <c r="BF38" s="117">
        <v>3935233</v>
      </c>
      <c r="BG38" s="118">
        <v>1159185</v>
      </c>
      <c r="BH38" s="118">
        <v>2318370</v>
      </c>
      <c r="BI38" s="117">
        <v>76563280</v>
      </c>
      <c r="BJ38" s="117">
        <v>76079678</v>
      </c>
      <c r="BK38" s="117">
        <v>49842795.600000001</v>
      </c>
      <c r="BL38" s="117">
        <v>46853383.600000001</v>
      </c>
      <c r="BM38" s="117">
        <v>184514410</v>
      </c>
      <c r="BN38" s="117">
        <v>0</v>
      </c>
      <c r="BO38" s="119"/>
      <c r="BP38" s="86">
        <v>3924684291.5899997</v>
      </c>
      <c r="BQ38" s="86">
        <v>3239392099</v>
      </c>
      <c r="BR38" s="87">
        <v>5552506</v>
      </c>
      <c r="BT38" s="114">
        <v>19294</v>
      </c>
      <c r="BU38" s="114">
        <v>1954</v>
      </c>
      <c r="BV38" s="114">
        <v>1570</v>
      </c>
      <c r="BW38" s="114">
        <f t="shared" si="12"/>
        <v>22818</v>
      </c>
      <c r="BX38" s="86">
        <v>3038296724</v>
      </c>
      <c r="BY38" s="82">
        <f t="shared" si="9"/>
        <v>358600369</v>
      </c>
      <c r="BZ38" s="82">
        <f t="shared" si="10"/>
        <v>8726925</v>
      </c>
      <c r="CA38" s="86">
        <f t="shared" si="11"/>
        <v>243092445</v>
      </c>
      <c r="CB38" s="86">
        <f t="shared" si="4"/>
        <v>3648716463</v>
      </c>
    </row>
    <row r="39" spans="1:80" x14ac:dyDescent="0.25">
      <c r="A39" s="91" t="s">
        <v>93</v>
      </c>
      <c r="B39" s="114">
        <v>74825568</v>
      </c>
      <c r="C39" s="114">
        <v>67074575</v>
      </c>
      <c r="D39" s="114">
        <v>58425683</v>
      </c>
      <c r="E39" s="114">
        <v>0</v>
      </c>
      <c r="F39" s="114">
        <v>21909268</v>
      </c>
      <c r="G39" s="114">
        <v>3624720</v>
      </c>
      <c r="H39" s="114">
        <v>3287597</v>
      </c>
      <c r="I39" s="114">
        <v>209787</v>
      </c>
      <c r="J39" s="114">
        <v>37600</v>
      </c>
      <c r="K39" s="114">
        <v>0</v>
      </c>
      <c r="L39" s="114">
        <v>306747783</v>
      </c>
      <c r="M39" s="114">
        <v>13922027</v>
      </c>
      <c r="N39" s="114">
        <v>762</v>
      </c>
      <c r="O39" s="114">
        <v>125</v>
      </c>
      <c r="P39" s="114">
        <v>1030159</v>
      </c>
      <c r="Q39" s="114">
        <v>355751</v>
      </c>
      <c r="R39" s="114">
        <v>2029560</v>
      </c>
      <c r="S39" s="114">
        <v>403720</v>
      </c>
      <c r="T39" s="114">
        <v>111889</v>
      </c>
      <c r="U39" s="114">
        <v>378390</v>
      </c>
      <c r="V39" s="114">
        <v>1030159</v>
      </c>
      <c r="W39" s="114">
        <v>1358645</v>
      </c>
      <c r="X39" s="114">
        <v>2029560</v>
      </c>
      <c r="Y39" s="114">
        <v>403720</v>
      </c>
      <c r="Z39" s="114">
        <v>146950</v>
      </c>
      <c r="AA39" s="114">
        <v>378390</v>
      </c>
      <c r="AB39" s="114">
        <v>-517260</v>
      </c>
      <c r="AC39" s="114">
        <v>1806814</v>
      </c>
      <c r="AD39" s="114">
        <v>27367</v>
      </c>
      <c r="AE39" s="114">
        <v>0</v>
      </c>
      <c r="AF39" s="114">
        <v>0</v>
      </c>
      <c r="AG39" s="114">
        <v>120085</v>
      </c>
      <c r="AH39" s="114">
        <v>0</v>
      </c>
      <c r="AI39" s="114">
        <v>0</v>
      </c>
      <c r="AJ39" s="121">
        <v>0</v>
      </c>
      <c r="AK39" s="82">
        <v>36203853</v>
      </c>
      <c r="AL39" s="83">
        <v>626804</v>
      </c>
      <c r="AM39" s="114">
        <v>0</v>
      </c>
      <c r="AN39" s="114">
        <v>14066000</v>
      </c>
      <c r="AO39" s="114">
        <v>3400462</v>
      </c>
      <c r="AP39" s="114">
        <v>31464725</v>
      </c>
      <c r="AQ39" s="114">
        <v>18239501</v>
      </c>
      <c r="AR39" s="114">
        <v>56288008</v>
      </c>
      <c r="AS39" s="114">
        <v>0</v>
      </c>
      <c r="AT39" s="114">
        <v>3701115</v>
      </c>
      <c r="AU39" s="114">
        <v>0</v>
      </c>
      <c r="AV39" s="114">
        <v>0</v>
      </c>
      <c r="AW39" s="114">
        <v>5337241</v>
      </c>
      <c r="AX39" s="114">
        <v>472</v>
      </c>
      <c r="AY39" s="114">
        <v>173400</v>
      </c>
      <c r="BD39" s="82">
        <v>1851927.46</v>
      </c>
      <c r="BE39" s="82">
        <v>944483</v>
      </c>
      <c r="BF39" s="117">
        <v>46004145</v>
      </c>
      <c r="BG39" s="118">
        <v>1314393</v>
      </c>
      <c r="BH39" s="118">
        <v>2628786</v>
      </c>
      <c r="BI39" s="117">
        <v>11988533</v>
      </c>
      <c r="BJ39" s="117">
        <v>11988533</v>
      </c>
      <c r="BK39" s="117">
        <v>21142468.599999998</v>
      </c>
      <c r="BL39" s="117">
        <v>14836343.599999998</v>
      </c>
      <c r="BM39" s="117">
        <v>0</v>
      </c>
      <c r="BN39" s="117">
        <v>3785937</v>
      </c>
      <c r="BO39" s="119"/>
      <c r="BP39" s="86">
        <v>305732135.60000002</v>
      </c>
      <c r="BQ39" s="86">
        <v>236031789</v>
      </c>
      <c r="BR39" s="87">
        <v>1143242</v>
      </c>
      <c r="BT39" s="114">
        <v>2995</v>
      </c>
      <c r="BU39" s="114">
        <v>1181</v>
      </c>
      <c r="BV39" s="114">
        <v>412</v>
      </c>
      <c r="BW39" s="114">
        <f t="shared" si="12"/>
        <v>4588</v>
      </c>
      <c r="BX39" s="86">
        <v>200325826</v>
      </c>
      <c r="BY39" s="82">
        <f t="shared" si="9"/>
        <v>36203853</v>
      </c>
      <c r="BZ39" s="82">
        <f t="shared" si="10"/>
        <v>626804</v>
      </c>
      <c r="CA39" s="86">
        <f t="shared" si="11"/>
        <v>35705963</v>
      </c>
      <c r="CB39" s="86">
        <f t="shared" si="4"/>
        <v>272862446</v>
      </c>
    </row>
    <row r="40" spans="1:80" x14ac:dyDescent="0.25">
      <c r="A40" s="91" t="s">
        <v>94</v>
      </c>
      <c r="B40" s="114">
        <v>251504838</v>
      </c>
      <c r="C40" s="114">
        <v>65362121</v>
      </c>
      <c r="D40" s="114">
        <v>102206853</v>
      </c>
      <c r="E40" s="114">
        <v>101647388</v>
      </c>
      <c r="F40" s="114">
        <v>18052500</v>
      </c>
      <c r="G40" s="114">
        <v>3405700</v>
      </c>
      <c r="H40" s="114">
        <v>4647200</v>
      </c>
      <c r="I40" s="114">
        <v>397700</v>
      </c>
      <c r="J40" s="114">
        <v>0</v>
      </c>
      <c r="K40" s="114">
        <v>24300</v>
      </c>
      <c r="L40" s="114">
        <v>128405940</v>
      </c>
      <c r="M40" s="114">
        <v>52228371</v>
      </c>
      <c r="N40" s="114">
        <v>626</v>
      </c>
      <c r="O40" s="114">
        <v>110</v>
      </c>
      <c r="P40" s="114">
        <v>3354888</v>
      </c>
      <c r="Q40" s="114">
        <v>490100</v>
      </c>
      <c r="R40" s="114">
        <v>71000</v>
      </c>
      <c r="S40" s="114">
        <v>4454351</v>
      </c>
      <c r="T40" s="114">
        <v>918033</v>
      </c>
      <c r="U40" s="114">
        <v>325679</v>
      </c>
      <c r="V40" s="114">
        <v>3354888</v>
      </c>
      <c r="W40" s="114">
        <v>148200</v>
      </c>
      <c r="X40" s="114">
        <v>71000</v>
      </c>
      <c r="Y40" s="114">
        <v>4454351</v>
      </c>
      <c r="Z40" s="114">
        <v>787300</v>
      </c>
      <c r="AA40" s="114">
        <v>325679</v>
      </c>
      <c r="AB40" s="114">
        <v>-817100</v>
      </c>
      <c r="AC40" s="114">
        <v>-159308</v>
      </c>
      <c r="AD40" s="114">
        <v>21841</v>
      </c>
      <c r="AE40" s="114">
        <v>0</v>
      </c>
      <c r="AF40" s="114">
        <v>0</v>
      </c>
      <c r="AG40" s="114">
        <v>47842</v>
      </c>
      <c r="AH40" s="114">
        <v>0</v>
      </c>
      <c r="AI40" s="114">
        <v>2281557.38</v>
      </c>
      <c r="AJ40" s="121">
        <v>0</v>
      </c>
      <c r="AK40" s="82">
        <v>58325815</v>
      </c>
      <c r="AL40" s="83">
        <v>2707633</v>
      </c>
      <c r="AM40" s="114">
        <v>1410321</v>
      </c>
      <c r="AN40" s="114">
        <v>33553275</v>
      </c>
      <c r="AO40" s="114">
        <v>1667391</v>
      </c>
      <c r="AP40" s="114">
        <v>216537551</v>
      </c>
      <c r="AQ40" s="114">
        <v>57811742</v>
      </c>
      <c r="AR40" s="114">
        <v>69142637</v>
      </c>
      <c r="AS40" s="114">
        <v>42900493</v>
      </c>
      <c r="AT40" s="114">
        <v>175349</v>
      </c>
      <c r="AU40" s="114">
        <v>0</v>
      </c>
      <c r="AV40" s="114">
        <v>0</v>
      </c>
      <c r="AW40" s="114">
        <v>11779287</v>
      </c>
      <c r="AX40" s="114">
        <v>74695</v>
      </c>
      <c r="AY40" s="114">
        <v>19000</v>
      </c>
      <c r="BD40" s="82">
        <v>2987633.5100000002</v>
      </c>
      <c r="BE40" s="82">
        <v>1523693.09</v>
      </c>
      <c r="BF40" s="117">
        <v>18686010</v>
      </c>
      <c r="BG40" s="118">
        <v>862266</v>
      </c>
      <c r="BH40" s="118">
        <v>1724532</v>
      </c>
      <c r="BI40" s="117">
        <v>5041843</v>
      </c>
      <c r="BJ40" s="117">
        <v>5041843</v>
      </c>
      <c r="BK40" s="117">
        <v>25675197.999999996</v>
      </c>
      <c r="BL40" s="117">
        <v>24684420.999999996</v>
      </c>
      <c r="BM40" s="117">
        <v>0</v>
      </c>
      <c r="BN40" s="117">
        <v>0</v>
      </c>
      <c r="BO40" s="119"/>
      <c r="BP40" s="86">
        <v>607533448.47000003</v>
      </c>
      <c r="BQ40" s="86">
        <v>514387777.38</v>
      </c>
      <c r="BR40" s="87">
        <v>433703</v>
      </c>
      <c r="BW40" s="114">
        <f t="shared" si="12"/>
        <v>0</v>
      </c>
      <c r="BX40" s="86">
        <v>419073812</v>
      </c>
      <c r="BY40" s="82">
        <f t="shared" si="9"/>
        <v>58325815</v>
      </c>
      <c r="BZ40" s="82">
        <f t="shared" si="10"/>
        <v>2707633</v>
      </c>
      <c r="CA40" s="86">
        <f t="shared" si="11"/>
        <v>135932901</v>
      </c>
      <c r="CB40" s="86">
        <f t="shared" si="4"/>
        <v>616040161</v>
      </c>
    </row>
    <row r="41" spans="1:80" x14ac:dyDescent="0.25">
      <c r="A41" s="91" t="s">
        <v>95</v>
      </c>
      <c r="B41" s="114">
        <v>509877749</v>
      </c>
      <c r="C41" s="114">
        <v>132994628</v>
      </c>
      <c r="D41" s="114">
        <v>60881193</v>
      </c>
      <c r="E41" s="114">
        <v>0</v>
      </c>
      <c r="F41" s="114">
        <v>49240110</v>
      </c>
      <c r="G41" s="114">
        <v>8581900</v>
      </c>
      <c r="H41" s="114">
        <v>13411500</v>
      </c>
      <c r="I41" s="114">
        <v>1866800</v>
      </c>
      <c r="J41" s="114">
        <v>188000</v>
      </c>
      <c r="K41" s="114">
        <v>37600</v>
      </c>
      <c r="L41" s="114">
        <v>211455987</v>
      </c>
      <c r="M41" s="114">
        <v>95653550</v>
      </c>
      <c r="N41" s="114">
        <v>1710</v>
      </c>
      <c r="O41" s="114">
        <v>301</v>
      </c>
      <c r="P41" s="114">
        <v>4459250</v>
      </c>
      <c r="Q41" s="114">
        <v>1225400</v>
      </c>
      <c r="R41" s="114">
        <v>200000</v>
      </c>
      <c r="S41" s="114">
        <v>2896175</v>
      </c>
      <c r="T41" s="114">
        <v>444833</v>
      </c>
      <c r="U41" s="114">
        <v>587950</v>
      </c>
      <c r="V41" s="114">
        <v>4459250</v>
      </c>
      <c r="W41" s="114">
        <v>1248500</v>
      </c>
      <c r="X41" s="114">
        <v>200000</v>
      </c>
      <c r="Y41" s="114">
        <v>3155175</v>
      </c>
      <c r="Z41" s="114">
        <v>2200200</v>
      </c>
      <c r="AA41" s="114">
        <v>625950</v>
      </c>
      <c r="AB41" s="114">
        <v>-1670805</v>
      </c>
      <c r="AC41" s="114">
        <v>13998</v>
      </c>
      <c r="AD41" s="114">
        <v>0</v>
      </c>
      <c r="AE41" s="114">
        <v>0</v>
      </c>
      <c r="AF41" s="114">
        <v>0</v>
      </c>
      <c r="AG41" s="114">
        <v>129902</v>
      </c>
      <c r="AH41" s="114">
        <v>0</v>
      </c>
      <c r="AI41" s="114">
        <v>93270.49</v>
      </c>
      <c r="AJ41" s="121">
        <v>0</v>
      </c>
      <c r="AK41" s="82">
        <v>123713532</v>
      </c>
      <c r="AL41" s="83">
        <v>7888969</v>
      </c>
      <c r="AM41" s="114">
        <v>43225</v>
      </c>
      <c r="AN41" s="114">
        <v>6809200</v>
      </c>
      <c r="AO41" s="114">
        <v>147487</v>
      </c>
      <c r="AP41" s="114">
        <v>7284563</v>
      </c>
      <c r="AQ41" s="114">
        <v>5107210</v>
      </c>
      <c r="AR41" s="114">
        <v>4934924</v>
      </c>
      <c r="AS41" s="114">
        <v>1363480</v>
      </c>
      <c r="AT41" s="114">
        <f>1718031+300</f>
        <v>1718331</v>
      </c>
      <c r="AU41" s="114">
        <v>0</v>
      </c>
      <c r="AV41" s="114">
        <v>0</v>
      </c>
      <c r="AW41" s="114">
        <v>2800</v>
      </c>
      <c r="AX41" s="114">
        <v>565509</v>
      </c>
      <c r="AY41" s="114">
        <v>0</v>
      </c>
      <c r="BD41" s="82">
        <v>6342190.0699999994</v>
      </c>
      <c r="BE41" s="82">
        <v>3234516.93</v>
      </c>
      <c r="BF41" s="117">
        <v>0</v>
      </c>
      <c r="BG41" s="118">
        <v>0</v>
      </c>
      <c r="BH41" s="118">
        <v>0</v>
      </c>
      <c r="BI41" s="117">
        <v>27436124</v>
      </c>
      <c r="BJ41" s="117">
        <v>27436124</v>
      </c>
      <c r="BK41" s="117">
        <v>35293601.600000009</v>
      </c>
      <c r="BL41" s="117">
        <v>35291968.600000009</v>
      </c>
      <c r="BM41" s="117">
        <v>0</v>
      </c>
      <c r="BN41" s="117">
        <v>0</v>
      </c>
      <c r="BO41" s="119"/>
      <c r="BP41" s="86">
        <v>913475848.01999998</v>
      </c>
      <c r="BQ41" s="86">
        <v>715910737.49000001</v>
      </c>
      <c r="BR41" s="87">
        <v>767750</v>
      </c>
      <c r="BT41" s="114">
        <v>7575</v>
      </c>
      <c r="BU41" s="114">
        <v>2638</v>
      </c>
      <c r="BV41" s="114">
        <v>413</v>
      </c>
      <c r="BW41" s="114">
        <f>SUM(BT41:BV41)</f>
        <v>10626</v>
      </c>
      <c r="BX41" s="86">
        <v>703753570</v>
      </c>
      <c r="BY41" s="82">
        <f t="shared" si="9"/>
        <v>123713532</v>
      </c>
      <c r="BZ41" s="82">
        <f t="shared" si="10"/>
        <v>7888969</v>
      </c>
      <c r="CA41" s="86">
        <f t="shared" si="11"/>
        <v>13427377</v>
      </c>
      <c r="CB41" s="86">
        <f t="shared" si="4"/>
        <v>848783448</v>
      </c>
    </row>
    <row r="42" spans="1:80" x14ac:dyDescent="0.25">
      <c r="A42" s="91" t="s">
        <v>96</v>
      </c>
      <c r="B42" s="114">
        <v>637275122</v>
      </c>
      <c r="C42" s="4">
        <v>233446274</v>
      </c>
      <c r="D42" s="114">
        <v>263936724</v>
      </c>
      <c r="E42" s="114">
        <v>2242000</v>
      </c>
      <c r="F42" s="114">
        <v>48932000</v>
      </c>
      <c r="G42" s="114">
        <v>6826000</v>
      </c>
      <c r="H42" s="114">
        <v>21450700</v>
      </c>
      <c r="I42" s="114">
        <v>1888000</v>
      </c>
      <c r="J42" s="114">
        <v>188000</v>
      </c>
      <c r="K42" s="114">
        <v>0</v>
      </c>
      <c r="L42" s="114">
        <v>285480676</v>
      </c>
      <c r="M42" s="114">
        <v>187947400</v>
      </c>
      <c r="N42" s="114">
        <v>1898</v>
      </c>
      <c r="O42" s="114">
        <v>240</v>
      </c>
      <c r="P42" s="114">
        <v>5446299</v>
      </c>
      <c r="Q42" s="114">
        <v>2491300</v>
      </c>
      <c r="R42" s="114">
        <v>694500</v>
      </c>
      <c r="S42" s="114">
        <v>3292860</v>
      </c>
      <c r="T42" s="114">
        <v>835900</v>
      </c>
      <c r="U42" s="114">
        <v>1129800</v>
      </c>
      <c r="V42" s="114">
        <v>5446299</v>
      </c>
      <c r="W42" s="114">
        <v>2751000</v>
      </c>
      <c r="X42" s="114">
        <v>694500</v>
      </c>
      <c r="Y42" s="114">
        <v>3292860</v>
      </c>
      <c r="Z42" s="114">
        <v>1334200</v>
      </c>
      <c r="AA42" s="114">
        <v>1129800</v>
      </c>
      <c r="AB42" s="114">
        <v>-1091100</v>
      </c>
      <c r="AC42" s="114">
        <v>-12391</v>
      </c>
      <c r="AD42" s="114">
        <v>68673</v>
      </c>
      <c r="AE42" s="114">
        <v>51</v>
      </c>
      <c r="AG42" s="114">
        <v>145742</v>
      </c>
      <c r="AH42" s="114">
        <v>0</v>
      </c>
      <c r="AI42" s="114">
        <v>0</v>
      </c>
      <c r="AJ42" s="121">
        <v>0</v>
      </c>
      <c r="AK42" s="82">
        <v>163546339</v>
      </c>
      <c r="AL42" s="83">
        <v>4369365</v>
      </c>
      <c r="AM42" s="114">
        <v>0</v>
      </c>
      <c r="AN42" s="114">
        <v>23269576</v>
      </c>
      <c r="AO42" s="114">
        <v>846877</v>
      </c>
      <c r="AP42" s="114">
        <v>37038558</v>
      </c>
      <c r="AQ42" s="114">
        <v>31161543</v>
      </c>
      <c r="AR42" s="114">
        <v>58296746</v>
      </c>
      <c r="AS42" s="114">
        <v>10661056</v>
      </c>
      <c r="AT42" s="114">
        <v>147708</v>
      </c>
      <c r="AU42" s="114">
        <v>0</v>
      </c>
      <c r="AV42" s="114">
        <v>0</v>
      </c>
      <c r="AW42" s="114">
        <v>0</v>
      </c>
      <c r="AX42" s="114">
        <v>11897</v>
      </c>
      <c r="AY42" s="114">
        <v>0</v>
      </c>
      <c r="BD42" s="82">
        <v>8369568.1200000001</v>
      </c>
      <c r="BE42" s="82">
        <v>4268479.74</v>
      </c>
      <c r="BF42" s="117">
        <v>0</v>
      </c>
      <c r="BG42" s="118">
        <v>3109405</v>
      </c>
      <c r="BH42" s="118">
        <v>6218811</v>
      </c>
      <c r="BI42" s="117">
        <v>40806230</v>
      </c>
      <c r="BJ42" s="117">
        <v>40806230</v>
      </c>
      <c r="BK42" s="117">
        <v>66610605.400000006</v>
      </c>
      <c r="BL42" s="117">
        <v>60133140.400000006</v>
      </c>
      <c r="BM42" s="117">
        <v>0</v>
      </c>
      <c r="BN42" s="117">
        <v>0</v>
      </c>
      <c r="BO42" s="119"/>
      <c r="BP42" s="86">
        <v>1466169075.1400001</v>
      </c>
      <c r="BQ42" s="86">
        <v>1189936116</v>
      </c>
      <c r="BR42" s="87">
        <v>1610600</v>
      </c>
      <c r="BT42" s="114">
        <v>8298</v>
      </c>
      <c r="BU42" s="114">
        <v>2908</v>
      </c>
      <c r="BV42" s="114">
        <v>557</v>
      </c>
      <c r="BW42" s="114">
        <f t="shared" ref="BW42:BW49" si="13">SUM(BT42:BV42)</f>
        <v>11763</v>
      </c>
      <c r="BX42" s="86">
        <v>1134658120</v>
      </c>
      <c r="BY42" s="82">
        <f t="shared" si="9"/>
        <v>163546339</v>
      </c>
      <c r="BZ42" s="82">
        <f t="shared" si="10"/>
        <v>4369365</v>
      </c>
      <c r="CA42" s="86">
        <f t="shared" si="11"/>
        <v>65939052</v>
      </c>
      <c r="CB42" s="86">
        <f t="shared" si="4"/>
        <v>1368512876</v>
      </c>
    </row>
    <row r="43" spans="1:80" x14ac:dyDescent="0.25">
      <c r="A43" s="91" t="s">
        <v>97</v>
      </c>
      <c r="B43" s="114">
        <v>806513528</v>
      </c>
      <c r="C43" s="114">
        <v>400918473</v>
      </c>
      <c r="D43" s="114">
        <v>305941982</v>
      </c>
      <c r="E43" s="114">
        <v>27800000</v>
      </c>
      <c r="F43" s="114">
        <v>99428546</v>
      </c>
      <c r="G43" s="114">
        <v>25751801</v>
      </c>
      <c r="H43" s="114">
        <v>25242740</v>
      </c>
      <c r="I43" s="114">
        <v>4336750</v>
      </c>
      <c r="J43" s="114">
        <v>71600</v>
      </c>
      <c r="K43" s="114">
        <v>97200</v>
      </c>
      <c r="L43" s="114">
        <v>993081422</v>
      </c>
      <c r="M43" s="114">
        <v>220431097</v>
      </c>
      <c r="N43" s="114">
        <v>3488</v>
      </c>
      <c r="O43" s="114">
        <v>892</v>
      </c>
      <c r="P43" s="114">
        <v>4424297</v>
      </c>
      <c r="Q43" s="114">
        <v>3558800</v>
      </c>
      <c r="R43" s="114">
        <v>5589000</v>
      </c>
      <c r="S43" s="114">
        <v>5777633</v>
      </c>
      <c r="T43" s="114">
        <v>1404654</v>
      </c>
      <c r="U43" s="114">
        <v>5591895</v>
      </c>
      <c r="V43" s="114">
        <v>4424297</v>
      </c>
      <c r="W43" s="114">
        <v>4829475</v>
      </c>
      <c r="X43" s="114">
        <v>5589000</v>
      </c>
      <c r="Y43" s="114">
        <v>5777633</v>
      </c>
      <c r="Z43" s="114">
        <v>1723700</v>
      </c>
      <c r="AA43" s="114">
        <v>5591895</v>
      </c>
      <c r="AB43" s="114">
        <v>-9840603</v>
      </c>
      <c r="AC43" s="114">
        <v>-1437313</v>
      </c>
      <c r="AD43" s="114">
        <v>55827</v>
      </c>
      <c r="AE43" s="114">
        <v>92581</v>
      </c>
      <c r="AF43" s="114">
        <v>221803517</v>
      </c>
      <c r="AG43" s="114">
        <v>312334</v>
      </c>
      <c r="AH43" s="114">
        <v>0</v>
      </c>
      <c r="AI43" s="114">
        <v>332713.11</v>
      </c>
      <c r="AJ43" s="121">
        <v>0</v>
      </c>
      <c r="AK43" s="82">
        <v>260481491</v>
      </c>
      <c r="AL43" s="83">
        <v>6806996</v>
      </c>
      <c r="AM43" s="114">
        <v>0</v>
      </c>
      <c r="AN43" s="114">
        <v>65549291</v>
      </c>
      <c r="AO43" s="114">
        <v>4556014</v>
      </c>
      <c r="AP43" s="114">
        <v>53680808</v>
      </c>
      <c r="AQ43" s="114">
        <v>96211213</v>
      </c>
      <c r="AR43" s="114">
        <v>72420248</v>
      </c>
      <c r="AS43" s="114">
        <v>240</v>
      </c>
      <c r="AT43" s="114">
        <f>23914569+100</f>
        <v>23914669</v>
      </c>
      <c r="AU43" s="114">
        <v>0</v>
      </c>
      <c r="AV43" s="114">
        <v>0</v>
      </c>
      <c r="AW43" s="114">
        <v>22308855</v>
      </c>
      <c r="AX43" s="114">
        <v>23956</v>
      </c>
      <c r="AY43" s="114">
        <v>0</v>
      </c>
      <c r="BD43" s="82">
        <v>13329906.52</v>
      </c>
      <c r="BE43" s="82">
        <v>6798252.3200000003</v>
      </c>
      <c r="BF43" s="117">
        <v>0</v>
      </c>
      <c r="BG43" s="118">
        <v>2813986</v>
      </c>
      <c r="BH43" s="118">
        <v>5627971</v>
      </c>
      <c r="BI43" s="117">
        <v>75485507</v>
      </c>
      <c r="BJ43" s="117">
        <v>72877692</v>
      </c>
      <c r="BK43" s="117">
        <v>119448545.40000001</v>
      </c>
      <c r="BL43" s="117">
        <v>98038998.400000006</v>
      </c>
      <c r="BM43" s="117">
        <v>0</v>
      </c>
      <c r="BN43" s="117">
        <v>8123246</v>
      </c>
      <c r="BO43" s="119"/>
      <c r="BP43" s="86">
        <v>2135963875.8299999</v>
      </c>
      <c r="BQ43" s="86">
        <v>1680023214.1099999</v>
      </c>
      <c r="BR43" s="87">
        <v>4402844</v>
      </c>
      <c r="BT43" s="114">
        <v>18132</v>
      </c>
      <c r="BU43" s="114">
        <v>8977</v>
      </c>
      <c r="BV43" s="114">
        <v>1795</v>
      </c>
      <c r="BW43" s="114">
        <f t="shared" si="13"/>
        <v>28904</v>
      </c>
      <c r="BX43" s="86">
        <v>1513373983</v>
      </c>
      <c r="BY43" s="82">
        <f t="shared" si="9"/>
        <v>260481491</v>
      </c>
      <c r="BZ43" s="82">
        <f t="shared" si="10"/>
        <v>6806996</v>
      </c>
      <c r="CA43" s="86">
        <f t="shared" si="11"/>
        <v>166316758</v>
      </c>
      <c r="CB43" s="86">
        <f t="shared" si="4"/>
        <v>1946979228</v>
      </c>
    </row>
    <row r="44" spans="1:80" s="98" customFormat="1" x14ac:dyDescent="0.25">
      <c r="A44" s="91" t="s">
        <v>98</v>
      </c>
      <c r="B44" s="56">
        <v>741441416</v>
      </c>
      <c r="C44" s="56">
        <v>217989019</v>
      </c>
      <c r="D44" s="56">
        <v>177404271</v>
      </c>
      <c r="E44" s="56">
        <v>19200000</v>
      </c>
      <c r="F44" s="56">
        <v>65546856</v>
      </c>
      <c r="G44" s="56">
        <v>16005333</v>
      </c>
      <c r="H44" s="56">
        <v>22792600</v>
      </c>
      <c r="I44" s="56">
        <v>3422000</v>
      </c>
      <c r="J44" s="56">
        <v>146800</v>
      </c>
      <c r="K44" s="56">
        <v>0</v>
      </c>
      <c r="L44" s="56">
        <v>323194338</v>
      </c>
      <c r="M44" s="56">
        <v>133845661</v>
      </c>
      <c r="N44" s="56">
        <v>2486</v>
      </c>
      <c r="O44" s="56">
        <v>594</v>
      </c>
      <c r="P44" s="56">
        <v>12547549</v>
      </c>
      <c r="Q44" s="56">
        <v>4816800</v>
      </c>
      <c r="R44" s="56">
        <v>3050625</v>
      </c>
      <c r="S44" s="56">
        <v>7290272</v>
      </c>
      <c r="T44" s="56">
        <v>1457500</v>
      </c>
      <c r="U44" s="56">
        <v>1684979</v>
      </c>
      <c r="V44" s="56">
        <v>12547549</v>
      </c>
      <c r="W44" s="56">
        <v>5478900</v>
      </c>
      <c r="X44" s="56">
        <v>3050625</v>
      </c>
      <c r="Y44" s="56">
        <v>7290272</v>
      </c>
      <c r="Z44" s="56">
        <v>2191360</v>
      </c>
      <c r="AA44" s="56">
        <v>1684979</v>
      </c>
      <c r="AB44" s="56">
        <v>-5044300</v>
      </c>
      <c r="AC44" s="56">
        <v>-455081</v>
      </c>
      <c r="AD44" s="56">
        <v>128196</v>
      </c>
      <c r="AE44" s="56">
        <v>5578</v>
      </c>
      <c r="AF44" s="56">
        <v>5207910</v>
      </c>
      <c r="AG44" s="56">
        <v>331154</v>
      </c>
      <c r="AH44" s="114">
        <v>0</v>
      </c>
      <c r="AI44" s="56">
        <v>706401.64</v>
      </c>
      <c r="AJ44" s="121">
        <v>0</v>
      </c>
      <c r="AK44" s="83">
        <v>151746658</v>
      </c>
      <c r="AL44" s="83">
        <v>17696488</v>
      </c>
      <c r="AM44" s="56">
        <v>249966</v>
      </c>
      <c r="AN44" s="56">
        <v>35253881</v>
      </c>
      <c r="AO44" s="56">
        <v>3801868</v>
      </c>
      <c r="AP44" s="56">
        <v>70648523</v>
      </c>
      <c r="AQ44" s="56">
        <v>62802821</v>
      </c>
      <c r="AR44" s="56">
        <v>56267975</v>
      </c>
      <c r="AS44" s="56">
        <v>16891022</v>
      </c>
      <c r="AT44" s="56">
        <v>150672</v>
      </c>
      <c r="AU44" s="56">
        <v>0</v>
      </c>
      <c r="AV44" s="56">
        <v>0</v>
      </c>
      <c r="AW44" s="56">
        <v>85832</v>
      </c>
      <c r="AX44" s="56">
        <v>480687</v>
      </c>
      <c r="AY44" s="56">
        <v>107085</v>
      </c>
      <c r="AZ44" s="56"/>
      <c r="BA44" s="56"/>
      <c r="BB44" s="56"/>
      <c r="BC44" s="56"/>
      <c r="BD44" s="83">
        <v>7798708.7999999998</v>
      </c>
      <c r="BE44" s="83">
        <v>3977341.49</v>
      </c>
      <c r="BF44" s="117">
        <v>0</v>
      </c>
      <c r="BG44" s="118">
        <v>2571801</v>
      </c>
      <c r="BH44" s="118">
        <v>5143603</v>
      </c>
      <c r="BI44" s="117">
        <v>11034242</v>
      </c>
      <c r="BJ44" s="117">
        <v>6368032</v>
      </c>
      <c r="BK44" s="117">
        <v>51825411.399999999</v>
      </c>
      <c r="BL44" s="117">
        <v>48280951.399999999</v>
      </c>
      <c r="BM44" s="117">
        <v>0</v>
      </c>
      <c r="BN44" s="117">
        <v>0</v>
      </c>
      <c r="BO44" s="63"/>
      <c r="BP44" s="96">
        <v>1470040949.5300002</v>
      </c>
      <c r="BQ44" s="96">
        <v>1239399677.6400001</v>
      </c>
      <c r="BR44" s="97">
        <v>1262503</v>
      </c>
      <c r="BT44" s="56">
        <v>20941</v>
      </c>
      <c r="BU44" s="56">
        <v>6392</v>
      </c>
      <c r="BV44" s="56">
        <v>1698</v>
      </c>
      <c r="BW44" s="114">
        <f t="shared" si="13"/>
        <v>29031</v>
      </c>
      <c r="BX44" s="86">
        <v>1136834706</v>
      </c>
      <c r="BY44" s="82">
        <f t="shared" si="9"/>
        <v>151746658</v>
      </c>
      <c r="BZ44" s="82">
        <f t="shared" si="10"/>
        <v>17696488</v>
      </c>
      <c r="CA44" s="86">
        <f t="shared" si="11"/>
        <v>118749592</v>
      </c>
      <c r="CB44" s="86">
        <f t="shared" si="4"/>
        <v>1425027444</v>
      </c>
    </row>
    <row r="45" spans="1:80" x14ac:dyDescent="0.25">
      <c r="A45" s="91" t="s">
        <v>99</v>
      </c>
      <c r="B45" s="114">
        <v>172023634</v>
      </c>
      <c r="C45" s="114">
        <v>125701903</v>
      </c>
      <c r="D45" s="114">
        <v>40043990</v>
      </c>
      <c r="E45" s="114">
        <v>0</v>
      </c>
      <c r="F45" s="114">
        <v>33316125</v>
      </c>
      <c r="G45" s="114">
        <v>6621323</v>
      </c>
      <c r="H45" s="114">
        <v>15257300</v>
      </c>
      <c r="I45" s="114">
        <v>1489100</v>
      </c>
      <c r="J45" s="114">
        <v>37000</v>
      </c>
      <c r="K45" s="114">
        <v>0</v>
      </c>
      <c r="L45" s="114">
        <v>235794435</v>
      </c>
      <c r="M45" s="114">
        <v>71554240</v>
      </c>
      <c r="N45" s="114">
        <v>1361</v>
      </c>
      <c r="O45" s="114">
        <v>248</v>
      </c>
      <c r="P45" s="114">
        <v>1708500</v>
      </c>
      <c r="Q45" s="114">
        <v>2021000</v>
      </c>
      <c r="R45" s="114">
        <v>281000</v>
      </c>
      <c r="S45" s="114">
        <v>1312740</v>
      </c>
      <c r="T45" s="114">
        <v>217500</v>
      </c>
      <c r="U45" s="114">
        <v>353000</v>
      </c>
      <c r="V45" s="114">
        <v>1708500</v>
      </c>
      <c r="W45" s="114">
        <v>2021000</v>
      </c>
      <c r="X45" s="114">
        <v>281000</v>
      </c>
      <c r="Y45" s="114">
        <v>1312740</v>
      </c>
      <c r="Z45" s="114">
        <v>379500</v>
      </c>
      <c r="AA45" s="114">
        <v>353000</v>
      </c>
      <c r="AB45" s="114">
        <v>-814300</v>
      </c>
      <c r="AC45" s="114">
        <v>-7543</v>
      </c>
      <c r="AD45" s="114">
        <v>39699</v>
      </c>
      <c r="AE45" s="114">
        <v>0</v>
      </c>
      <c r="AF45" s="114">
        <v>0</v>
      </c>
      <c r="AG45" s="114">
        <v>168057</v>
      </c>
      <c r="AH45" s="114">
        <v>229909.84</v>
      </c>
      <c r="AI45" s="114">
        <v>202893.44</v>
      </c>
      <c r="AJ45" s="121">
        <v>0</v>
      </c>
      <c r="AK45" s="82">
        <v>68209202</v>
      </c>
      <c r="AL45" s="83">
        <v>1518102</v>
      </c>
      <c r="AM45" s="114">
        <v>0</v>
      </c>
      <c r="AN45" s="114">
        <v>5102799</v>
      </c>
      <c r="AO45" s="114">
        <v>54282</v>
      </c>
      <c r="AP45" s="114">
        <v>6036619</v>
      </c>
      <c r="AQ45" s="114">
        <v>6134530</v>
      </c>
      <c r="AR45" s="114">
        <v>2995747</v>
      </c>
      <c r="AS45" s="114">
        <v>0</v>
      </c>
      <c r="AT45" s="114">
        <v>609959</v>
      </c>
      <c r="AU45" s="114">
        <v>0</v>
      </c>
      <c r="AV45" s="114">
        <v>0</v>
      </c>
      <c r="AW45" s="114">
        <v>0</v>
      </c>
      <c r="AX45" s="114">
        <v>0</v>
      </c>
      <c r="AY45" s="114">
        <v>0</v>
      </c>
      <c r="BD45" s="82">
        <v>3489905.3000000003</v>
      </c>
      <c r="BE45" s="82">
        <v>1779851.71</v>
      </c>
      <c r="BF45" s="117">
        <v>0</v>
      </c>
      <c r="BG45" s="118">
        <v>0</v>
      </c>
      <c r="BH45" s="118">
        <v>0</v>
      </c>
      <c r="BI45" s="117">
        <v>24563069</v>
      </c>
      <c r="BJ45" s="117">
        <v>24563069</v>
      </c>
      <c r="BK45" s="117">
        <v>34564173.799999997</v>
      </c>
      <c r="BL45" s="117">
        <v>34203190.799999997</v>
      </c>
      <c r="BM45" s="117">
        <v>0</v>
      </c>
      <c r="BN45" s="117">
        <v>0</v>
      </c>
      <c r="BO45" s="119"/>
      <c r="BP45" s="86">
        <v>479767356.78999996</v>
      </c>
      <c r="BQ45" s="86">
        <v>349493941.27999997</v>
      </c>
      <c r="BR45" s="87">
        <v>561262</v>
      </c>
      <c r="BT45" s="114">
        <v>4564</v>
      </c>
      <c r="BU45" s="114">
        <v>3174</v>
      </c>
      <c r="BV45" s="114">
        <v>320</v>
      </c>
      <c r="BW45" s="114">
        <f t="shared" si="13"/>
        <v>8058</v>
      </c>
      <c r="BX45" s="86">
        <v>337769527</v>
      </c>
      <c r="BY45" s="82">
        <f t="shared" si="9"/>
        <v>68209202</v>
      </c>
      <c r="BZ45" s="82">
        <f t="shared" si="10"/>
        <v>1518102</v>
      </c>
      <c r="CA45" s="86">
        <f t="shared" si="11"/>
        <v>11291611</v>
      </c>
      <c r="CB45" s="86">
        <f t="shared" si="4"/>
        <v>418788442</v>
      </c>
    </row>
    <row r="46" spans="1:80" x14ac:dyDescent="0.25">
      <c r="A46" s="91" t="s">
        <v>100</v>
      </c>
      <c r="B46" s="114">
        <v>915569434</v>
      </c>
      <c r="C46" s="114">
        <v>132120540</v>
      </c>
      <c r="D46" s="114">
        <v>287560422</v>
      </c>
      <c r="E46" s="114">
        <v>0</v>
      </c>
      <c r="F46" s="114">
        <v>137524182</v>
      </c>
      <c r="G46" s="114">
        <v>29667275</v>
      </c>
      <c r="H46" s="114">
        <v>19705753</v>
      </c>
      <c r="I46" s="114">
        <v>4278169</v>
      </c>
      <c r="J46" s="114">
        <v>112800</v>
      </c>
      <c r="K46" s="114">
        <v>0</v>
      </c>
      <c r="L46" s="114">
        <v>122155511</v>
      </c>
      <c r="M46" s="114">
        <v>114782204</v>
      </c>
      <c r="N46" s="114">
        <v>4549</v>
      </c>
      <c r="O46" s="114">
        <v>1124</v>
      </c>
      <c r="P46" s="114">
        <v>4373803</v>
      </c>
      <c r="Q46" s="114">
        <v>4166390</v>
      </c>
      <c r="R46" s="114">
        <v>1573690</v>
      </c>
      <c r="S46" s="114">
        <v>4582844</v>
      </c>
      <c r="T46" s="114">
        <v>824718</v>
      </c>
      <c r="U46" s="114">
        <v>5578405</v>
      </c>
      <c r="V46" s="114">
        <v>4373803</v>
      </c>
      <c r="W46" s="114">
        <v>2773133</v>
      </c>
      <c r="X46" s="114">
        <v>1573690</v>
      </c>
      <c r="Y46" s="114">
        <v>4582844</v>
      </c>
      <c r="Z46" s="114">
        <v>1025300</v>
      </c>
      <c r="AA46" s="114">
        <v>5578405</v>
      </c>
      <c r="AB46" s="114">
        <v>-4221262</v>
      </c>
      <c r="AC46" s="114">
        <v>0</v>
      </c>
      <c r="AD46" s="114">
        <v>146151</v>
      </c>
      <c r="AE46" s="114">
        <v>0</v>
      </c>
      <c r="AF46" s="114">
        <v>0</v>
      </c>
      <c r="AG46" s="114">
        <v>14350152</v>
      </c>
      <c r="AH46" s="114">
        <v>6935254.0999999996</v>
      </c>
      <c r="AI46" s="114">
        <v>228967.21</v>
      </c>
      <c r="AJ46" s="121">
        <v>0</v>
      </c>
      <c r="AK46" s="82">
        <v>248031985</v>
      </c>
      <c r="AL46" s="83">
        <v>6059939</v>
      </c>
      <c r="AM46" s="114">
        <v>25000</v>
      </c>
      <c r="AN46" s="114">
        <v>42935893</v>
      </c>
      <c r="AO46" s="114">
        <v>3671922</v>
      </c>
      <c r="AP46" s="114">
        <v>132050957</v>
      </c>
      <c r="AQ46" s="114">
        <v>45425580</v>
      </c>
      <c r="AR46" s="114">
        <v>59660810</v>
      </c>
      <c r="AS46" s="114">
        <v>79748327</v>
      </c>
      <c r="AT46" s="114">
        <v>863604</v>
      </c>
      <c r="AU46" s="114">
        <v>0</v>
      </c>
      <c r="AV46" s="114">
        <v>0</v>
      </c>
      <c r="AW46" s="114">
        <v>0</v>
      </c>
      <c r="AX46" s="114">
        <v>84425</v>
      </c>
      <c r="AY46" s="114">
        <v>609699</v>
      </c>
      <c r="BD46" s="82">
        <v>12691794.25</v>
      </c>
      <c r="BE46" s="82">
        <v>6472815.0699999994</v>
      </c>
      <c r="BF46" s="117">
        <v>32903627</v>
      </c>
      <c r="BG46" s="118">
        <v>35255422</v>
      </c>
      <c r="BH46" s="118">
        <v>70510844</v>
      </c>
      <c r="BI46" s="117">
        <v>71424068</v>
      </c>
      <c r="BJ46" s="117">
        <v>71424068</v>
      </c>
      <c r="BK46" s="117">
        <v>125600097.40000001</v>
      </c>
      <c r="BL46" s="117">
        <v>108493310.40000001</v>
      </c>
      <c r="BM46" s="117">
        <v>0</v>
      </c>
      <c r="BN46" s="117">
        <v>0</v>
      </c>
      <c r="BO46" s="119"/>
      <c r="BP46" s="86">
        <v>1910185551.78</v>
      </c>
      <c r="BQ46" s="86">
        <v>1434448012.3099999</v>
      </c>
      <c r="BR46" s="87">
        <v>2111252</v>
      </c>
      <c r="BT46" s="114">
        <v>17578</v>
      </c>
      <c r="BU46" s="114">
        <v>3334</v>
      </c>
      <c r="BV46" s="114">
        <v>850</v>
      </c>
      <c r="BW46" s="114">
        <f t="shared" si="13"/>
        <v>21762</v>
      </c>
      <c r="BX46" s="86">
        <v>1335250396</v>
      </c>
      <c r="BY46" s="82">
        <f t="shared" si="9"/>
        <v>248031985</v>
      </c>
      <c r="BZ46" s="82">
        <f t="shared" si="10"/>
        <v>6059939</v>
      </c>
      <c r="CA46" s="86">
        <f t="shared" si="11"/>
        <v>171781722</v>
      </c>
      <c r="CB46" s="86">
        <f t="shared" si="4"/>
        <v>1761124042</v>
      </c>
    </row>
    <row r="47" spans="1:80" x14ac:dyDescent="0.25">
      <c r="A47" s="91" t="s">
        <v>101</v>
      </c>
      <c r="B47" s="114">
        <v>172164899</v>
      </c>
      <c r="C47" s="114">
        <v>86413178</v>
      </c>
      <c r="D47" s="114">
        <v>168422233</v>
      </c>
      <c r="E47" s="114">
        <v>12061710</v>
      </c>
      <c r="F47" s="114">
        <v>23210500</v>
      </c>
      <c r="G47" s="114">
        <v>4100200</v>
      </c>
      <c r="H47" s="114">
        <v>10268800</v>
      </c>
      <c r="I47" s="114">
        <v>936200</v>
      </c>
      <c r="J47" s="114">
        <v>0</v>
      </c>
      <c r="K47" s="114">
        <v>37600</v>
      </c>
      <c r="L47" s="114">
        <v>199433635</v>
      </c>
      <c r="M47" s="114">
        <v>66055774</v>
      </c>
      <c r="N47" s="114">
        <v>942</v>
      </c>
      <c r="O47" s="114">
        <v>159</v>
      </c>
      <c r="P47" s="114">
        <v>4949092</v>
      </c>
      <c r="Q47" s="114">
        <v>1671410</v>
      </c>
      <c r="R47" s="114">
        <v>377000</v>
      </c>
      <c r="S47" s="114">
        <v>1527597</v>
      </c>
      <c r="T47" s="114">
        <v>920000</v>
      </c>
      <c r="U47" s="114">
        <v>248200</v>
      </c>
      <c r="V47" s="114">
        <v>4949092</v>
      </c>
      <c r="W47" s="114">
        <v>1777510</v>
      </c>
      <c r="X47" s="114">
        <v>377000</v>
      </c>
      <c r="Y47" s="114">
        <v>1527597</v>
      </c>
      <c r="Z47" s="114">
        <v>1756637</v>
      </c>
      <c r="AA47" s="114">
        <v>248200</v>
      </c>
      <c r="AB47" s="114">
        <v>-391800</v>
      </c>
      <c r="AC47" s="114">
        <v>-2102611</v>
      </c>
      <c r="AD47" s="114">
        <v>89816</v>
      </c>
      <c r="AE47" s="114">
        <v>0</v>
      </c>
      <c r="AF47" s="114">
        <v>0</v>
      </c>
      <c r="AG47" s="114">
        <v>106157</v>
      </c>
      <c r="AH47" s="114">
        <v>247368.85</v>
      </c>
      <c r="AI47" s="114">
        <v>74237.7</v>
      </c>
      <c r="AJ47" s="121">
        <v>0</v>
      </c>
      <c r="AK47" s="82">
        <v>64923761</v>
      </c>
      <c r="AL47" s="83">
        <v>1648472</v>
      </c>
      <c r="AM47" s="114">
        <v>0</v>
      </c>
      <c r="AN47" s="114">
        <v>74244048</v>
      </c>
      <c r="AO47" s="114">
        <v>51974708</v>
      </c>
      <c r="AP47" s="114">
        <v>960253733</v>
      </c>
      <c r="AQ47" s="114">
        <v>26749558</v>
      </c>
      <c r="AR47" s="114">
        <v>149221487</v>
      </c>
      <c r="AS47" s="114">
        <v>56037022</v>
      </c>
      <c r="AT47" s="114">
        <f>2257481+112362006</f>
        <v>114619487</v>
      </c>
      <c r="AU47" s="114">
        <v>0</v>
      </c>
      <c r="AV47" s="114">
        <v>0</v>
      </c>
      <c r="AW47" s="114">
        <v>42142752</v>
      </c>
      <c r="AX47" s="114">
        <v>625</v>
      </c>
      <c r="AY47" s="114">
        <v>158500</v>
      </c>
      <c r="BD47" s="82">
        <v>3322298.77</v>
      </c>
      <c r="BE47" s="82">
        <v>1694372.37</v>
      </c>
      <c r="BF47" s="117">
        <v>30364767</v>
      </c>
      <c r="BG47" s="118">
        <v>1911981</v>
      </c>
      <c r="BH47" s="118">
        <v>3823961</v>
      </c>
      <c r="BI47" s="117">
        <v>122225943</v>
      </c>
      <c r="BJ47" s="117">
        <v>122225943</v>
      </c>
      <c r="BK47" s="117">
        <v>60677261.600000001</v>
      </c>
      <c r="BL47" s="117">
        <v>59162619.600000001</v>
      </c>
      <c r="BM47" s="117">
        <v>0</v>
      </c>
      <c r="BN47" s="117">
        <v>0</v>
      </c>
      <c r="BO47" s="119"/>
      <c r="BP47" s="86">
        <v>831857379.51999998</v>
      </c>
      <c r="BQ47" s="86">
        <v>580290230.54999995</v>
      </c>
      <c r="BR47" s="87">
        <v>630946</v>
      </c>
      <c r="BT47" s="114">
        <v>3390</v>
      </c>
      <c r="BU47" s="114">
        <v>1831</v>
      </c>
      <c r="BV47" s="114">
        <v>287</v>
      </c>
      <c r="BW47" s="114">
        <f t="shared" si="13"/>
        <v>5508</v>
      </c>
      <c r="BX47" s="86">
        <v>427000310</v>
      </c>
      <c r="BY47" s="82">
        <f t="shared" si="9"/>
        <v>64923761</v>
      </c>
      <c r="BZ47" s="82">
        <f t="shared" si="10"/>
        <v>1648472</v>
      </c>
      <c r="CA47" s="86">
        <f t="shared" si="11"/>
        <v>209005336</v>
      </c>
      <c r="CB47" s="86">
        <f t="shared" si="4"/>
        <v>702577879</v>
      </c>
    </row>
    <row r="48" spans="1:80" x14ac:dyDescent="0.25">
      <c r="A48" s="91" t="s">
        <v>102</v>
      </c>
      <c r="B48" s="114">
        <v>4076501089</v>
      </c>
      <c r="C48" s="114">
        <v>397508400</v>
      </c>
      <c r="D48" s="114">
        <v>1612285653</v>
      </c>
      <c r="E48" s="114">
        <v>4455400</v>
      </c>
      <c r="F48" s="114">
        <v>254758011</v>
      </c>
      <c r="G48" s="114">
        <v>39458400</v>
      </c>
      <c r="H48" s="114">
        <v>30263300</v>
      </c>
      <c r="I48" s="114">
        <v>2698300</v>
      </c>
      <c r="J48" s="114">
        <v>526400</v>
      </c>
      <c r="K48" s="114">
        <v>0</v>
      </c>
      <c r="L48" s="114">
        <v>691034100</v>
      </c>
      <c r="M48" s="114">
        <v>1121504100</v>
      </c>
      <c r="N48" s="114">
        <v>7737</v>
      </c>
      <c r="O48" s="114">
        <v>1186</v>
      </c>
      <c r="P48" s="114">
        <v>58065900</v>
      </c>
      <c r="Q48" s="114">
        <v>7849400</v>
      </c>
      <c r="R48" s="114">
        <v>33624700</v>
      </c>
      <c r="S48" s="114">
        <v>12468300</v>
      </c>
      <c r="T48" s="114">
        <v>4484400</v>
      </c>
      <c r="U48" s="114">
        <v>7652877</v>
      </c>
      <c r="V48" s="114">
        <v>58065900</v>
      </c>
      <c r="W48" s="114">
        <v>7849400</v>
      </c>
      <c r="X48" s="114">
        <v>33624700</v>
      </c>
      <c r="Y48" s="114">
        <v>12468300</v>
      </c>
      <c r="Z48" s="114">
        <v>4484400</v>
      </c>
      <c r="AA48" s="114">
        <v>7652877</v>
      </c>
      <c r="AB48" s="114">
        <v>-7299400</v>
      </c>
      <c r="AC48" s="114">
        <v>-1065277</v>
      </c>
      <c r="AD48" s="114">
        <v>88133</v>
      </c>
      <c r="AE48" s="114">
        <v>0</v>
      </c>
      <c r="AF48" s="114">
        <v>0</v>
      </c>
      <c r="AG48" s="114">
        <v>264170</v>
      </c>
      <c r="AH48" s="114">
        <v>0</v>
      </c>
      <c r="AI48" s="114">
        <v>1568008.2</v>
      </c>
      <c r="AJ48" s="121">
        <v>0</v>
      </c>
      <c r="AK48" s="82">
        <v>740258522</v>
      </c>
      <c r="AL48" s="83">
        <v>15128325</v>
      </c>
      <c r="AM48" s="114">
        <v>40000</v>
      </c>
      <c r="AN48" s="114">
        <v>186896443</v>
      </c>
      <c r="AO48" s="114">
        <v>37997170</v>
      </c>
      <c r="AP48" s="114">
        <v>612894729</v>
      </c>
      <c r="AQ48" s="114">
        <v>200289239</v>
      </c>
      <c r="AR48" s="114">
        <v>278089132</v>
      </c>
      <c r="AS48" s="114">
        <v>96608285</v>
      </c>
      <c r="AT48" s="114">
        <v>2395685</v>
      </c>
      <c r="AU48" s="114">
        <v>0</v>
      </c>
      <c r="AV48" s="114">
        <v>59860</v>
      </c>
      <c r="AW48" s="114">
        <v>5668210</v>
      </c>
      <c r="AX48" s="114">
        <v>861783</v>
      </c>
      <c r="AY48" s="114">
        <v>909315</v>
      </c>
      <c r="BD48" s="82">
        <v>37871867.75</v>
      </c>
      <c r="BE48" s="82">
        <v>19314652.550000001</v>
      </c>
      <c r="BF48" s="117">
        <v>2843523</v>
      </c>
      <c r="BG48" s="118">
        <v>6369520</v>
      </c>
      <c r="BH48" s="118">
        <v>12739039</v>
      </c>
      <c r="BI48" s="117">
        <v>55131269</v>
      </c>
      <c r="BJ48" s="117">
        <v>44622066</v>
      </c>
      <c r="BK48" s="117">
        <v>204825328.20000002</v>
      </c>
      <c r="BL48" s="117">
        <v>195411697.20000002</v>
      </c>
      <c r="BM48" s="117">
        <v>332</v>
      </c>
      <c r="BN48" s="117">
        <v>0</v>
      </c>
      <c r="BO48" s="119"/>
      <c r="BP48" s="86">
        <v>7534151116.9499998</v>
      </c>
      <c r="BQ48" s="86">
        <v>6513046002.1999998</v>
      </c>
      <c r="BR48" s="87">
        <v>12700800</v>
      </c>
      <c r="BT48" s="114">
        <v>39452</v>
      </c>
      <c r="BU48" s="114">
        <v>5028</v>
      </c>
      <c r="BV48" s="114">
        <v>2954</v>
      </c>
      <c r="BW48" s="114">
        <f t="shared" si="13"/>
        <v>47434</v>
      </c>
      <c r="BX48" s="86">
        <v>6086295142</v>
      </c>
      <c r="BY48" s="82">
        <f t="shared" si="9"/>
        <v>740258522</v>
      </c>
      <c r="BZ48" s="82">
        <f t="shared" si="10"/>
        <v>15128325</v>
      </c>
      <c r="CA48" s="86">
        <f t="shared" si="11"/>
        <v>521791137</v>
      </c>
      <c r="CB48" s="86">
        <f t="shared" si="4"/>
        <v>7363473126</v>
      </c>
    </row>
    <row r="49" spans="1:80" x14ac:dyDescent="0.25">
      <c r="A49" s="91" t="s">
        <v>103</v>
      </c>
      <c r="B49" s="114">
        <v>395278981</v>
      </c>
      <c r="C49" s="114">
        <v>44686215</v>
      </c>
      <c r="D49" s="114">
        <v>145533068</v>
      </c>
      <c r="E49" s="114">
        <v>0</v>
      </c>
      <c r="F49" s="114">
        <v>62551609</v>
      </c>
      <c r="G49" s="114">
        <v>71356395</v>
      </c>
      <c r="H49" s="114">
        <v>2169185</v>
      </c>
      <c r="I49" s="114">
        <v>1466200</v>
      </c>
      <c r="J49" s="114">
        <v>169000</v>
      </c>
      <c r="K49" s="114">
        <v>171850</v>
      </c>
      <c r="L49" s="114">
        <v>102494499</v>
      </c>
      <c r="M49" s="114">
        <v>17684513</v>
      </c>
      <c r="N49" s="114">
        <v>2019</v>
      </c>
      <c r="O49" s="114">
        <v>2430</v>
      </c>
      <c r="P49" s="114">
        <v>3921930</v>
      </c>
      <c r="Q49" s="114">
        <v>310050</v>
      </c>
      <c r="R49" s="114">
        <v>749400</v>
      </c>
      <c r="S49" s="114">
        <v>5089069</v>
      </c>
      <c r="T49" s="114">
        <v>119915</v>
      </c>
      <c r="U49" s="114">
        <v>889207</v>
      </c>
      <c r="V49" s="114">
        <v>3921930</v>
      </c>
      <c r="W49" s="114">
        <v>310050</v>
      </c>
      <c r="X49" s="114">
        <v>749400</v>
      </c>
      <c r="Y49" s="114">
        <v>5089069</v>
      </c>
      <c r="Z49" s="114">
        <v>78975</v>
      </c>
      <c r="AA49" s="114">
        <v>889207</v>
      </c>
      <c r="AB49" s="114">
        <v>-3561603</v>
      </c>
      <c r="AC49" s="114">
        <v>0</v>
      </c>
      <c r="AD49" s="114">
        <v>241870</v>
      </c>
      <c r="AE49" s="114">
        <v>3192015</v>
      </c>
      <c r="AG49" s="114">
        <v>231181</v>
      </c>
      <c r="AH49" s="114">
        <v>5657549.1799999997</v>
      </c>
      <c r="AI49" s="114">
        <v>20953237.710000001</v>
      </c>
      <c r="AJ49" s="121">
        <v>38917614.75</v>
      </c>
      <c r="AK49" s="82">
        <v>154650104</v>
      </c>
      <c r="AL49" s="83">
        <v>2076417</v>
      </c>
      <c r="AM49" s="114">
        <v>0</v>
      </c>
      <c r="AN49" s="114">
        <v>46792161</v>
      </c>
      <c r="AO49" s="114">
        <v>1458229</v>
      </c>
      <c r="AP49" s="114">
        <v>6405578</v>
      </c>
      <c r="AQ49" s="114">
        <v>22366327</v>
      </c>
      <c r="AR49" s="114">
        <v>7139826</v>
      </c>
      <c r="AS49" s="114">
        <v>1659</v>
      </c>
      <c r="AT49" s="114">
        <v>18620</v>
      </c>
      <c r="AU49" s="114">
        <v>0</v>
      </c>
      <c r="AV49" s="114">
        <v>0</v>
      </c>
      <c r="AW49" s="114">
        <v>0</v>
      </c>
      <c r="AX49" s="114">
        <v>0</v>
      </c>
      <c r="AY49" s="114">
        <v>0</v>
      </c>
      <c r="BD49" s="82">
        <v>7909327.8299999991</v>
      </c>
      <c r="BE49" s="82">
        <v>4033757.19</v>
      </c>
      <c r="BF49" s="117">
        <v>0</v>
      </c>
      <c r="BG49" s="118">
        <v>9805836</v>
      </c>
      <c r="BH49" s="118">
        <v>19611672</v>
      </c>
      <c r="BI49" s="117">
        <v>19172708</v>
      </c>
      <c r="BJ49" s="117">
        <v>19172708</v>
      </c>
      <c r="BK49" s="117">
        <v>68428086.400000006</v>
      </c>
      <c r="BL49" s="117">
        <v>62763676.399999999</v>
      </c>
      <c r="BM49" s="117">
        <v>0</v>
      </c>
      <c r="BN49" s="117">
        <v>0</v>
      </c>
      <c r="BO49" s="119"/>
      <c r="BP49" s="86">
        <v>974145881.23000002</v>
      </c>
      <c r="BQ49" s="86">
        <v>721643382.63999999</v>
      </c>
      <c r="BR49" s="87">
        <v>935021</v>
      </c>
      <c r="BT49" s="114">
        <v>15900</v>
      </c>
      <c r="BU49" s="114">
        <v>1387</v>
      </c>
      <c r="BV49" s="114">
        <v>1114</v>
      </c>
      <c r="BW49" s="114">
        <f t="shared" si="13"/>
        <v>18401</v>
      </c>
      <c r="BX49" s="86">
        <v>585498264</v>
      </c>
      <c r="BY49" s="82">
        <f t="shared" si="9"/>
        <v>154650104</v>
      </c>
      <c r="BZ49" s="82">
        <f t="shared" si="10"/>
        <v>2076417</v>
      </c>
      <c r="CA49" s="86">
        <f t="shared" si="11"/>
        <v>70618376</v>
      </c>
      <c r="CB49" s="86">
        <f t="shared" si="4"/>
        <v>812843161</v>
      </c>
    </row>
    <row r="50" spans="1:80" x14ac:dyDescent="0.25">
      <c r="A50" s="91" t="s">
        <v>104</v>
      </c>
      <c r="B50" s="114">
        <v>484092648</v>
      </c>
      <c r="C50" s="114">
        <v>225018850</v>
      </c>
      <c r="D50" s="114">
        <v>121694695</v>
      </c>
      <c r="E50" s="114">
        <v>0</v>
      </c>
      <c r="F50" s="114">
        <v>43466988</v>
      </c>
      <c r="G50" s="114">
        <v>4464322</v>
      </c>
      <c r="H50" s="114">
        <v>15900537</v>
      </c>
      <c r="I50" s="114">
        <v>1343429</v>
      </c>
      <c r="J50" s="114">
        <v>37600</v>
      </c>
      <c r="K50" s="114">
        <v>18000</v>
      </c>
      <c r="L50" s="114">
        <v>307111453</v>
      </c>
      <c r="M50" s="114">
        <v>155377888</v>
      </c>
      <c r="N50" s="114">
        <v>1603</v>
      </c>
      <c r="O50" s="114">
        <v>160</v>
      </c>
      <c r="P50" s="114">
        <v>3392934</v>
      </c>
      <c r="Q50" s="114">
        <v>3159305</v>
      </c>
      <c r="R50" s="114">
        <v>720300</v>
      </c>
      <c r="S50" s="114">
        <v>326597</v>
      </c>
      <c r="T50" s="114">
        <v>465658</v>
      </c>
      <c r="U50" s="114">
        <v>2177855</v>
      </c>
      <c r="V50" s="114">
        <v>3392934</v>
      </c>
      <c r="W50" s="114">
        <v>3159305</v>
      </c>
      <c r="X50" s="114">
        <v>720300</v>
      </c>
      <c r="Y50" s="114">
        <v>326597</v>
      </c>
      <c r="Z50" s="114">
        <v>465658</v>
      </c>
      <c r="AA50" s="114">
        <v>2177855</v>
      </c>
      <c r="AB50" s="114">
        <v>-1453509</v>
      </c>
      <c r="AC50" s="114">
        <v>-8716</v>
      </c>
      <c r="AD50" s="114">
        <v>0</v>
      </c>
      <c r="AE50" s="114">
        <v>0</v>
      </c>
      <c r="AF50" s="114">
        <v>5034</v>
      </c>
      <c r="AG50" s="114">
        <v>190177</v>
      </c>
      <c r="AH50" s="114">
        <v>0</v>
      </c>
      <c r="AI50" s="114">
        <v>0</v>
      </c>
      <c r="AJ50" s="121">
        <v>0</v>
      </c>
      <c r="AK50" s="82">
        <v>137376428</v>
      </c>
      <c r="AL50" s="83">
        <v>2910069</v>
      </c>
      <c r="AM50" s="114">
        <v>0</v>
      </c>
      <c r="AN50" s="114">
        <v>23638476</v>
      </c>
      <c r="AO50" s="114">
        <v>4343886</v>
      </c>
      <c r="AP50" s="114">
        <v>87071773</v>
      </c>
      <c r="AQ50" s="114">
        <v>17224800</v>
      </c>
      <c r="AR50" s="114">
        <v>22163179</v>
      </c>
      <c r="AS50" s="114">
        <v>634771</v>
      </c>
      <c r="AT50" s="114">
        <v>2323257</v>
      </c>
      <c r="AU50" s="114">
        <v>0</v>
      </c>
      <c r="AV50" s="114">
        <v>38367</v>
      </c>
      <c r="AW50" s="114">
        <v>17176190</v>
      </c>
      <c r="AX50" s="114">
        <v>7959</v>
      </c>
      <c r="AY50" s="114">
        <v>678715</v>
      </c>
      <c r="BD50" s="82">
        <v>7028471</v>
      </c>
      <c r="BE50" s="82">
        <v>3584520.21</v>
      </c>
      <c r="BF50" s="117">
        <v>0</v>
      </c>
      <c r="BG50" s="118">
        <v>2544809</v>
      </c>
      <c r="BH50" s="118">
        <v>5089617</v>
      </c>
      <c r="BI50" s="117">
        <v>17838594</v>
      </c>
      <c r="BJ50" s="117">
        <v>17838594</v>
      </c>
      <c r="BK50" s="117">
        <v>48459163.199999996</v>
      </c>
      <c r="BL50" s="117">
        <v>44489490.199999996</v>
      </c>
      <c r="BM50" s="117">
        <v>0</v>
      </c>
      <c r="BN50" s="117">
        <v>0</v>
      </c>
      <c r="BO50" s="119"/>
      <c r="BP50" s="86">
        <v>1084757265.4100001</v>
      </c>
      <c r="BQ50" s="86">
        <v>876013355</v>
      </c>
      <c r="BR50" s="87">
        <v>1208954</v>
      </c>
      <c r="BT50" s="114">
        <v>5975</v>
      </c>
      <c r="BU50" s="114">
        <v>2606</v>
      </c>
      <c r="BV50" s="114">
        <v>476</v>
      </c>
      <c r="BW50" s="114">
        <f>SUM(BT50:BV50)</f>
        <v>9057</v>
      </c>
      <c r="BX50" s="86">
        <v>830806193</v>
      </c>
      <c r="BY50" s="82">
        <f t="shared" si="9"/>
        <v>137376428</v>
      </c>
      <c r="BZ50" s="82">
        <f t="shared" si="10"/>
        <v>2910069</v>
      </c>
      <c r="CA50" s="86">
        <f t="shared" si="11"/>
        <v>45841933</v>
      </c>
      <c r="CB50" s="86">
        <f t="shared" si="4"/>
        <v>1016934623</v>
      </c>
    </row>
    <row r="51" spans="1:80" x14ac:dyDescent="0.25">
      <c r="A51" s="91" t="s">
        <v>105</v>
      </c>
      <c r="B51" s="114">
        <v>306361105</v>
      </c>
      <c r="C51" s="114">
        <v>256214338</v>
      </c>
      <c r="D51" s="114">
        <v>167462003</v>
      </c>
      <c r="E51" s="114">
        <v>19175959</v>
      </c>
      <c r="F51" s="114">
        <v>42523880</v>
      </c>
      <c r="G51" s="114">
        <v>11269550</v>
      </c>
      <c r="H51" s="114">
        <v>19509400</v>
      </c>
      <c r="I51" s="114">
        <v>3327700</v>
      </c>
      <c r="J51" s="114">
        <v>56000</v>
      </c>
      <c r="K51" s="114">
        <v>37600</v>
      </c>
      <c r="L51" s="114">
        <v>352327021</v>
      </c>
      <c r="M51" s="114">
        <v>163752912</v>
      </c>
      <c r="N51" s="114">
        <v>1747</v>
      </c>
      <c r="O51" s="114">
        <v>461</v>
      </c>
      <c r="P51" s="114">
        <v>4392100</v>
      </c>
      <c r="Q51" s="114">
        <v>6095600</v>
      </c>
      <c r="R51" s="114">
        <v>300000</v>
      </c>
      <c r="S51" s="114">
        <v>2277070</v>
      </c>
      <c r="T51" s="114">
        <v>1558491</v>
      </c>
      <c r="U51" s="114">
        <v>609700</v>
      </c>
      <c r="V51" s="114">
        <v>4392100</v>
      </c>
      <c r="W51" s="114">
        <v>6130900</v>
      </c>
      <c r="X51" s="114">
        <v>300000</v>
      </c>
      <c r="Y51" s="114">
        <v>2277070</v>
      </c>
      <c r="Z51" s="114">
        <v>2333250</v>
      </c>
      <c r="AA51" s="114">
        <v>609700</v>
      </c>
      <c r="AB51" s="114">
        <v>-1258255</v>
      </c>
      <c r="AC51" s="114">
        <v>-62610</v>
      </c>
      <c r="AD51" s="114">
        <v>101975</v>
      </c>
      <c r="AE51" s="114">
        <v>0</v>
      </c>
      <c r="AF51" s="114">
        <v>0</v>
      </c>
      <c r="AG51" s="114">
        <v>234665</v>
      </c>
      <c r="AH51" s="114">
        <v>727877.05</v>
      </c>
      <c r="AI51" s="114">
        <v>291434.43</v>
      </c>
      <c r="AJ51" s="121">
        <v>0</v>
      </c>
      <c r="AK51" s="82">
        <v>100527765</v>
      </c>
      <c r="AL51" s="83">
        <v>4088066</v>
      </c>
      <c r="AM51" s="114">
        <v>0</v>
      </c>
      <c r="AN51" s="114">
        <v>16071212</v>
      </c>
      <c r="AO51" s="114">
        <v>3946481</v>
      </c>
      <c r="AP51" s="114">
        <v>151531556</v>
      </c>
      <c r="AQ51" s="114">
        <v>60447420</v>
      </c>
      <c r="AR51" s="114">
        <v>50912383</v>
      </c>
      <c r="AS51" s="114">
        <v>0</v>
      </c>
      <c r="AT51" s="114">
        <v>646915</v>
      </c>
      <c r="AU51" s="114">
        <v>0</v>
      </c>
      <c r="AV51" s="114">
        <v>45312</v>
      </c>
      <c r="AW51" s="114">
        <v>5094676</v>
      </c>
      <c r="AX51" s="114">
        <v>25295</v>
      </c>
      <c r="AY51" s="114">
        <v>0</v>
      </c>
      <c r="BD51" s="82">
        <v>5147951.8099999996</v>
      </c>
      <c r="BE51" s="82">
        <v>2625455.42</v>
      </c>
      <c r="BF51" s="117">
        <v>0</v>
      </c>
      <c r="BG51" s="118">
        <v>1671296</v>
      </c>
      <c r="BH51" s="118">
        <v>3342592</v>
      </c>
      <c r="BI51" s="117">
        <v>16488051</v>
      </c>
      <c r="BJ51" s="117">
        <v>16488051</v>
      </c>
      <c r="BK51" s="117">
        <v>61437088.399999984</v>
      </c>
      <c r="BL51" s="117">
        <v>58872764.399999984</v>
      </c>
      <c r="BM51" s="117">
        <v>0</v>
      </c>
      <c r="BN51" s="117">
        <v>0</v>
      </c>
      <c r="BO51" s="119"/>
      <c r="BP51" s="86">
        <v>995795268.29999983</v>
      </c>
      <c r="BQ51" s="86">
        <v>811521870.4799999</v>
      </c>
      <c r="BR51" s="87">
        <v>1435217</v>
      </c>
      <c r="BT51" s="114">
        <v>7271</v>
      </c>
      <c r="BU51" s="114">
        <v>4157</v>
      </c>
      <c r="BV51" s="114">
        <v>632</v>
      </c>
      <c r="BW51" s="114">
        <f t="shared" ref="BW51:BW52" si="14">SUM(BT51:BV51)</f>
        <v>12060</v>
      </c>
      <c r="BX51" s="86">
        <v>730037446</v>
      </c>
      <c r="BY51" s="82">
        <f t="shared" si="9"/>
        <v>100527765</v>
      </c>
      <c r="BZ51" s="82">
        <f t="shared" si="10"/>
        <v>4088066</v>
      </c>
      <c r="CA51" s="86">
        <f t="shared" si="11"/>
        <v>80465113</v>
      </c>
      <c r="CB51" s="86">
        <f t="shared" si="4"/>
        <v>915118390</v>
      </c>
    </row>
    <row r="52" spans="1:80" x14ac:dyDescent="0.25">
      <c r="A52" s="91" t="s">
        <v>106</v>
      </c>
      <c r="B52" s="114">
        <v>1360871546</v>
      </c>
      <c r="C52" s="114">
        <v>288231304</v>
      </c>
      <c r="D52" s="114">
        <v>578026739</v>
      </c>
      <c r="E52" s="114">
        <v>164599340</v>
      </c>
      <c r="F52" s="114">
        <v>136810906</v>
      </c>
      <c r="G52" s="114">
        <v>14413860</v>
      </c>
      <c r="H52" s="114">
        <v>10627429</v>
      </c>
      <c r="I52" s="114">
        <v>564000</v>
      </c>
      <c r="J52" s="114">
        <v>263200</v>
      </c>
      <c r="K52" s="114">
        <v>0</v>
      </c>
      <c r="L52" s="114">
        <v>929300655</v>
      </c>
      <c r="M52" s="114">
        <v>96365200</v>
      </c>
      <c r="N52" s="114">
        <v>4075</v>
      </c>
      <c r="O52" s="114">
        <v>450</v>
      </c>
      <c r="P52" s="114">
        <v>13197400</v>
      </c>
      <c r="Q52" s="114">
        <v>1290624</v>
      </c>
      <c r="R52" s="114">
        <v>15195900</v>
      </c>
      <c r="S52" s="114">
        <v>7272609</v>
      </c>
      <c r="T52" s="114">
        <v>4255365</v>
      </c>
      <c r="U52" s="114">
        <v>9948454</v>
      </c>
      <c r="V52" s="114">
        <v>13197400</v>
      </c>
      <c r="W52" s="114">
        <v>1649400</v>
      </c>
      <c r="X52" s="114">
        <v>15195900</v>
      </c>
      <c r="Y52" s="114">
        <v>7272609</v>
      </c>
      <c r="Z52" s="114">
        <v>7974169</v>
      </c>
      <c r="AA52" s="114">
        <v>9948454</v>
      </c>
      <c r="AB52" s="114">
        <v>-4281547</v>
      </c>
      <c r="AC52" s="114">
        <v>-3126594</v>
      </c>
      <c r="AD52" s="114">
        <v>39065</v>
      </c>
      <c r="AE52" s="114">
        <v>5169</v>
      </c>
      <c r="AF52" s="114">
        <v>22816977</v>
      </c>
      <c r="AG52" s="114">
        <v>22816977</v>
      </c>
      <c r="AH52" s="114">
        <v>11864081.970000001</v>
      </c>
      <c r="AI52" s="114">
        <v>0</v>
      </c>
      <c r="AJ52" s="121">
        <v>2731836.07</v>
      </c>
      <c r="AK52" s="82">
        <v>333243549</v>
      </c>
      <c r="AL52" s="83">
        <v>13724954</v>
      </c>
      <c r="AM52" s="114">
        <v>368382</v>
      </c>
      <c r="AN52" s="114">
        <f>111852421+5148</f>
        <v>111857569</v>
      </c>
      <c r="AO52" s="114">
        <f>19949821+5088</f>
        <v>19954909</v>
      </c>
      <c r="AP52" s="114">
        <v>327277719</v>
      </c>
      <c r="AQ52" s="114">
        <v>120037864</v>
      </c>
      <c r="AR52" s="114">
        <v>151183951</v>
      </c>
      <c r="AS52" s="114">
        <v>131560164</v>
      </c>
      <c r="AT52" s="114">
        <v>4543150</v>
      </c>
      <c r="AU52" s="114">
        <v>0</v>
      </c>
      <c r="AV52" s="114">
        <v>1411123</v>
      </c>
      <c r="AW52" s="114">
        <v>32944653</v>
      </c>
      <c r="AX52" s="114">
        <v>2640423</v>
      </c>
      <c r="AY52" s="114">
        <v>1318015</v>
      </c>
      <c r="BD52" s="82">
        <v>17065572.470000003</v>
      </c>
      <c r="BE52" s="82">
        <v>8703441.959999999</v>
      </c>
      <c r="BF52" s="117">
        <v>76470466</v>
      </c>
      <c r="BG52" s="118">
        <v>3226373</v>
      </c>
      <c r="BH52" s="118">
        <v>6452747</v>
      </c>
      <c r="BI52" s="117">
        <v>35530941</v>
      </c>
      <c r="BJ52" s="117">
        <v>35530941</v>
      </c>
      <c r="BK52" s="117">
        <v>115714662.40000002</v>
      </c>
      <c r="BL52" s="117">
        <v>112838467.40000002</v>
      </c>
      <c r="BM52" s="117">
        <v>0</v>
      </c>
      <c r="BN52" s="117">
        <v>0</v>
      </c>
      <c r="BO52" s="119"/>
      <c r="BP52" s="86">
        <v>3000843575.4000001</v>
      </c>
      <c r="BQ52" s="86">
        <v>2493575849.04</v>
      </c>
      <c r="BR52" s="87">
        <v>3894417</v>
      </c>
      <c r="BT52" s="114">
        <v>16742</v>
      </c>
      <c r="BU52" s="114">
        <v>2949</v>
      </c>
      <c r="BV52" s="114">
        <v>1471</v>
      </c>
      <c r="BW52" s="114">
        <f t="shared" si="14"/>
        <v>21162</v>
      </c>
      <c r="BX52" s="86">
        <v>2227129589</v>
      </c>
      <c r="BY52" s="82">
        <f t="shared" si="9"/>
        <v>333243549</v>
      </c>
      <c r="BZ52" s="82">
        <f t="shared" si="10"/>
        <v>13724954</v>
      </c>
      <c r="CA52" s="86">
        <f t="shared" si="11"/>
        <v>383410506</v>
      </c>
      <c r="CB52" s="86">
        <f t="shared" si="4"/>
        <v>2957508598</v>
      </c>
    </row>
    <row r="53" spans="1:80" x14ac:dyDescent="0.25">
      <c r="A53" s="91" t="s">
        <v>107</v>
      </c>
      <c r="B53" s="114">
        <v>438874800</v>
      </c>
      <c r="C53" s="114">
        <v>214666900</v>
      </c>
      <c r="D53" s="114">
        <v>80188700</v>
      </c>
      <c r="E53" s="114">
        <v>0</v>
      </c>
      <c r="F53" s="114">
        <v>40181100</v>
      </c>
      <c r="G53" s="114">
        <v>4914200</v>
      </c>
      <c r="H53" s="114">
        <v>14500500</v>
      </c>
      <c r="I53" s="114">
        <v>796600</v>
      </c>
      <c r="J53" s="114">
        <v>37600</v>
      </c>
      <c r="K53" s="114">
        <v>0</v>
      </c>
      <c r="L53" s="114">
        <v>368083307</v>
      </c>
      <c r="M53" s="114">
        <v>150523500</v>
      </c>
      <c r="N53" s="114">
        <v>1488</v>
      </c>
      <c r="O53" s="114">
        <v>158</v>
      </c>
      <c r="P53" s="114">
        <v>5354700</v>
      </c>
      <c r="Q53" s="114">
        <v>3811200</v>
      </c>
      <c r="R53" s="114">
        <v>2733700</v>
      </c>
      <c r="S53" s="114">
        <v>3472450</v>
      </c>
      <c r="T53" s="114">
        <v>1250000</v>
      </c>
      <c r="U53" s="114">
        <v>2760600</v>
      </c>
      <c r="V53" s="114">
        <v>5354700</v>
      </c>
      <c r="W53" s="114">
        <v>4145700</v>
      </c>
      <c r="X53" s="114">
        <v>2733700</v>
      </c>
      <c r="Y53" s="114">
        <v>3472450</v>
      </c>
      <c r="Z53" s="114">
        <v>2441900</v>
      </c>
      <c r="AA53" s="114">
        <v>2760600</v>
      </c>
      <c r="AB53" s="114">
        <v>-2291000</v>
      </c>
      <c r="AC53" s="114">
        <v>-835160</v>
      </c>
      <c r="AD53" s="114">
        <v>36962</v>
      </c>
      <c r="AE53" s="114">
        <v>362777</v>
      </c>
      <c r="AF53" s="114">
        <v>168893400</v>
      </c>
      <c r="AG53" s="114">
        <v>168907</v>
      </c>
      <c r="AH53" s="114">
        <v>0</v>
      </c>
      <c r="AI53" s="114">
        <v>408065.57</v>
      </c>
      <c r="AJ53" s="121">
        <v>0</v>
      </c>
      <c r="AK53" s="82">
        <v>116008440</v>
      </c>
      <c r="AL53" s="83">
        <v>2338522</v>
      </c>
      <c r="AM53" s="114">
        <v>0</v>
      </c>
      <c r="AN53" s="114">
        <v>15111511</v>
      </c>
      <c r="AO53" s="114">
        <v>1877340</v>
      </c>
      <c r="AP53" s="114">
        <v>24652538</v>
      </c>
      <c r="AQ53" s="114">
        <v>13150940</v>
      </c>
      <c r="AR53" s="114">
        <v>41922760</v>
      </c>
      <c r="AS53" s="114">
        <v>11758670</v>
      </c>
      <c r="AT53" s="114">
        <v>1662289</v>
      </c>
      <c r="AU53" s="114">
        <v>0</v>
      </c>
      <c r="AV53" s="114">
        <v>0</v>
      </c>
      <c r="AW53" s="114">
        <v>29280</v>
      </c>
      <c r="AX53" s="114">
        <v>0</v>
      </c>
      <c r="AY53" s="114">
        <v>197000</v>
      </c>
      <c r="BD53" s="82">
        <v>5934951.5800000001</v>
      </c>
      <c r="BE53" s="82">
        <v>3026825.3</v>
      </c>
      <c r="BF53" s="117">
        <v>5026943</v>
      </c>
      <c r="BG53" s="118">
        <v>1124694</v>
      </c>
      <c r="BH53" s="118">
        <v>2249389</v>
      </c>
      <c r="BI53" s="117">
        <v>8449389</v>
      </c>
      <c r="BJ53" s="117">
        <v>8449389</v>
      </c>
      <c r="BK53" s="117">
        <v>43088738.20000001</v>
      </c>
      <c r="BL53" s="117">
        <v>41806963.20000001</v>
      </c>
      <c r="BM53" s="117">
        <v>0</v>
      </c>
      <c r="BN53" s="117">
        <v>0</v>
      </c>
      <c r="BO53" s="119"/>
      <c r="BP53" s="86">
        <v>937033090.07000005</v>
      </c>
      <c r="BQ53" s="86">
        <v>764278256.57000005</v>
      </c>
      <c r="BR53" s="87">
        <v>440200</v>
      </c>
      <c r="BT53" s="114">
        <v>5682</v>
      </c>
      <c r="BU53" s="114">
        <v>2754</v>
      </c>
      <c r="BV53" s="114">
        <v>361</v>
      </c>
      <c r="BW53" s="114">
        <f>SUM(BT53:BV53)</f>
        <v>8797</v>
      </c>
      <c r="BX53" s="86">
        <v>733730400</v>
      </c>
      <c r="BY53" s="82">
        <f t="shared" si="9"/>
        <v>116008440</v>
      </c>
      <c r="BZ53" s="82">
        <f t="shared" si="10"/>
        <v>2338522</v>
      </c>
      <c r="CA53" s="86">
        <f t="shared" si="11"/>
        <v>41898461</v>
      </c>
      <c r="CB53" s="86">
        <f t="shared" si="4"/>
        <v>893975823</v>
      </c>
    </row>
    <row r="54" spans="1:80" x14ac:dyDescent="0.25">
      <c r="A54" s="91" t="s">
        <v>108</v>
      </c>
      <c r="B54" s="114">
        <v>72227465</v>
      </c>
      <c r="C54" s="114">
        <v>113468820</v>
      </c>
      <c r="D54" s="114">
        <v>20474058</v>
      </c>
      <c r="E54" s="114">
        <v>0</v>
      </c>
      <c r="F54" s="114">
        <v>15326817</v>
      </c>
      <c r="G54" s="114">
        <v>3088140</v>
      </c>
      <c r="H54" s="114">
        <v>5753916</v>
      </c>
      <c r="I54" s="114">
        <v>350188</v>
      </c>
      <c r="J54" s="114">
        <v>0</v>
      </c>
      <c r="K54" s="114">
        <v>0</v>
      </c>
      <c r="L54" s="114">
        <v>430631780</v>
      </c>
      <c r="M54" s="114">
        <v>29713251</v>
      </c>
      <c r="N54" s="114">
        <v>616</v>
      </c>
      <c r="O54" s="114">
        <v>113</v>
      </c>
      <c r="P54" s="114">
        <v>1441222</v>
      </c>
      <c r="Q54" s="114">
        <v>1671550</v>
      </c>
      <c r="R54" s="114">
        <v>1810186</v>
      </c>
      <c r="S54" s="114">
        <v>1211195</v>
      </c>
      <c r="T54" s="114">
        <v>1861032</v>
      </c>
      <c r="U54" s="114">
        <v>685263</v>
      </c>
      <c r="V54" s="114">
        <v>1441222</v>
      </c>
      <c r="W54" s="114">
        <v>2784050</v>
      </c>
      <c r="X54" s="114">
        <v>1810186</v>
      </c>
      <c r="Y54" s="114">
        <v>1211195</v>
      </c>
      <c r="Z54" s="114">
        <v>2775075</v>
      </c>
      <c r="AA54" s="114">
        <v>685263</v>
      </c>
      <c r="AB54" s="114">
        <v>-1027279</v>
      </c>
      <c r="AC54" s="114">
        <v>-4779</v>
      </c>
      <c r="AD54" s="114">
        <v>27359</v>
      </c>
      <c r="AE54" s="114">
        <v>283</v>
      </c>
      <c r="AF54" s="114">
        <v>111358778</v>
      </c>
      <c r="AG54" s="114">
        <v>142900</v>
      </c>
      <c r="AH54" s="114">
        <v>0</v>
      </c>
      <c r="AI54" s="114">
        <v>5426.23</v>
      </c>
      <c r="AJ54" s="121">
        <v>0</v>
      </c>
      <c r="AK54" s="82">
        <v>39797877</v>
      </c>
      <c r="AL54" s="83">
        <v>948422</v>
      </c>
      <c r="AM54" s="114">
        <v>0</v>
      </c>
      <c r="AN54" s="114">
        <v>11825278</v>
      </c>
      <c r="AO54" s="114">
        <v>37328</v>
      </c>
      <c r="AP54" s="114">
        <v>1728</v>
      </c>
      <c r="AQ54" s="114">
        <v>12284929</v>
      </c>
      <c r="AR54" s="114">
        <v>4550197</v>
      </c>
      <c r="AS54" s="114">
        <v>590891</v>
      </c>
      <c r="AT54" s="114">
        <v>1464926</v>
      </c>
      <c r="AU54" s="114">
        <v>0</v>
      </c>
      <c r="AV54" s="114">
        <v>0</v>
      </c>
      <c r="AW54" s="114">
        <v>1217714</v>
      </c>
      <c r="AX54" s="114">
        <v>0</v>
      </c>
      <c r="AY54" s="114">
        <v>0</v>
      </c>
      <c r="BD54" s="82">
        <v>2036399.11</v>
      </c>
      <c r="BE54" s="82">
        <v>1038563.54</v>
      </c>
      <c r="BF54" s="117">
        <v>9850777</v>
      </c>
      <c r="BG54" s="118">
        <v>1792013</v>
      </c>
      <c r="BH54" s="118">
        <v>3584026</v>
      </c>
      <c r="BI54" s="117">
        <v>29179725</v>
      </c>
      <c r="BJ54" s="117">
        <v>29179725</v>
      </c>
      <c r="BK54" s="117">
        <v>47816860.800000004</v>
      </c>
      <c r="BL54" s="117">
        <v>31257045.799999997</v>
      </c>
      <c r="BM54" s="117">
        <v>0</v>
      </c>
      <c r="BN54" s="117">
        <v>0</v>
      </c>
      <c r="BO54" s="119"/>
      <c r="BP54" s="86">
        <v>334336950.57000005</v>
      </c>
      <c r="BQ54" s="86">
        <v>230323304.22999999</v>
      </c>
      <c r="BR54" s="87">
        <v>487000</v>
      </c>
      <c r="BT54" s="114">
        <v>2308</v>
      </c>
      <c r="BU54" s="114">
        <v>1899</v>
      </c>
      <c r="BV54" s="114">
        <v>189</v>
      </c>
      <c r="BW54" s="114">
        <f t="shared" ref="BW54:BW85" si="15">SUM(BT54:BV54)</f>
        <v>4396</v>
      </c>
      <c r="BX54" s="86">
        <v>206170343</v>
      </c>
      <c r="BY54" s="82">
        <f t="shared" si="9"/>
        <v>39797877</v>
      </c>
      <c r="BZ54" s="82">
        <f t="shared" si="10"/>
        <v>948422</v>
      </c>
      <c r="CA54" s="86">
        <f t="shared" si="11"/>
        <v>24738426</v>
      </c>
      <c r="CB54" s="86">
        <f t="shared" si="4"/>
        <v>271655068</v>
      </c>
    </row>
    <row r="55" spans="1:80" x14ac:dyDescent="0.25">
      <c r="A55" s="91" t="s">
        <v>109</v>
      </c>
      <c r="B55" s="114">
        <v>1187599144</v>
      </c>
      <c r="C55" s="114">
        <v>267344518</v>
      </c>
      <c r="D55" s="114">
        <v>467188852</v>
      </c>
      <c r="E55" s="114">
        <v>11050000</v>
      </c>
      <c r="F55" s="114">
        <v>122976424</v>
      </c>
      <c r="G55" s="114">
        <v>37919510</v>
      </c>
      <c r="H55" s="114">
        <v>16593900</v>
      </c>
      <c r="I55" s="114">
        <v>3870140</v>
      </c>
      <c r="J55" s="114">
        <v>148800</v>
      </c>
      <c r="K55" s="114">
        <v>73100</v>
      </c>
      <c r="L55" s="114">
        <v>308123878</v>
      </c>
      <c r="M55" s="114">
        <v>162583910</v>
      </c>
      <c r="N55" s="114">
        <v>3941</v>
      </c>
      <c r="O55" s="114">
        <v>1286</v>
      </c>
      <c r="P55" s="114">
        <v>16642470</v>
      </c>
      <c r="Q55" s="114">
        <v>7820030</v>
      </c>
      <c r="R55" s="114">
        <v>17072340</v>
      </c>
      <c r="S55" s="114">
        <v>17429787</v>
      </c>
      <c r="T55" s="114">
        <v>7711180</v>
      </c>
      <c r="U55" s="114">
        <v>4600000</v>
      </c>
      <c r="V55" s="114">
        <v>16642470</v>
      </c>
      <c r="W55" s="114">
        <v>20201000</v>
      </c>
      <c r="X55" s="114">
        <v>17072340</v>
      </c>
      <c r="Y55" s="114">
        <v>17429787</v>
      </c>
      <c r="Z55" s="114">
        <v>16422630</v>
      </c>
      <c r="AA55" s="114">
        <v>4600000</v>
      </c>
      <c r="AB55" s="114">
        <v>-11193400</v>
      </c>
      <c r="AC55" s="114">
        <v>-33569</v>
      </c>
      <c r="AD55" s="114">
        <v>88330</v>
      </c>
      <c r="AE55" s="114">
        <v>37896</v>
      </c>
      <c r="AF55" s="114">
        <v>17167919</v>
      </c>
      <c r="AG55" s="114">
        <v>323392</v>
      </c>
      <c r="AH55" s="114">
        <v>2815377.05</v>
      </c>
      <c r="AI55" s="114">
        <v>397885.25</v>
      </c>
      <c r="AJ55" s="121">
        <v>22270081.969999999</v>
      </c>
      <c r="AK55" s="82">
        <v>336601562</v>
      </c>
      <c r="AL55" s="83">
        <v>9255678</v>
      </c>
      <c r="AM55" s="114">
        <v>0</v>
      </c>
      <c r="AN55" s="114">
        <v>184990305</v>
      </c>
      <c r="AO55" s="114">
        <v>10171629</v>
      </c>
      <c r="AP55" s="114">
        <v>156434942</v>
      </c>
      <c r="AQ55" s="114">
        <v>78051230</v>
      </c>
      <c r="AR55" s="114">
        <v>67737132</v>
      </c>
      <c r="AS55" s="114">
        <v>237126658</v>
      </c>
      <c r="AT55" s="114">
        <f>7233098+430</f>
        <v>7233528</v>
      </c>
      <c r="AU55" s="114">
        <v>0</v>
      </c>
      <c r="AV55" s="114">
        <v>1894345</v>
      </c>
      <c r="AW55" s="114">
        <v>3952377</v>
      </c>
      <c r="AX55" s="114">
        <v>3343733</v>
      </c>
      <c r="AY55" s="114">
        <v>3694757</v>
      </c>
      <c r="BD55" s="82">
        <v>17226394.140000001</v>
      </c>
      <c r="BE55" s="82">
        <v>8785461.0099999998</v>
      </c>
      <c r="BF55" s="117">
        <v>1117098</v>
      </c>
      <c r="BG55" s="118">
        <v>11519121</v>
      </c>
      <c r="BH55" s="118">
        <v>23038241</v>
      </c>
      <c r="BI55" s="117">
        <v>82464092</v>
      </c>
      <c r="BJ55" s="117">
        <v>77847401</v>
      </c>
      <c r="BK55" s="117">
        <v>173477189.20000002</v>
      </c>
      <c r="BL55" s="117">
        <v>162911473.20000002</v>
      </c>
      <c r="BM55" s="117">
        <v>0</v>
      </c>
      <c r="BN55" s="117">
        <v>0</v>
      </c>
      <c r="BO55" s="119"/>
      <c r="BP55" s="86">
        <v>2827749718.48</v>
      </c>
      <c r="BQ55" s="86">
        <v>2220829022.27</v>
      </c>
      <c r="BR55" s="87">
        <v>5318116</v>
      </c>
      <c r="BT55" s="114">
        <v>22409</v>
      </c>
      <c r="BU55" s="114">
        <v>4759</v>
      </c>
      <c r="BV55" s="114">
        <v>2206</v>
      </c>
      <c r="BW55" s="114">
        <f t="shared" si="15"/>
        <v>29374</v>
      </c>
      <c r="BX55" s="86">
        <v>1922132514</v>
      </c>
      <c r="BY55" s="82">
        <f t="shared" si="9"/>
        <v>336601562</v>
      </c>
      <c r="BZ55" s="82">
        <f t="shared" si="10"/>
        <v>9255678</v>
      </c>
      <c r="CA55" s="86">
        <f t="shared" si="11"/>
        <v>510339822</v>
      </c>
      <c r="CB55" s="86">
        <f t="shared" si="4"/>
        <v>2778329576</v>
      </c>
    </row>
    <row r="56" spans="1:80" x14ac:dyDescent="0.25">
      <c r="A56" s="91" t="s">
        <v>110</v>
      </c>
      <c r="B56" s="114">
        <v>140639946</v>
      </c>
      <c r="C56" s="114">
        <v>74534075</v>
      </c>
      <c r="D56" s="114">
        <v>39940900</v>
      </c>
      <c r="E56" s="114">
        <v>0</v>
      </c>
      <c r="F56" s="114">
        <v>24804100</v>
      </c>
      <c r="G56" s="114">
        <v>20248225</v>
      </c>
      <c r="H56" s="114">
        <v>13696950</v>
      </c>
      <c r="I56" s="114">
        <v>5209450</v>
      </c>
      <c r="J56" s="114">
        <v>86400</v>
      </c>
      <c r="K56" s="114">
        <v>37600</v>
      </c>
      <c r="L56" s="114">
        <v>116010385</v>
      </c>
      <c r="M56" s="114">
        <v>66467240</v>
      </c>
      <c r="N56" s="114">
        <v>1209</v>
      </c>
      <c r="O56" s="114">
        <v>862</v>
      </c>
      <c r="P56" s="114">
        <v>149500</v>
      </c>
      <c r="Q56" s="114">
        <v>325000</v>
      </c>
      <c r="R56" s="114">
        <v>0</v>
      </c>
      <c r="S56" s="114">
        <v>945200</v>
      </c>
      <c r="T56" s="114">
        <v>519900</v>
      </c>
      <c r="U56" s="114">
        <v>167000</v>
      </c>
      <c r="V56" s="114">
        <v>149500</v>
      </c>
      <c r="W56" s="114">
        <v>325000</v>
      </c>
      <c r="X56" s="114">
        <v>0</v>
      </c>
      <c r="Y56" s="114">
        <v>945200</v>
      </c>
      <c r="Z56" s="114">
        <v>698000</v>
      </c>
      <c r="AA56" s="114">
        <v>167000</v>
      </c>
      <c r="AB56" s="114">
        <v>-3014250</v>
      </c>
      <c r="AC56" s="114">
        <v>-962572</v>
      </c>
      <c r="AD56" s="114">
        <v>75401</v>
      </c>
      <c r="AE56" s="114">
        <v>3093</v>
      </c>
      <c r="AF56" s="114">
        <v>3429601</v>
      </c>
      <c r="AG56" s="114">
        <v>143135</v>
      </c>
      <c r="AH56" s="114">
        <v>0</v>
      </c>
      <c r="AI56" s="114">
        <v>274901.64</v>
      </c>
      <c r="AJ56" s="121">
        <v>0</v>
      </c>
      <c r="AK56" s="82">
        <v>72144955</v>
      </c>
      <c r="AL56" s="83">
        <v>1138096</v>
      </c>
      <c r="AM56" s="114">
        <v>0</v>
      </c>
      <c r="AN56" s="114">
        <v>5049083</v>
      </c>
      <c r="AO56" s="114">
        <v>108974</v>
      </c>
      <c r="AP56" s="114">
        <v>8697192</v>
      </c>
      <c r="AQ56" s="114">
        <v>8653665</v>
      </c>
      <c r="AR56" s="114">
        <v>734855</v>
      </c>
      <c r="AS56" s="114">
        <v>0</v>
      </c>
      <c r="AT56" s="114">
        <v>696259</v>
      </c>
      <c r="AU56" s="114">
        <v>0</v>
      </c>
      <c r="AV56" s="114">
        <v>0</v>
      </c>
      <c r="AW56" s="114">
        <v>0</v>
      </c>
      <c r="AX56" s="114">
        <v>0</v>
      </c>
      <c r="AY56" s="114">
        <v>0</v>
      </c>
      <c r="BD56" s="82">
        <v>3690146.0900000003</v>
      </c>
      <c r="BE56" s="82">
        <v>1881974.51</v>
      </c>
      <c r="BF56" s="117">
        <v>0</v>
      </c>
      <c r="BG56" s="118">
        <v>0</v>
      </c>
      <c r="BH56" s="118">
        <v>0</v>
      </c>
      <c r="BI56" s="117">
        <v>6107972</v>
      </c>
      <c r="BJ56" s="117">
        <v>6107972</v>
      </c>
      <c r="BK56" s="117">
        <v>51875380.200000003</v>
      </c>
      <c r="BL56" s="117">
        <v>51818211.200000003</v>
      </c>
      <c r="BM56" s="117">
        <v>0</v>
      </c>
      <c r="BN56" s="117">
        <v>0</v>
      </c>
      <c r="BO56" s="119"/>
      <c r="BP56" s="86">
        <v>402292753.34999996</v>
      </c>
      <c r="BQ56" s="86">
        <v>269201544.63999999</v>
      </c>
      <c r="BR56" s="87">
        <v>3908000</v>
      </c>
      <c r="BT56" s="114">
        <v>5373</v>
      </c>
      <c r="BU56" s="114">
        <v>2789</v>
      </c>
      <c r="BV56" s="114">
        <v>324</v>
      </c>
      <c r="BW56" s="114">
        <f t="shared" si="15"/>
        <v>8486</v>
      </c>
      <c r="BX56" s="86">
        <v>255114921</v>
      </c>
      <c r="BY56" s="82">
        <f t="shared" si="9"/>
        <v>72144955</v>
      </c>
      <c r="BZ56" s="82">
        <f t="shared" si="10"/>
        <v>1138096</v>
      </c>
      <c r="CA56" s="86">
        <f t="shared" si="11"/>
        <v>13811722</v>
      </c>
      <c r="CB56" s="86">
        <f t="shared" si="4"/>
        <v>342209694</v>
      </c>
    </row>
    <row r="57" spans="1:80" x14ac:dyDescent="0.25">
      <c r="A57" s="91" t="s">
        <v>111</v>
      </c>
      <c r="B57" s="114">
        <v>41994667722</v>
      </c>
      <c r="C57" s="114">
        <v>171559800</v>
      </c>
      <c r="D57" s="114">
        <v>21008614135</v>
      </c>
      <c r="E57" s="114">
        <v>278459610</v>
      </c>
      <c r="F57" s="114">
        <v>2176040090</v>
      </c>
      <c r="G57" s="114">
        <v>162099550</v>
      </c>
      <c r="H57" s="114">
        <v>7181600</v>
      </c>
      <c r="I57" s="114">
        <v>150400</v>
      </c>
      <c r="J57" s="114">
        <v>4924130</v>
      </c>
      <c r="K57" s="114">
        <v>237700</v>
      </c>
      <c r="L57" s="114">
        <v>348010270</v>
      </c>
      <c r="M57" s="114">
        <v>526902070</v>
      </c>
      <c r="N57" s="114">
        <v>58924</v>
      </c>
      <c r="O57" s="114">
        <v>4533</v>
      </c>
      <c r="P57" s="114">
        <v>385001880</v>
      </c>
      <c r="Q57" s="114">
        <v>8956430</v>
      </c>
      <c r="R57" s="114">
        <v>737755970</v>
      </c>
      <c r="S57" s="114">
        <v>157195870</v>
      </c>
      <c r="T57" s="114">
        <v>8222730</v>
      </c>
      <c r="U57" s="114">
        <v>151492410</v>
      </c>
      <c r="V57" s="114">
        <v>385001880</v>
      </c>
      <c r="W57" s="114">
        <v>14560840</v>
      </c>
      <c r="X57" s="114">
        <v>737755970</v>
      </c>
      <c r="Y57" s="114">
        <v>157195870</v>
      </c>
      <c r="Z57" s="114">
        <v>26722770</v>
      </c>
      <c r="AA57" s="114">
        <v>151492410</v>
      </c>
      <c r="AB57" s="114">
        <v>-123946653</v>
      </c>
      <c r="AC57" s="114">
        <v>-149147496</v>
      </c>
      <c r="AH57" s="114">
        <v>0</v>
      </c>
      <c r="AI57" s="114">
        <v>301221.31</v>
      </c>
      <c r="AJ57" s="121">
        <v>0</v>
      </c>
      <c r="AK57" s="82">
        <v>5431904413</v>
      </c>
      <c r="AL57" s="83">
        <v>70717881</v>
      </c>
      <c r="AM57" s="114">
        <v>3762892</v>
      </c>
      <c r="AN57" s="114">
        <v>2509251332</v>
      </c>
      <c r="AO57" s="114">
        <v>114472560</v>
      </c>
      <c r="AP57" s="114">
        <v>3835533880</v>
      </c>
      <c r="AQ57" s="114">
        <v>2086545120</v>
      </c>
      <c r="AR57" s="114">
        <v>1636757367</v>
      </c>
      <c r="AS57" s="114">
        <v>1828208086</v>
      </c>
      <c r="AT57" s="114">
        <f>4666098+2050253908</f>
        <v>2054920006</v>
      </c>
      <c r="AU57" s="114">
        <v>50240</v>
      </c>
      <c r="AV57" s="114">
        <v>11759207</v>
      </c>
      <c r="AW57" s="114">
        <v>40146743</v>
      </c>
      <c r="AX57" s="114">
        <v>11899767</v>
      </c>
      <c r="AY57" s="114">
        <v>85424622</v>
      </c>
      <c r="BD57" s="82">
        <v>277801065.97000003</v>
      </c>
      <c r="BE57" s="82">
        <v>141678543.65000001</v>
      </c>
      <c r="BF57" s="117">
        <v>37981347</v>
      </c>
      <c r="BG57" s="118">
        <v>23454378</v>
      </c>
      <c r="BH57" s="118">
        <v>46908756</v>
      </c>
      <c r="BI57" s="117">
        <v>898095670</v>
      </c>
      <c r="BJ57" s="117">
        <v>893885580</v>
      </c>
      <c r="BK57" s="117">
        <v>1757972601.5999999</v>
      </c>
      <c r="BL57" s="117">
        <v>1565236098.5999999</v>
      </c>
      <c r="BM57" s="117">
        <v>270677922</v>
      </c>
      <c r="BN57" s="117">
        <v>0</v>
      </c>
      <c r="BO57" s="119"/>
      <c r="BP57" s="86">
        <v>76282966706.559998</v>
      </c>
      <c r="BQ57" s="86">
        <v>67885411890.309998</v>
      </c>
      <c r="BR57" s="87">
        <v>138147280</v>
      </c>
      <c r="BT57" s="114">
        <v>270801</v>
      </c>
      <c r="BU57" s="114">
        <v>1284</v>
      </c>
      <c r="BV57" s="114">
        <v>23318</v>
      </c>
      <c r="BW57" s="114">
        <f t="shared" si="15"/>
        <v>295403</v>
      </c>
      <c r="BX57" s="86">
        <v>63174841657</v>
      </c>
      <c r="BY57" s="82">
        <f t="shared" si="9"/>
        <v>5431904413</v>
      </c>
      <c r="BZ57" s="82">
        <f t="shared" si="10"/>
        <v>70717881</v>
      </c>
      <c r="CA57" s="86">
        <f t="shared" si="11"/>
        <v>6538477098</v>
      </c>
      <c r="CB57" s="86">
        <f t="shared" si="4"/>
        <v>75215941049</v>
      </c>
    </row>
    <row r="58" spans="1:80" x14ac:dyDescent="0.25">
      <c r="A58" s="91" t="s">
        <v>112</v>
      </c>
      <c r="B58" s="114">
        <v>2802837338</v>
      </c>
      <c r="C58" s="114">
        <v>269029540</v>
      </c>
      <c r="D58" s="114">
        <v>710240777</v>
      </c>
      <c r="E58" s="114">
        <v>0</v>
      </c>
      <c r="F58" s="114">
        <v>120220254</v>
      </c>
      <c r="G58" s="114">
        <v>12645985</v>
      </c>
      <c r="H58" s="114">
        <v>11563231</v>
      </c>
      <c r="I58" s="114">
        <v>975126</v>
      </c>
      <c r="J58" s="114">
        <v>112800</v>
      </c>
      <c r="K58" s="114">
        <v>0</v>
      </c>
      <c r="L58" s="114">
        <v>548313614</v>
      </c>
      <c r="M58" s="114">
        <v>197881982</v>
      </c>
      <c r="N58" s="114">
        <v>3544</v>
      </c>
      <c r="O58" s="114">
        <v>375</v>
      </c>
      <c r="P58" s="114">
        <v>74110716</v>
      </c>
      <c r="Q58" s="114">
        <v>7327689</v>
      </c>
      <c r="R58" s="114">
        <v>5647500</v>
      </c>
      <c r="S58" s="114">
        <v>9046224</v>
      </c>
      <c r="T58" s="114">
        <v>2523146</v>
      </c>
      <c r="U58" s="114">
        <v>7608517</v>
      </c>
      <c r="V58" s="114">
        <v>74110716</v>
      </c>
      <c r="W58" s="114">
        <v>9350200</v>
      </c>
      <c r="X58" s="114">
        <v>5647500</v>
      </c>
      <c r="Y58" s="114">
        <v>9046224</v>
      </c>
      <c r="Z58" s="114">
        <v>10086965</v>
      </c>
      <c r="AA58" s="114">
        <v>7608517</v>
      </c>
      <c r="AB58" s="114">
        <v>-5443356</v>
      </c>
      <c r="AC58" s="114">
        <v>2363948</v>
      </c>
      <c r="AD58" s="114">
        <v>0</v>
      </c>
      <c r="AE58" s="114">
        <v>0</v>
      </c>
      <c r="AF58" s="114">
        <v>0</v>
      </c>
      <c r="AG58" s="114">
        <v>83638.899900000004</v>
      </c>
      <c r="AH58" s="114">
        <v>0</v>
      </c>
      <c r="AI58" s="114">
        <v>300893.44</v>
      </c>
      <c r="AJ58" s="121">
        <v>0</v>
      </c>
      <c r="AK58" s="82">
        <v>389705821</v>
      </c>
      <c r="AL58" s="83">
        <v>9403165</v>
      </c>
      <c r="AM58" s="114">
        <v>36000</v>
      </c>
      <c r="AN58" s="114">
        <v>97921009</v>
      </c>
      <c r="AO58" s="114">
        <v>2157230</v>
      </c>
      <c r="AP58" s="114">
        <v>104489940</v>
      </c>
      <c r="AQ58" s="114">
        <v>97554186</v>
      </c>
      <c r="AR58" s="114">
        <v>103768507</v>
      </c>
      <c r="AS58" s="114">
        <v>58458071</v>
      </c>
      <c r="AT58" s="114">
        <v>6423009</v>
      </c>
      <c r="AU58" s="114">
        <v>0</v>
      </c>
      <c r="AV58" s="114">
        <v>0</v>
      </c>
      <c r="AW58" s="114">
        <v>132838</v>
      </c>
      <c r="AX58" s="114">
        <v>44697</v>
      </c>
      <c r="AY58" s="114">
        <v>12476760</v>
      </c>
      <c r="BD58" s="82">
        <v>19940957.259999998</v>
      </c>
      <c r="BE58" s="82">
        <v>10169888.199999999</v>
      </c>
      <c r="BF58" s="117">
        <v>0</v>
      </c>
      <c r="BG58" s="118">
        <v>1804010</v>
      </c>
      <c r="BH58" s="118">
        <v>3608020</v>
      </c>
      <c r="BI58" s="117">
        <v>43743002</v>
      </c>
      <c r="BJ58" s="117">
        <v>43743002</v>
      </c>
      <c r="BK58" s="117">
        <v>67436141.599999994</v>
      </c>
      <c r="BL58" s="117">
        <v>63273963.600000001</v>
      </c>
      <c r="BM58" s="117">
        <v>36825037</v>
      </c>
      <c r="BN58" s="117">
        <v>0</v>
      </c>
      <c r="BO58" s="119"/>
      <c r="BP58" s="86">
        <v>4534965860.2400007</v>
      </c>
      <c r="BQ58" s="86">
        <v>3980040973.4400001</v>
      </c>
      <c r="BR58" s="87">
        <v>1915350</v>
      </c>
      <c r="BT58" s="114">
        <v>17342</v>
      </c>
      <c r="BU58" s="114">
        <v>1954</v>
      </c>
      <c r="BV58" s="114">
        <v>1092</v>
      </c>
      <c r="BW58" s="114">
        <f t="shared" si="15"/>
        <v>20388</v>
      </c>
      <c r="BX58" s="86">
        <v>3782107655</v>
      </c>
      <c r="BY58" s="82">
        <f t="shared" si="9"/>
        <v>389705821</v>
      </c>
      <c r="BZ58" s="82">
        <f t="shared" si="10"/>
        <v>9403165</v>
      </c>
      <c r="CA58" s="86">
        <f t="shared" si="11"/>
        <v>256090496</v>
      </c>
      <c r="CB58" s="86">
        <f t="shared" si="4"/>
        <v>4437307137</v>
      </c>
    </row>
    <row r="59" spans="1:80" x14ac:dyDescent="0.25">
      <c r="A59" s="91" t="s">
        <v>113</v>
      </c>
      <c r="B59" s="114">
        <v>441134936</v>
      </c>
      <c r="C59" s="114">
        <v>100577863</v>
      </c>
      <c r="D59" s="114">
        <v>193403116</v>
      </c>
      <c r="E59" s="114">
        <v>0</v>
      </c>
      <c r="F59" s="114">
        <v>62588980</v>
      </c>
      <c r="G59" s="114">
        <v>25751100</v>
      </c>
      <c r="H59" s="114">
        <v>19591949</v>
      </c>
      <c r="I59" s="114">
        <v>5886206</v>
      </c>
      <c r="J59" s="114">
        <v>0</v>
      </c>
      <c r="K59" s="114">
        <v>37600</v>
      </c>
      <c r="L59" s="114">
        <v>109448958</v>
      </c>
      <c r="M59" s="114">
        <v>97696800</v>
      </c>
      <c r="N59" s="114">
        <v>2434</v>
      </c>
      <c r="O59" s="114">
        <v>1057</v>
      </c>
      <c r="P59" s="114">
        <v>7500</v>
      </c>
      <c r="Q59" s="114">
        <v>0</v>
      </c>
      <c r="R59" s="114">
        <v>0</v>
      </c>
      <c r="S59" s="114">
        <v>2631612</v>
      </c>
      <c r="T59" s="114">
        <v>430322</v>
      </c>
      <c r="U59" s="114">
        <v>445475</v>
      </c>
      <c r="V59" s="114">
        <v>7500</v>
      </c>
      <c r="W59" s="114">
        <v>0</v>
      </c>
      <c r="X59" s="114">
        <v>0</v>
      </c>
      <c r="Y59" s="114">
        <v>2631612</v>
      </c>
      <c r="Z59" s="114">
        <v>673000</v>
      </c>
      <c r="AA59" s="114">
        <v>445475</v>
      </c>
      <c r="AB59" s="114">
        <v>-4073808</v>
      </c>
      <c r="AC59" s="114">
        <v>-1700706</v>
      </c>
      <c r="AD59" s="114">
        <v>126440</v>
      </c>
      <c r="AG59" s="114">
        <v>133922</v>
      </c>
      <c r="AH59" s="114">
        <v>2448868.85</v>
      </c>
      <c r="AI59" s="114">
        <v>5077745.9000000004</v>
      </c>
      <c r="AJ59" s="121">
        <v>3144877.05</v>
      </c>
      <c r="AK59" s="82">
        <v>158324414</v>
      </c>
      <c r="AL59" s="83">
        <v>4414281</v>
      </c>
      <c r="AM59" s="114">
        <v>149561</v>
      </c>
      <c r="AN59" s="114">
        <v>47169632</v>
      </c>
      <c r="AO59" s="114">
        <v>1416667</v>
      </c>
      <c r="AP59" s="114">
        <v>2357728</v>
      </c>
      <c r="AQ59" s="114">
        <v>25372138</v>
      </c>
      <c r="AR59" s="114">
        <v>28230454</v>
      </c>
      <c r="AS59" s="114">
        <v>19034</v>
      </c>
      <c r="AT59" s="114">
        <v>500</v>
      </c>
      <c r="AU59" s="114">
        <v>0</v>
      </c>
      <c r="AV59" s="114">
        <v>0</v>
      </c>
      <c r="AW59" s="114">
        <v>0</v>
      </c>
      <c r="AX59" s="114">
        <v>16581</v>
      </c>
      <c r="AY59" s="114">
        <v>20000</v>
      </c>
      <c r="BD59" s="82">
        <v>8102779.4799999995</v>
      </c>
      <c r="BE59" s="82">
        <v>4132417.5300000003</v>
      </c>
      <c r="BF59" s="117">
        <v>0</v>
      </c>
      <c r="BG59" s="118">
        <v>3047172</v>
      </c>
      <c r="BH59" s="118">
        <v>6094344</v>
      </c>
      <c r="BI59" s="117">
        <v>63444239</v>
      </c>
      <c r="BJ59" s="117">
        <v>63444239</v>
      </c>
      <c r="BK59" s="117">
        <v>87556506.200000003</v>
      </c>
      <c r="BL59" s="117">
        <v>86020831.200000003</v>
      </c>
      <c r="BM59" s="117">
        <v>0</v>
      </c>
      <c r="BN59" s="117">
        <v>0</v>
      </c>
      <c r="BO59" s="119"/>
      <c r="BP59" s="86">
        <v>1139129198.53</v>
      </c>
      <c r="BQ59" s="86">
        <v>819745843.79999995</v>
      </c>
      <c r="BR59" s="87">
        <v>9373195</v>
      </c>
      <c r="BT59" s="114">
        <v>9897</v>
      </c>
      <c r="BU59" s="114">
        <v>3153</v>
      </c>
      <c r="BV59" s="114">
        <v>727</v>
      </c>
      <c r="BW59" s="114">
        <f t="shared" si="15"/>
        <v>13777</v>
      </c>
      <c r="BX59" s="86">
        <v>735115915</v>
      </c>
      <c r="BY59" s="82">
        <f t="shared" si="9"/>
        <v>158324414</v>
      </c>
      <c r="BZ59" s="82">
        <f t="shared" si="10"/>
        <v>4414281</v>
      </c>
      <c r="CA59" s="86">
        <f t="shared" si="11"/>
        <v>73977471</v>
      </c>
      <c r="CB59" s="86">
        <f t="shared" si="4"/>
        <v>971832081</v>
      </c>
    </row>
    <row r="60" spans="1:80" x14ac:dyDescent="0.25">
      <c r="A60" s="91" t="s">
        <v>114</v>
      </c>
      <c r="B60" s="114">
        <v>7913467147</v>
      </c>
      <c r="C60" s="114">
        <v>122208900</v>
      </c>
      <c r="D60" s="114">
        <v>2553045334</v>
      </c>
      <c r="E60" s="114">
        <v>1663200</v>
      </c>
      <c r="F60" s="114">
        <v>424389000</v>
      </c>
      <c r="G60" s="114">
        <v>33945200</v>
      </c>
      <c r="H60" s="114">
        <v>7600000</v>
      </c>
      <c r="I60" s="114">
        <v>412700</v>
      </c>
      <c r="J60" s="114">
        <v>1128000</v>
      </c>
      <c r="K60" s="114">
        <v>37600</v>
      </c>
      <c r="L60" s="114">
        <v>215284200</v>
      </c>
      <c r="M60" s="114">
        <v>337493100</v>
      </c>
      <c r="N60" s="114">
        <v>11609</v>
      </c>
      <c r="O60" s="114">
        <v>940</v>
      </c>
      <c r="P60" s="114">
        <v>127931200</v>
      </c>
      <c r="Q60" s="114">
        <v>4686400</v>
      </c>
      <c r="R60" s="114">
        <v>38054500</v>
      </c>
      <c r="S60" s="114">
        <v>37773890</v>
      </c>
      <c r="T60" s="114">
        <v>5781600</v>
      </c>
      <c r="U60" s="114">
        <v>89490884</v>
      </c>
      <c r="V60" s="114">
        <v>127931200</v>
      </c>
      <c r="W60" s="114">
        <v>4686400</v>
      </c>
      <c r="X60" s="114">
        <v>38054500</v>
      </c>
      <c r="Y60" s="114">
        <v>37773890</v>
      </c>
      <c r="Z60" s="114">
        <v>5781600</v>
      </c>
      <c r="AA60" s="114">
        <v>89490884</v>
      </c>
      <c r="AB60" s="114">
        <v>-18267067</v>
      </c>
      <c r="AC60" s="114">
        <v>-4335544</v>
      </c>
      <c r="AD60" s="114">
        <v>69160</v>
      </c>
      <c r="AG60" s="114">
        <v>41509</v>
      </c>
      <c r="AH60" s="114">
        <v>0</v>
      </c>
      <c r="AI60" s="114">
        <v>0</v>
      </c>
      <c r="AJ60" s="121">
        <v>0</v>
      </c>
      <c r="AK60" s="82">
        <v>1097153020</v>
      </c>
      <c r="AL60" s="83">
        <v>18493509</v>
      </c>
      <c r="AM60" s="114">
        <v>0</v>
      </c>
      <c r="AN60" s="114">
        <v>264071436</v>
      </c>
      <c r="AO60" s="114">
        <v>7514339</v>
      </c>
      <c r="AP60" s="114">
        <v>350733362</v>
      </c>
      <c r="AQ60" s="114">
        <v>248341399</v>
      </c>
      <c r="AR60" s="114">
        <v>238122624</v>
      </c>
      <c r="AS60" s="114">
        <v>247882684</v>
      </c>
      <c r="AT60" s="114">
        <f>21810+9248</f>
        <v>31058</v>
      </c>
      <c r="AU60" s="114">
        <v>0</v>
      </c>
      <c r="AV60" s="114">
        <v>0</v>
      </c>
      <c r="AW60" s="114">
        <v>19642</v>
      </c>
      <c r="AX60" s="114">
        <v>381405</v>
      </c>
      <c r="AY60" s="114">
        <v>0</v>
      </c>
      <c r="BD60" s="82">
        <v>56121205.340000004</v>
      </c>
      <c r="BE60" s="82">
        <v>28621814.719999999</v>
      </c>
      <c r="BF60" s="117">
        <v>10866321</v>
      </c>
      <c r="BG60" s="118">
        <v>15312340</v>
      </c>
      <c r="BH60" s="118">
        <v>30624680</v>
      </c>
      <c r="BI60" s="117">
        <v>161977562</v>
      </c>
      <c r="BJ60" s="117">
        <v>161977562</v>
      </c>
      <c r="BK60" s="117">
        <v>245494074.59999996</v>
      </c>
      <c r="BL60" s="117">
        <v>233467373.59999996</v>
      </c>
      <c r="BM60" s="117">
        <v>17799</v>
      </c>
      <c r="BN60" s="117">
        <v>0</v>
      </c>
      <c r="BO60" s="119"/>
      <c r="BP60" s="86">
        <v>12663691973.32</v>
      </c>
      <c r="BQ60" s="86">
        <v>11108648555</v>
      </c>
      <c r="BR60" s="87">
        <v>8128500</v>
      </c>
      <c r="BW60" s="114">
        <f t="shared" si="15"/>
        <v>0</v>
      </c>
      <c r="BX60" s="86">
        <v>10588721381</v>
      </c>
      <c r="BY60" s="82">
        <f t="shared" si="9"/>
        <v>1097153020</v>
      </c>
      <c r="BZ60" s="82">
        <f t="shared" si="10"/>
        <v>18493509</v>
      </c>
      <c r="CA60" s="86">
        <f t="shared" si="11"/>
        <v>767809858</v>
      </c>
      <c r="CB60" s="86">
        <f t="shared" si="4"/>
        <v>12472177768</v>
      </c>
    </row>
    <row r="61" spans="1:80" x14ac:dyDescent="0.25">
      <c r="A61" s="91" t="s">
        <v>115</v>
      </c>
      <c r="B61" s="114">
        <v>161368484</v>
      </c>
      <c r="C61" s="114">
        <v>51167333</v>
      </c>
      <c r="D61" s="114">
        <v>76734483</v>
      </c>
      <c r="E61" s="114">
        <v>0</v>
      </c>
      <c r="F61" s="114">
        <v>40698466</v>
      </c>
      <c r="G61" s="114">
        <v>33427250</v>
      </c>
      <c r="H61" s="114">
        <v>16079015</v>
      </c>
      <c r="I61" s="114">
        <v>7677800</v>
      </c>
      <c r="J61" s="114">
        <v>150400</v>
      </c>
      <c r="K61" s="114">
        <v>37600</v>
      </c>
      <c r="L61" s="114">
        <v>69243747</v>
      </c>
      <c r="M61" s="114">
        <v>61652049</v>
      </c>
      <c r="N61" s="114">
        <v>1576</v>
      </c>
      <c r="O61" s="114">
        <v>1169</v>
      </c>
      <c r="P61" s="114">
        <v>3409500</v>
      </c>
      <c r="Q61" s="114">
        <v>1182900</v>
      </c>
      <c r="R61" s="114">
        <v>166000</v>
      </c>
      <c r="S61" s="114">
        <v>4852650</v>
      </c>
      <c r="T61" s="114">
        <v>1236200</v>
      </c>
      <c r="U61" s="114">
        <v>450000</v>
      </c>
      <c r="V61" s="114">
        <v>3409500</v>
      </c>
      <c r="W61" s="114">
        <v>1819400</v>
      </c>
      <c r="X61" s="114">
        <v>166000</v>
      </c>
      <c r="Y61" s="114">
        <v>4852650</v>
      </c>
      <c r="Z61" s="114">
        <v>1642300</v>
      </c>
      <c r="AA61" s="114">
        <v>450000</v>
      </c>
      <c r="AB61" s="114">
        <v>-3194000</v>
      </c>
      <c r="AC61" s="114">
        <v>0</v>
      </c>
      <c r="AD61" s="114">
        <v>180891</v>
      </c>
      <c r="AG61" s="114">
        <v>3162</v>
      </c>
      <c r="AH61" s="114">
        <v>3587950.82</v>
      </c>
      <c r="AI61" s="114">
        <v>40518467.210000001</v>
      </c>
      <c r="AJ61" s="121">
        <v>15882483.609999999</v>
      </c>
      <c r="AK61" s="82">
        <v>97532845</v>
      </c>
      <c r="AL61" s="83">
        <v>1696749</v>
      </c>
      <c r="AM61" s="114">
        <v>78500</v>
      </c>
      <c r="AN61" s="114">
        <v>18082959</v>
      </c>
      <c r="AO61" s="114">
        <v>118516</v>
      </c>
      <c r="AP61" s="114">
        <v>12256080</v>
      </c>
      <c r="AQ61" s="114">
        <v>4845614</v>
      </c>
      <c r="AR61" s="114">
        <v>2102552</v>
      </c>
      <c r="AS61" s="114">
        <v>0</v>
      </c>
      <c r="AT61" s="114">
        <v>0</v>
      </c>
      <c r="AU61" s="114">
        <v>0</v>
      </c>
      <c r="AV61" s="114">
        <v>0</v>
      </c>
      <c r="AW61" s="114">
        <v>0</v>
      </c>
      <c r="AX61" s="114">
        <v>0</v>
      </c>
      <c r="AY61" s="114">
        <v>0</v>
      </c>
      <c r="BD61" s="82">
        <v>4989095.13</v>
      </c>
      <c r="BE61" s="82">
        <v>2544438.52</v>
      </c>
      <c r="BF61" s="117">
        <v>0</v>
      </c>
      <c r="BG61" s="118">
        <v>1364629</v>
      </c>
      <c r="BH61" s="118">
        <v>2729259</v>
      </c>
      <c r="BI61" s="117">
        <v>57865960</v>
      </c>
      <c r="BJ61" s="117">
        <v>57865960</v>
      </c>
      <c r="BK61" s="117">
        <v>87880771.399999991</v>
      </c>
      <c r="BL61" s="117">
        <v>87245709.399999991</v>
      </c>
      <c r="BM61" s="117">
        <v>0</v>
      </c>
      <c r="BN61" s="117">
        <v>0</v>
      </c>
      <c r="BO61" s="119"/>
      <c r="BP61" s="86">
        <v>620556621.55999994</v>
      </c>
      <c r="BQ61" s="86">
        <v>372306290.63999999</v>
      </c>
      <c r="BR61" s="87">
        <v>2290650</v>
      </c>
      <c r="BT61" s="114">
        <v>7277</v>
      </c>
      <c r="BU61" s="114">
        <v>3159</v>
      </c>
      <c r="BV61" s="114">
        <v>940</v>
      </c>
      <c r="BW61" s="114">
        <f t="shared" si="15"/>
        <v>11376</v>
      </c>
      <c r="BX61" s="86">
        <v>289270300</v>
      </c>
      <c r="BY61" s="82">
        <f t="shared" si="9"/>
        <v>97532845</v>
      </c>
      <c r="BZ61" s="82">
        <f t="shared" si="10"/>
        <v>1696749</v>
      </c>
      <c r="CA61" s="86">
        <f t="shared" si="11"/>
        <v>23047089</v>
      </c>
      <c r="CB61" s="86">
        <f t="shared" si="4"/>
        <v>411546983</v>
      </c>
    </row>
    <row r="62" spans="1:80" x14ac:dyDescent="0.25">
      <c r="A62" s="91" t="s">
        <v>116</v>
      </c>
      <c r="B62" s="114">
        <v>514033627</v>
      </c>
      <c r="C62" s="114">
        <v>95655296</v>
      </c>
      <c r="D62" s="114">
        <v>243738899</v>
      </c>
      <c r="E62" s="114">
        <v>0</v>
      </c>
      <c r="F62" s="114">
        <v>79916783</v>
      </c>
      <c r="G62" s="114">
        <v>28219304</v>
      </c>
      <c r="H62" s="114">
        <v>17576518</v>
      </c>
      <c r="I62" s="114">
        <v>4062223</v>
      </c>
      <c r="J62" s="114">
        <v>338400</v>
      </c>
      <c r="K62" s="114">
        <v>75200</v>
      </c>
      <c r="L62" s="114">
        <v>162067896</v>
      </c>
      <c r="M62" s="114">
        <v>83293189</v>
      </c>
      <c r="N62" s="114">
        <v>3068</v>
      </c>
      <c r="O62" s="114">
        <v>1180</v>
      </c>
      <c r="P62" s="114">
        <v>5590374</v>
      </c>
      <c r="Q62" s="114">
        <v>1929000</v>
      </c>
      <c r="R62" s="114">
        <v>6517274</v>
      </c>
      <c r="S62" s="114">
        <v>4458794</v>
      </c>
      <c r="T62" s="114">
        <v>628709</v>
      </c>
      <c r="U62" s="114">
        <v>1107550</v>
      </c>
      <c r="V62" s="114">
        <v>5590374</v>
      </c>
      <c r="W62" s="114">
        <v>2288020</v>
      </c>
      <c r="X62" s="114">
        <v>6517274</v>
      </c>
      <c r="Y62" s="114">
        <v>4458794</v>
      </c>
      <c r="Z62" s="114">
        <v>785600</v>
      </c>
      <c r="AA62" s="114">
        <v>1107550</v>
      </c>
      <c r="AB62" s="114">
        <v>-5891390</v>
      </c>
      <c r="AC62" s="114">
        <v>-169322</v>
      </c>
      <c r="AD62" s="114">
        <v>140408</v>
      </c>
      <c r="AE62" s="114">
        <v>0</v>
      </c>
      <c r="AF62" s="114">
        <v>0</v>
      </c>
      <c r="AG62" s="114">
        <v>0</v>
      </c>
      <c r="AH62" s="114">
        <v>10040991.800000001</v>
      </c>
      <c r="AI62" s="114">
        <v>8066926.2300000004</v>
      </c>
      <c r="AJ62" s="121">
        <v>980909.84</v>
      </c>
      <c r="AK62" s="82">
        <v>173234649</v>
      </c>
      <c r="AL62" s="83">
        <v>4060176</v>
      </c>
      <c r="AM62" s="114">
        <v>0</v>
      </c>
      <c r="AN62" s="114">
        <v>31964267</v>
      </c>
      <c r="AO62" s="114">
        <v>4542303</v>
      </c>
      <c r="AP62" s="114">
        <v>44313407</v>
      </c>
      <c r="AQ62" s="114">
        <v>31199802</v>
      </c>
      <c r="AR62" s="114">
        <v>49600338</v>
      </c>
      <c r="AS62" s="114">
        <v>11497734</v>
      </c>
      <c r="AT62" s="114">
        <v>368804</v>
      </c>
      <c r="AU62" s="114">
        <v>0</v>
      </c>
      <c r="AV62" s="114">
        <v>0</v>
      </c>
      <c r="AW62" s="114">
        <v>0</v>
      </c>
      <c r="AX62" s="114">
        <v>59931</v>
      </c>
      <c r="AY62" s="114">
        <v>4500</v>
      </c>
      <c r="BD62" s="82">
        <v>8863998.5499999989</v>
      </c>
      <c r="BE62" s="82">
        <v>4520639.26</v>
      </c>
      <c r="BF62" s="117">
        <v>0</v>
      </c>
      <c r="BG62" s="118">
        <v>3388329</v>
      </c>
      <c r="BH62" s="118">
        <v>6776659</v>
      </c>
      <c r="BI62" s="117">
        <v>24201933</v>
      </c>
      <c r="BJ62" s="117">
        <v>24201933</v>
      </c>
      <c r="BK62" s="117">
        <v>62113183.200000003</v>
      </c>
      <c r="BL62" s="117">
        <v>59370153.200000003</v>
      </c>
      <c r="BM62" s="117">
        <v>0</v>
      </c>
      <c r="BN62" s="117">
        <v>0</v>
      </c>
      <c r="BO62" s="119"/>
      <c r="BP62" s="86">
        <v>1208998901.3299999</v>
      </c>
      <c r="BQ62" s="86">
        <v>940223021.87</v>
      </c>
      <c r="BR62" s="87">
        <v>500090</v>
      </c>
      <c r="BT62" s="114">
        <v>14127</v>
      </c>
      <c r="BU62" s="114">
        <v>3613</v>
      </c>
      <c r="BV62" s="114">
        <v>763</v>
      </c>
      <c r="BW62" s="114">
        <f t="shared" si="15"/>
        <v>18503</v>
      </c>
      <c r="BX62" s="86">
        <v>853427822</v>
      </c>
      <c r="BY62" s="82">
        <f t="shared" si="9"/>
        <v>173234649</v>
      </c>
      <c r="BZ62" s="82">
        <f t="shared" si="10"/>
        <v>4060176</v>
      </c>
      <c r="CA62" s="86">
        <f t="shared" si="11"/>
        <v>79204106</v>
      </c>
      <c r="CB62" s="86">
        <f t="shared" si="4"/>
        <v>1109926753</v>
      </c>
    </row>
    <row r="63" spans="1:80" x14ac:dyDescent="0.25">
      <c r="A63" s="91" t="s">
        <v>117</v>
      </c>
      <c r="B63" s="114">
        <v>359983433</v>
      </c>
      <c r="C63" s="114">
        <v>153112494</v>
      </c>
      <c r="D63" s="114">
        <v>75702082</v>
      </c>
      <c r="E63" s="114">
        <v>0</v>
      </c>
      <c r="F63" s="114">
        <v>38897248</v>
      </c>
      <c r="G63" s="114">
        <v>9080822</v>
      </c>
      <c r="H63" s="114">
        <v>14684540</v>
      </c>
      <c r="I63" s="114">
        <v>1119600</v>
      </c>
      <c r="J63" s="114">
        <v>218000</v>
      </c>
      <c r="K63" s="114">
        <v>37600</v>
      </c>
      <c r="L63" s="114">
        <v>376271152</v>
      </c>
      <c r="M63" s="114">
        <v>113054257</v>
      </c>
      <c r="N63" s="114">
        <v>1471</v>
      </c>
      <c r="O63" s="114">
        <v>293</v>
      </c>
      <c r="P63" s="114">
        <v>9719758</v>
      </c>
      <c r="Q63" s="114">
        <v>3127562</v>
      </c>
      <c r="R63" s="114">
        <v>8302500</v>
      </c>
      <c r="S63" s="114">
        <v>3944142</v>
      </c>
      <c r="T63" s="114">
        <v>4053602</v>
      </c>
      <c r="U63" s="114">
        <v>2306130</v>
      </c>
      <c r="V63" s="114">
        <v>9719758</v>
      </c>
      <c r="W63" s="114">
        <v>5533550</v>
      </c>
      <c r="X63" s="114">
        <v>8302500</v>
      </c>
      <c r="Y63" s="114">
        <v>3944142</v>
      </c>
      <c r="Z63" s="114">
        <v>8751028</v>
      </c>
      <c r="AA63" s="114">
        <v>2306130</v>
      </c>
      <c r="AB63" s="114">
        <v>-1489800</v>
      </c>
      <c r="AC63" s="114">
        <v>-53066</v>
      </c>
      <c r="AD63" s="114">
        <v>52341</v>
      </c>
      <c r="AE63" s="114">
        <v>0</v>
      </c>
      <c r="AF63" s="114">
        <v>0</v>
      </c>
      <c r="AG63" s="114">
        <v>149112</v>
      </c>
      <c r="AH63" s="114">
        <v>0</v>
      </c>
      <c r="AI63" s="114">
        <v>0</v>
      </c>
      <c r="AJ63" s="121">
        <v>0</v>
      </c>
      <c r="AK63" s="82">
        <v>97686573</v>
      </c>
      <c r="AL63" s="83">
        <v>2460754</v>
      </c>
      <c r="AM63" s="114">
        <v>0</v>
      </c>
      <c r="AN63" s="114">
        <v>8673664</v>
      </c>
      <c r="AO63" s="114">
        <v>289163</v>
      </c>
      <c r="AP63" s="114">
        <v>13120288</v>
      </c>
      <c r="AQ63" s="114">
        <v>15224810</v>
      </c>
      <c r="AR63" s="114">
        <v>9578338</v>
      </c>
      <c r="AS63" s="114">
        <v>4107635</v>
      </c>
      <c r="AT63" s="114">
        <v>3300625</v>
      </c>
      <c r="AU63" s="114">
        <v>0</v>
      </c>
      <c r="AV63" s="114">
        <v>101773</v>
      </c>
      <c r="AW63" s="114">
        <v>0</v>
      </c>
      <c r="AX63" s="114">
        <v>9738</v>
      </c>
      <c r="AY63" s="114">
        <v>47700</v>
      </c>
      <c r="BD63" s="82">
        <v>4998800.12</v>
      </c>
      <c r="BE63" s="82">
        <v>2549388.0699999998</v>
      </c>
      <c r="BF63" s="117">
        <v>0</v>
      </c>
      <c r="BG63" s="118">
        <v>91475</v>
      </c>
      <c r="BH63" s="118">
        <v>182950</v>
      </c>
      <c r="BI63" s="117">
        <v>15603603</v>
      </c>
      <c r="BJ63" s="117">
        <v>15603603</v>
      </c>
      <c r="BK63" s="117">
        <v>62860759.400000006</v>
      </c>
      <c r="BL63" s="117">
        <v>62825945.400000006</v>
      </c>
      <c r="BM63" s="117">
        <v>0</v>
      </c>
      <c r="BN63" s="117">
        <v>0</v>
      </c>
      <c r="BO63" s="119"/>
      <c r="BP63" s="86">
        <v>794203384.47000003</v>
      </c>
      <c r="BQ63" s="86">
        <v>612985646</v>
      </c>
      <c r="BR63" s="87">
        <v>2317292</v>
      </c>
      <c r="BT63" s="114">
        <v>5509</v>
      </c>
      <c r="BU63" s="114">
        <v>2419</v>
      </c>
      <c r="BV63" s="114">
        <v>328</v>
      </c>
      <c r="BW63" s="114">
        <f t="shared" si="15"/>
        <v>8256</v>
      </c>
      <c r="BX63" s="86">
        <v>588798009</v>
      </c>
      <c r="BY63" s="82">
        <f t="shared" si="9"/>
        <v>97686573</v>
      </c>
      <c r="BZ63" s="82">
        <f t="shared" si="10"/>
        <v>2460754</v>
      </c>
      <c r="CA63" s="86">
        <f t="shared" si="11"/>
        <v>28295272</v>
      </c>
      <c r="CB63" s="86">
        <f t="shared" si="4"/>
        <v>717240608</v>
      </c>
    </row>
    <row r="64" spans="1:80" x14ac:dyDescent="0.25">
      <c r="A64" s="91" t="s">
        <v>118</v>
      </c>
      <c r="B64" s="114">
        <v>1523091101</v>
      </c>
      <c r="C64" s="114">
        <v>203796063</v>
      </c>
      <c r="D64" s="114">
        <v>748722633</v>
      </c>
      <c r="E64" s="114">
        <v>39226730</v>
      </c>
      <c r="F64" s="114">
        <v>152296609</v>
      </c>
      <c r="G64" s="114">
        <v>50049145</v>
      </c>
      <c r="H64" s="114">
        <v>29819411</v>
      </c>
      <c r="I64" s="114">
        <v>4999626</v>
      </c>
      <c r="J64" s="114">
        <v>263200</v>
      </c>
      <c r="K64" s="114">
        <v>46500</v>
      </c>
      <c r="L64" s="114">
        <v>426350800</v>
      </c>
      <c r="M64" s="114">
        <v>183378200</v>
      </c>
      <c r="N64" s="114">
        <v>5227</v>
      </c>
      <c r="O64" s="114">
        <v>1731</v>
      </c>
      <c r="P64" s="114">
        <v>14643100</v>
      </c>
      <c r="Q64" s="114">
        <v>4634600</v>
      </c>
      <c r="R64" s="114">
        <v>27073620</v>
      </c>
      <c r="S64" s="114">
        <v>11052000</v>
      </c>
      <c r="T64" s="114">
        <v>1257300</v>
      </c>
      <c r="U64" s="114">
        <v>11366550</v>
      </c>
      <c r="V64" s="114">
        <v>14643100</v>
      </c>
      <c r="W64" s="114">
        <v>3894900</v>
      </c>
      <c r="X64" s="114">
        <v>27073620</v>
      </c>
      <c r="Y64" s="114">
        <v>11052000</v>
      </c>
      <c r="Z64" s="114">
        <v>3197600</v>
      </c>
      <c r="AA64" s="114">
        <v>11366550</v>
      </c>
      <c r="AB64" s="114">
        <v>-9353200</v>
      </c>
      <c r="AC64" s="114">
        <v>-355002</v>
      </c>
      <c r="AD64" s="114">
        <v>81869</v>
      </c>
      <c r="AE64" s="114">
        <v>0</v>
      </c>
      <c r="AF64" s="114">
        <v>0</v>
      </c>
      <c r="AG64" s="114">
        <v>164219</v>
      </c>
      <c r="AH64" s="114">
        <v>186762.3</v>
      </c>
      <c r="AI64" s="114">
        <v>117270.49</v>
      </c>
      <c r="AJ64" s="121">
        <v>2565.5700000000002</v>
      </c>
      <c r="AK64" s="82">
        <v>425021138</v>
      </c>
      <c r="AL64" s="83">
        <v>17651297</v>
      </c>
      <c r="AM64" s="114">
        <v>1376563</v>
      </c>
      <c r="AN64" s="114">
        <v>144415097</v>
      </c>
      <c r="AO64" s="114">
        <v>32718537</v>
      </c>
      <c r="AP64" s="114">
        <v>184545554</v>
      </c>
      <c r="AQ64" s="114">
        <v>144904610</v>
      </c>
      <c r="AR64" s="114">
        <v>121509517</v>
      </c>
      <c r="AS64" s="114">
        <v>32361362</v>
      </c>
      <c r="AT64" s="114">
        <v>2686301</v>
      </c>
      <c r="AU64" s="114">
        <v>0</v>
      </c>
      <c r="AV64" s="114">
        <v>59212</v>
      </c>
      <c r="AW64" s="114">
        <v>13073267</v>
      </c>
      <c r="AX64" s="114">
        <v>36931</v>
      </c>
      <c r="AY64" s="114">
        <v>7030965</v>
      </c>
      <c r="BD64" s="82">
        <v>21765903.780000001</v>
      </c>
      <c r="BE64" s="82">
        <v>11100610.92</v>
      </c>
      <c r="BF64" s="117">
        <v>0</v>
      </c>
      <c r="BG64" s="118">
        <v>2823733</v>
      </c>
      <c r="BH64" s="118">
        <v>5647466</v>
      </c>
      <c r="BI64" s="117">
        <v>25628334</v>
      </c>
      <c r="BJ64" s="117">
        <v>25628334</v>
      </c>
      <c r="BK64" s="117">
        <v>122404230.79999997</v>
      </c>
      <c r="BL64" s="117">
        <v>116549560.79999997</v>
      </c>
      <c r="BM64" s="117">
        <v>0</v>
      </c>
      <c r="BN64" s="117">
        <v>0</v>
      </c>
      <c r="BO64" s="119"/>
      <c r="BP64" s="86">
        <v>3396729313.0800004</v>
      </c>
      <c r="BQ64" s="86">
        <v>2797954639.3600001</v>
      </c>
      <c r="BR64" s="87">
        <v>2843532</v>
      </c>
      <c r="BT64" s="114">
        <v>26064</v>
      </c>
      <c r="BU64" s="114">
        <v>4115</v>
      </c>
      <c r="BV64" s="114">
        <v>1957</v>
      </c>
      <c r="BW64" s="114">
        <f t="shared" si="15"/>
        <v>32136</v>
      </c>
      <c r="BX64" s="86">
        <v>2475609797</v>
      </c>
      <c r="BY64" s="82">
        <f t="shared" si="9"/>
        <v>425021138</v>
      </c>
      <c r="BZ64" s="82">
        <f t="shared" si="10"/>
        <v>17651297</v>
      </c>
      <c r="CA64" s="86">
        <f t="shared" si="11"/>
        <v>354399606</v>
      </c>
      <c r="CB64" s="86">
        <f t="shared" si="4"/>
        <v>3272681838</v>
      </c>
    </row>
    <row r="65" spans="1:80" x14ac:dyDescent="0.25">
      <c r="A65" s="91" t="s">
        <v>119</v>
      </c>
      <c r="B65" s="114">
        <v>253155846</v>
      </c>
      <c r="C65" s="114">
        <v>105506214</v>
      </c>
      <c r="D65" s="114">
        <v>102139267</v>
      </c>
      <c r="E65" s="114">
        <v>0</v>
      </c>
      <c r="F65" s="114">
        <v>29864915</v>
      </c>
      <c r="G65" s="114">
        <v>19222372</v>
      </c>
      <c r="H65" s="114">
        <v>16461372</v>
      </c>
      <c r="I65" s="114">
        <v>6531364</v>
      </c>
      <c r="J65" s="114">
        <v>300800</v>
      </c>
      <c r="K65" s="114">
        <v>37500</v>
      </c>
      <c r="L65" s="114">
        <v>115690095</v>
      </c>
      <c r="M65" s="114">
        <v>81958150</v>
      </c>
      <c r="N65" s="114">
        <v>1411</v>
      </c>
      <c r="O65" s="114">
        <v>851</v>
      </c>
      <c r="P65" s="114">
        <v>3332500</v>
      </c>
      <c r="Q65" s="114">
        <v>757800</v>
      </c>
      <c r="R65" s="114">
        <v>922000</v>
      </c>
      <c r="S65" s="114">
        <v>526400</v>
      </c>
      <c r="T65" s="114">
        <v>14400</v>
      </c>
      <c r="U65" s="114">
        <v>3000</v>
      </c>
      <c r="V65" s="114">
        <v>3332500</v>
      </c>
      <c r="W65" s="114">
        <v>776200</v>
      </c>
      <c r="X65" s="114">
        <v>922000</v>
      </c>
      <c r="Y65" s="114">
        <v>526400</v>
      </c>
      <c r="Z65" s="114">
        <v>25200</v>
      </c>
      <c r="AA65" s="114">
        <v>3000</v>
      </c>
      <c r="AB65" s="114">
        <v>-3150096</v>
      </c>
      <c r="AC65" s="114">
        <v>-1189837</v>
      </c>
      <c r="AD65" s="114">
        <v>192564</v>
      </c>
      <c r="AE65" s="114">
        <v>0</v>
      </c>
      <c r="AF65" s="114">
        <v>0</v>
      </c>
      <c r="AG65" s="114">
        <v>223260</v>
      </c>
      <c r="AH65" s="114">
        <v>21497688.52</v>
      </c>
      <c r="AI65" s="114">
        <v>9777229.5099999998</v>
      </c>
      <c r="AJ65" s="121">
        <v>272754.09999999998</v>
      </c>
      <c r="AK65" s="82">
        <v>102504901</v>
      </c>
      <c r="AL65" s="83">
        <v>3469681</v>
      </c>
      <c r="AM65" s="114">
        <v>299394</v>
      </c>
      <c r="AN65" s="114">
        <v>25266762</v>
      </c>
      <c r="AO65" s="114">
        <v>323829</v>
      </c>
      <c r="AP65" s="114">
        <v>11848312</v>
      </c>
      <c r="AQ65" s="114">
        <v>20613166</v>
      </c>
      <c r="AR65" s="114">
        <v>2194255</v>
      </c>
      <c r="AS65" s="114">
        <v>16515</v>
      </c>
      <c r="AT65" s="114">
        <v>339950</v>
      </c>
      <c r="AU65" s="114">
        <v>0</v>
      </c>
      <c r="AV65" s="114">
        <v>0</v>
      </c>
      <c r="AW65" s="114">
        <v>0</v>
      </c>
      <c r="AX65" s="114">
        <v>0</v>
      </c>
      <c r="AY65" s="114">
        <v>0</v>
      </c>
      <c r="BD65" s="82">
        <v>5247509.3899999997</v>
      </c>
      <c r="BE65" s="82">
        <v>2676229.79</v>
      </c>
      <c r="BF65" s="117">
        <v>0</v>
      </c>
      <c r="BG65" s="118">
        <v>3491052</v>
      </c>
      <c r="BH65" s="118">
        <v>6982103</v>
      </c>
      <c r="BI65" s="117">
        <v>77256707</v>
      </c>
      <c r="BJ65" s="117">
        <v>77256707</v>
      </c>
      <c r="BK65" s="117">
        <v>86394033.400000021</v>
      </c>
      <c r="BL65" s="117">
        <v>83396884.400000021</v>
      </c>
      <c r="BM65" s="117">
        <v>0</v>
      </c>
      <c r="BN65" s="117">
        <v>0</v>
      </c>
      <c r="BO65" s="119"/>
      <c r="BP65" s="86">
        <v>811348211.31999993</v>
      </c>
      <c r="BQ65" s="86">
        <v>538552756.13</v>
      </c>
      <c r="BR65" s="87">
        <v>619500</v>
      </c>
      <c r="BW65" s="114">
        <f t="shared" si="15"/>
        <v>0</v>
      </c>
      <c r="BX65" s="86">
        <v>460801327</v>
      </c>
      <c r="BY65" s="82">
        <f t="shared" si="9"/>
        <v>102504901</v>
      </c>
      <c r="BZ65" s="82">
        <f t="shared" si="10"/>
        <v>3469681</v>
      </c>
      <c r="CA65" s="86">
        <f t="shared" si="11"/>
        <v>46220272</v>
      </c>
      <c r="CB65" s="86">
        <f t="shared" si="4"/>
        <v>612996181</v>
      </c>
    </row>
    <row r="66" spans="1:80" x14ac:dyDescent="0.25">
      <c r="A66" s="91" t="s">
        <v>120</v>
      </c>
      <c r="B66" s="114">
        <v>93145278</v>
      </c>
      <c r="C66" s="114">
        <v>42417407</v>
      </c>
      <c r="D66" s="114">
        <v>53527981</v>
      </c>
      <c r="E66" s="114">
        <v>0</v>
      </c>
      <c r="F66" s="114">
        <v>15153250</v>
      </c>
      <c r="G66" s="114">
        <v>8654479</v>
      </c>
      <c r="H66" s="114">
        <v>6765561</v>
      </c>
      <c r="I66" s="114">
        <v>2214303</v>
      </c>
      <c r="J66" s="114">
        <v>0</v>
      </c>
      <c r="K66" s="114">
        <v>0</v>
      </c>
      <c r="L66" s="114">
        <v>61823027</v>
      </c>
      <c r="M66" s="114">
        <v>29142230</v>
      </c>
      <c r="N66" s="114">
        <v>693</v>
      </c>
      <c r="O66" s="114">
        <v>424</v>
      </c>
      <c r="P66" s="114">
        <v>1554000</v>
      </c>
      <c r="Q66" s="114">
        <v>355875</v>
      </c>
      <c r="R66" s="114">
        <v>148000</v>
      </c>
      <c r="S66" s="114">
        <v>837200</v>
      </c>
      <c r="T66" s="114">
        <v>291675</v>
      </c>
      <c r="U66" s="114">
        <v>97000</v>
      </c>
      <c r="V66" s="114">
        <v>1554000</v>
      </c>
      <c r="W66" s="114">
        <v>319800</v>
      </c>
      <c r="X66" s="114">
        <v>148000</v>
      </c>
      <c r="Y66" s="114">
        <v>837200</v>
      </c>
      <c r="Z66" s="114">
        <v>226200</v>
      </c>
      <c r="AA66" s="114">
        <v>97000</v>
      </c>
      <c r="AB66" s="114">
        <v>-1081125</v>
      </c>
      <c r="AC66" s="114">
        <v>0</v>
      </c>
      <c r="AD66" s="114">
        <v>95505</v>
      </c>
      <c r="AE66" s="114">
        <v>0</v>
      </c>
      <c r="AF66" s="114">
        <v>0</v>
      </c>
      <c r="AG66" s="114">
        <v>106824</v>
      </c>
      <c r="AH66" s="114">
        <v>13110713.109999999</v>
      </c>
      <c r="AI66" s="114">
        <v>0</v>
      </c>
      <c r="AJ66" s="121">
        <v>0</v>
      </c>
      <c r="AK66" s="82">
        <v>34351686</v>
      </c>
      <c r="AL66" s="83">
        <v>699832</v>
      </c>
      <c r="AM66" s="114">
        <v>0</v>
      </c>
      <c r="AN66" s="114">
        <v>8458257</v>
      </c>
      <c r="AO66" s="114">
        <v>161348</v>
      </c>
      <c r="AP66" s="114">
        <v>1018423</v>
      </c>
      <c r="AQ66" s="114">
        <v>6897317</v>
      </c>
      <c r="AR66" s="114">
        <v>545634</v>
      </c>
      <c r="AS66" s="114">
        <v>0</v>
      </c>
      <c r="AT66" s="114">
        <v>56423</v>
      </c>
      <c r="AU66" s="114">
        <v>0</v>
      </c>
      <c r="AV66" s="114">
        <v>0</v>
      </c>
      <c r="AW66" s="114">
        <v>0</v>
      </c>
      <c r="AX66" s="114">
        <v>0</v>
      </c>
      <c r="AY66" s="114">
        <v>0</v>
      </c>
      <c r="BD66" s="82">
        <v>1757438.1600000001</v>
      </c>
      <c r="BE66" s="82">
        <v>896293.46</v>
      </c>
      <c r="BF66" s="117">
        <v>0</v>
      </c>
      <c r="BG66" s="118">
        <v>2506569</v>
      </c>
      <c r="BH66" s="118">
        <v>5013138</v>
      </c>
      <c r="BI66" s="117">
        <v>14050341</v>
      </c>
      <c r="BJ66" s="117">
        <v>14050341</v>
      </c>
      <c r="BK66" s="117">
        <v>28639050.000000004</v>
      </c>
      <c r="BL66" s="117">
        <v>24120622.000000004</v>
      </c>
      <c r="BM66" s="117">
        <v>0</v>
      </c>
      <c r="BN66" s="117">
        <v>0</v>
      </c>
      <c r="BO66" s="119"/>
      <c r="BP66" s="86">
        <v>294343644.57000005</v>
      </c>
      <c r="BQ66" s="86">
        <v>217718301.11000001</v>
      </c>
      <c r="BR66" s="87">
        <v>338533</v>
      </c>
      <c r="BT66" s="114">
        <v>4195</v>
      </c>
      <c r="BU66" s="114">
        <v>1975</v>
      </c>
      <c r="BV66" s="114">
        <v>298</v>
      </c>
      <c r="BW66" s="114">
        <f t="shared" si="15"/>
        <v>6468</v>
      </c>
      <c r="BX66" s="86">
        <v>189090666</v>
      </c>
      <c r="BY66" s="82">
        <f t="shared" ref="BY66:BY97" si="16">AK66</f>
        <v>34351686</v>
      </c>
      <c r="BZ66" s="82">
        <f t="shared" ref="BZ66:BZ97" si="17">AL66</f>
        <v>699832</v>
      </c>
      <c r="CA66" s="86">
        <f t="shared" ref="CA66:CA97" si="18">AN66+AO66+AQ66+AS66</f>
        <v>15516922</v>
      </c>
      <c r="CB66" s="86">
        <f t="shared" si="4"/>
        <v>239659106</v>
      </c>
    </row>
    <row r="67" spans="1:80" x14ac:dyDescent="0.25">
      <c r="A67" s="91" t="s">
        <v>121</v>
      </c>
      <c r="B67" s="114">
        <v>115885383</v>
      </c>
      <c r="C67" s="114">
        <v>55801351</v>
      </c>
      <c r="D67" s="114">
        <v>32015855</v>
      </c>
      <c r="E67" s="114">
        <v>0</v>
      </c>
      <c r="F67" s="114">
        <v>23194190</v>
      </c>
      <c r="G67" s="114">
        <v>25891312</v>
      </c>
      <c r="H67" s="114">
        <v>6692856</v>
      </c>
      <c r="I67" s="114">
        <v>3584280</v>
      </c>
      <c r="J67" s="114">
        <v>75200</v>
      </c>
      <c r="K67" s="114">
        <v>0</v>
      </c>
      <c r="L67" s="114">
        <v>43459761</v>
      </c>
      <c r="M67" s="114">
        <v>28814386</v>
      </c>
      <c r="N67" s="114">
        <v>1004</v>
      </c>
      <c r="O67" s="114">
        <v>1064</v>
      </c>
      <c r="P67" s="114">
        <v>1238300</v>
      </c>
      <c r="Q67" s="114">
        <v>61750</v>
      </c>
      <c r="R67" s="114">
        <v>137000</v>
      </c>
      <c r="S67" s="114">
        <v>1069255</v>
      </c>
      <c r="T67" s="114">
        <v>526951</v>
      </c>
      <c r="U67" s="114">
        <v>130120</v>
      </c>
      <c r="V67" s="114">
        <v>1238300</v>
      </c>
      <c r="W67" s="114">
        <v>67750</v>
      </c>
      <c r="X67" s="114">
        <v>137000</v>
      </c>
      <c r="Y67" s="114">
        <v>1069255</v>
      </c>
      <c r="Z67" s="114">
        <v>560951</v>
      </c>
      <c r="AA67" s="114">
        <v>130120</v>
      </c>
      <c r="AB67" s="114">
        <v>-1687318</v>
      </c>
      <c r="AC67" s="114">
        <v>13786</v>
      </c>
      <c r="AD67" s="114">
        <v>178476</v>
      </c>
      <c r="AE67" s="114">
        <v>0</v>
      </c>
      <c r="AF67" s="114">
        <v>0</v>
      </c>
      <c r="AG67" s="114">
        <v>188993</v>
      </c>
      <c r="AH67" s="114">
        <v>8844049.1799999997</v>
      </c>
      <c r="AI67" s="114">
        <v>7313319.6699999999</v>
      </c>
      <c r="AJ67" s="121">
        <v>26964418.030000001</v>
      </c>
      <c r="AK67" s="82">
        <v>68702035</v>
      </c>
      <c r="AL67" s="83">
        <v>2592759</v>
      </c>
      <c r="AM67" s="114">
        <v>0</v>
      </c>
      <c r="AN67" s="114">
        <v>20106410</v>
      </c>
      <c r="AO67" s="114">
        <v>348954</v>
      </c>
      <c r="AP67" s="114">
        <v>158083</v>
      </c>
      <c r="AQ67" s="114">
        <v>2815122</v>
      </c>
      <c r="AR67" s="114">
        <v>276935</v>
      </c>
      <c r="AS67" s="114">
        <v>0</v>
      </c>
      <c r="AT67" s="114">
        <v>13113</v>
      </c>
      <c r="AU67" s="114">
        <v>0</v>
      </c>
      <c r="AV67" s="114">
        <v>0</v>
      </c>
      <c r="AW67" s="114">
        <v>0</v>
      </c>
      <c r="AX67" s="114">
        <v>584</v>
      </c>
      <c r="AY67" s="114">
        <v>0</v>
      </c>
      <c r="BD67" s="82">
        <v>3517693.61</v>
      </c>
      <c r="BE67" s="82">
        <v>1794023.74</v>
      </c>
      <c r="BF67" s="117">
        <v>0</v>
      </c>
      <c r="BG67" s="118">
        <v>0</v>
      </c>
      <c r="BH67" s="118">
        <v>0</v>
      </c>
      <c r="BI67" s="117">
        <v>11258332</v>
      </c>
      <c r="BJ67" s="117">
        <v>11258332</v>
      </c>
      <c r="BK67" s="117">
        <v>40107967</v>
      </c>
      <c r="BL67" s="117">
        <v>40021974</v>
      </c>
      <c r="BM67" s="117">
        <v>0</v>
      </c>
      <c r="BN67" s="117">
        <v>0</v>
      </c>
      <c r="BO67" s="119"/>
      <c r="BP67" s="86">
        <v>394463985.62</v>
      </c>
      <c r="BQ67" s="86">
        <v>270094861.88</v>
      </c>
      <c r="BR67" s="87">
        <v>542535</v>
      </c>
      <c r="BT67" s="114">
        <v>6995</v>
      </c>
      <c r="BU67" s="114">
        <v>2824</v>
      </c>
      <c r="BV67" s="114">
        <v>237</v>
      </c>
      <c r="BW67" s="114">
        <f t="shared" si="15"/>
        <v>10056</v>
      </c>
      <c r="BX67" s="86">
        <v>203702589</v>
      </c>
      <c r="BY67" s="82">
        <f t="shared" si="16"/>
        <v>68702035</v>
      </c>
      <c r="BZ67" s="82">
        <f t="shared" si="17"/>
        <v>2592759</v>
      </c>
      <c r="CA67" s="86">
        <f t="shared" si="18"/>
        <v>23270486</v>
      </c>
      <c r="CB67" s="86">
        <f t="shared" ref="CB67:CB121" si="19">SUM(BX67:CA67)</f>
        <v>298267869</v>
      </c>
    </row>
    <row r="68" spans="1:80" x14ac:dyDescent="0.25">
      <c r="A68" s="91" t="s">
        <v>122</v>
      </c>
      <c r="B68" s="114">
        <v>217355638</v>
      </c>
      <c r="C68" s="114">
        <v>45622026</v>
      </c>
      <c r="D68" s="114">
        <v>111644924</v>
      </c>
      <c r="E68" s="114">
        <v>0</v>
      </c>
      <c r="F68" s="114">
        <v>57815800</v>
      </c>
      <c r="G68" s="114">
        <v>30633900</v>
      </c>
      <c r="H68" s="114">
        <v>14503600</v>
      </c>
      <c r="I68" s="114">
        <v>5070550</v>
      </c>
      <c r="J68" s="114">
        <v>0</v>
      </c>
      <c r="K68" s="114">
        <v>0</v>
      </c>
      <c r="L68" s="114">
        <v>73091634</v>
      </c>
      <c r="M68" s="114">
        <v>56916</v>
      </c>
      <c r="N68" s="114">
        <v>2651</v>
      </c>
      <c r="O68" s="114">
        <v>1349</v>
      </c>
      <c r="P68" s="114">
        <v>1103550</v>
      </c>
      <c r="Q68" s="114">
        <v>136800</v>
      </c>
      <c r="R68" s="114">
        <v>0</v>
      </c>
      <c r="S68" s="114">
        <v>892000</v>
      </c>
      <c r="T68" s="114">
        <v>158000</v>
      </c>
      <c r="U68" s="114">
        <v>45000</v>
      </c>
      <c r="V68" s="114">
        <v>1103550</v>
      </c>
      <c r="W68" s="114">
        <v>200000</v>
      </c>
      <c r="X68" s="114">
        <v>0</v>
      </c>
      <c r="Y68" s="114">
        <v>892000</v>
      </c>
      <c r="Z68" s="114">
        <v>137000</v>
      </c>
      <c r="AA68" s="114">
        <v>45000</v>
      </c>
      <c r="AB68" s="114">
        <v>-7421563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4">
        <v>7855680.3300000001</v>
      </c>
      <c r="AI68" s="114">
        <v>36138000</v>
      </c>
      <c r="AJ68" s="121">
        <v>6598172.1299999999</v>
      </c>
      <c r="AK68" s="82">
        <v>142629077</v>
      </c>
      <c r="AL68" s="83">
        <v>3194316</v>
      </c>
      <c r="AM68" s="114">
        <v>0</v>
      </c>
      <c r="AN68" s="114">
        <v>17083691</v>
      </c>
      <c r="AO68" s="114">
        <v>464465</v>
      </c>
      <c r="AP68" s="114">
        <v>24684556</v>
      </c>
      <c r="AQ68" s="114">
        <v>21228990</v>
      </c>
      <c r="AR68" s="114">
        <v>4195075</v>
      </c>
      <c r="AS68" s="114">
        <v>21801</v>
      </c>
      <c r="AT68" s="114">
        <v>6533</v>
      </c>
      <c r="AU68" s="114">
        <v>0</v>
      </c>
      <c r="AV68" s="114">
        <v>0</v>
      </c>
      <c r="AW68" s="114">
        <v>0</v>
      </c>
      <c r="AX68" s="114">
        <v>79225</v>
      </c>
      <c r="AY68" s="114">
        <v>0</v>
      </c>
      <c r="BD68" s="82">
        <v>7297626.0899999999</v>
      </c>
      <c r="BE68" s="82">
        <v>3721789.3000000003</v>
      </c>
      <c r="BF68" s="117">
        <v>0</v>
      </c>
      <c r="BG68" s="118">
        <v>3066667</v>
      </c>
      <c r="BH68" s="118">
        <v>6133334</v>
      </c>
      <c r="BI68" s="117">
        <v>91354569</v>
      </c>
      <c r="BJ68" s="117">
        <v>91354569</v>
      </c>
      <c r="BK68" s="117">
        <v>75561391.799999997</v>
      </c>
      <c r="BL68" s="117">
        <v>71846203.799999997</v>
      </c>
      <c r="BM68" s="117">
        <v>0</v>
      </c>
      <c r="BN68" s="117">
        <v>0</v>
      </c>
      <c r="BO68" s="119"/>
      <c r="BP68" s="86">
        <v>779804208.55999994</v>
      </c>
      <c r="BQ68" s="86">
        <v>463991586.45999998</v>
      </c>
      <c r="BR68" s="87">
        <v>144750</v>
      </c>
      <c r="BT68" s="114">
        <v>10602</v>
      </c>
      <c r="BU68" s="114">
        <v>2374</v>
      </c>
      <c r="BV68" s="114">
        <v>605</v>
      </c>
      <c r="BW68" s="114">
        <f t="shared" si="15"/>
        <v>13581</v>
      </c>
      <c r="BX68" s="86">
        <v>374622588</v>
      </c>
      <c r="BY68" s="82">
        <f t="shared" si="16"/>
        <v>142629077</v>
      </c>
      <c r="BZ68" s="82">
        <f t="shared" si="17"/>
        <v>3194316</v>
      </c>
      <c r="CA68" s="86">
        <f t="shared" si="18"/>
        <v>38798947</v>
      </c>
      <c r="CB68" s="86">
        <f t="shared" si="19"/>
        <v>559244928</v>
      </c>
    </row>
    <row r="69" spans="1:80" x14ac:dyDescent="0.25">
      <c r="A69" s="91" t="s">
        <v>123</v>
      </c>
      <c r="B69" s="114">
        <v>188064620</v>
      </c>
      <c r="C69" s="114">
        <v>113572715</v>
      </c>
      <c r="D69" s="114">
        <v>36955050</v>
      </c>
      <c r="E69" s="114">
        <v>0</v>
      </c>
      <c r="F69" s="114">
        <v>30430600</v>
      </c>
      <c r="G69" s="114">
        <v>12356300</v>
      </c>
      <c r="H69" s="114">
        <v>10968650</v>
      </c>
      <c r="I69" s="114">
        <v>1790150</v>
      </c>
      <c r="J69" s="114">
        <v>37600</v>
      </c>
      <c r="K69" s="114">
        <v>0</v>
      </c>
      <c r="L69" s="114">
        <v>169912984</v>
      </c>
      <c r="M69" s="114">
        <v>51968520</v>
      </c>
      <c r="N69" s="114">
        <v>1291</v>
      </c>
      <c r="O69" s="114">
        <v>487</v>
      </c>
      <c r="P69" s="114">
        <v>4993235</v>
      </c>
      <c r="Q69" s="114">
        <v>881900</v>
      </c>
      <c r="R69" s="114">
        <v>34000</v>
      </c>
      <c r="S69" s="114">
        <v>1917090</v>
      </c>
      <c r="T69" s="114">
        <v>2228750</v>
      </c>
      <c r="U69" s="114">
        <v>493300</v>
      </c>
      <c r="V69" s="114">
        <v>4993235</v>
      </c>
      <c r="W69" s="114">
        <v>1138800</v>
      </c>
      <c r="X69" s="114">
        <v>34000</v>
      </c>
      <c r="Y69" s="114">
        <v>1917090</v>
      </c>
      <c r="Z69" s="114">
        <v>3205300</v>
      </c>
      <c r="AA69" s="114">
        <v>493300</v>
      </c>
      <c r="AB69" s="114">
        <v>-1177100</v>
      </c>
      <c r="AC69" s="114">
        <v>-667096</v>
      </c>
      <c r="AD69" s="114">
        <v>201912</v>
      </c>
      <c r="AE69" s="114">
        <v>0</v>
      </c>
      <c r="AF69" s="114">
        <v>0</v>
      </c>
      <c r="AG69" s="114">
        <v>288687</v>
      </c>
      <c r="AH69" s="114">
        <v>75844.259999999995</v>
      </c>
      <c r="AI69" s="114">
        <v>70868.850000000006</v>
      </c>
      <c r="AJ69" s="121">
        <v>0</v>
      </c>
      <c r="AK69" s="82">
        <v>79204242</v>
      </c>
      <c r="AL69" s="83">
        <v>1262897</v>
      </c>
      <c r="AM69" s="114">
        <v>0</v>
      </c>
      <c r="AN69" s="114">
        <v>9889253</v>
      </c>
      <c r="AO69" s="114">
        <v>3673762</v>
      </c>
      <c r="AP69" s="114">
        <v>11468729</v>
      </c>
      <c r="AQ69" s="114">
        <v>9141175</v>
      </c>
      <c r="AR69" s="114">
        <v>2309780</v>
      </c>
      <c r="AS69" s="114">
        <v>0</v>
      </c>
      <c r="AT69" s="114">
        <v>153967</v>
      </c>
      <c r="AU69" s="114">
        <v>0</v>
      </c>
      <c r="AV69" s="114">
        <v>0</v>
      </c>
      <c r="AW69" s="114">
        <v>0</v>
      </c>
      <c r="AX69" s="114">
        <v>0</v>
      </c>
      <c r="AY69" s="114">
        <v>3500</v>
      </c>
      <c r="BD69" s="82">
        <v>4051254.44</v>
      </c>
      <c r="BE69" s="82">
        <v>2066139.76</v>
      </c>
      <c r="BF69" s="117">
        <v>44683938</v>
      </c>
      <c r="BG69" s="118">
        <v>3116903</v>
      </c>
      <c r="BH69" s="118">
        <v>6233806</v>
      </c>
      <c r="BI69" s="117">
        <v>55160256</v>
      </c>
      <c r="BJ69" s="117">
        <v>55160256</v>
      </c>
      <c r="BK69" s="117">
        <v>52469600.599999994</v>
      </c>
      <c r="BL69" s="117">
        <v>44459027.599999994</v>
      </c>
      <c r="BM69" s="117">
        <v>0</v>
      </c>
      <c r="BN69" s="117">
        <v>0</v>
      </c>
      <c r="BO69" s="119"/>
      <c r="BP69" s="86">
        <v>546712753.47000003</v>
      </c>
      <c r="BQ69" s="86">
        <v>361443288.11000001</v>
      </c>
      <c r="BR69" s="87">
        <v>1853000</v>
      </c>
      <c r="BT69" s="114">
        <v>6246</v>
      </c>
      <c r="BU69" s="114">
        <v>2984</v>
      </c>
      <c r="BV69" s="114">
        <v>262</v>
      </c>
      <c r="BW69" s="114">
        <f t="shared" si="15"/>
        <v>9492</v>
      </c>
      <c r="BX69" s="86">
        <v>338592385</v>
      </c>
      <c r="BY69" s="82">
        <f t="shared" si="16"/>
        <v>79204242</v>
      </c>
      <c r="BZ69" s="82">
        <f t="shared" si="17"/>
        <v>1262897</v>
      </c>
      <c r="CA69" s="86">
        <f t="shared" si="18"/>
        <v>22704190</v>
      </c>
      <c r="CB69" s="86">
        <f t="shared" si="19"/>
        <v>441763714</v>
      </c>
    </row>
    <row r="70" spans="1:80" x14ac:dyDescent="0.25">
      <c r="A70" s="91" t="s">
        <v>124</v>
      </c>
      <c r="B70" s="114">
        <v>501542663</v>
      </c>
      <c r="C70" s="114">
        <v>182267151</v>
      </c>
      <c r="D70" s="114">
        <v>125863876</v>
      </c>
      <c r="E70" s="114">
        <v>0</v>
      </c>
      <c r="F70" s="114">
        <v>73276520</v>
      </c>
      <c r="G70" s="114">
        <v>16138739</v>
      </c>
      <c r="H70" s="114">
        <v>21181600</v>
      </c>
      <c r="I70" s="114">
        <v>2163190</v>
      </c>
      <c r="J70" s="114">
        <v>263200</v>
      </c>
      <c r="K70" s="114">
        <v>75200</v>
      </c>
      <c r="L70" s="114">
        <v>302322149</v>
      </c>
      <c r="M70" s="114">
        <v>109995952</v>
      </c>
      <c r="N70" s="114">
        <v>2806</v>
      </c>
      <c r="O70" s="114">
        <v>617</v>
      </c>
      <c r="P70" s="114">
        <v>4826196</v>
      </c>
      <c r="Q70" s="114">
        <v>1615465</v>
      </c>
      <c r="R70" s="114">
        <v>909100</v>
      </c>
      <c r="S70" s="114">
        <v>3218320</v>
      </c>
      <c r="T70" s="114">
        <v>1769755</v>
      </c>
      <c r="U70" s="114">
        <v>837800</v>
      </c>
      <c r="V70" s="114">
        <v>4826196</v>
      </c>
      <c r="W70" s="114">
        <v>2933850</v>
      </c>
      <c r="X70" s="114">
        <v>909100</v>
      </c>
      <c r="Y70" s="114">
        <v>3218320</v>
      </c>
      <c r="Z70" s="114">
        <v>2577390</v>
      </c>
      <c r="AA70" s="114">
        <v>837800</v>
      </c>
      <c r="AB70" s="114">
        <v>-3681520</v>
      </c>
      <c r="AC70" s="114">
        <v>0</v>
      </c>
      <c r="AH70" s="114">
        <v>21836.07</v>
      </c>
      <c r="AI70" s="114">
        <v>0</v>
      </c>
      <c r="AJ70" s="121">
        <v>0</v>
      </c>
      <c r="AK70" s="82">
        <v>151322878</v>
      </c>
      <c r="AL70" s="83">
        <v>3959986</v>
      </c>
      <c r="AM70" s="114">
        <v>0</v>
      </c>
      <c r="AN70" s="114">
        <v>14142651</v>
      </c>
      <c r="AO70" s="114">
        <v>4643357</v>
      </c>
      <c r="AP70" s="114">
        <v>14189643</v>
      </c>
      <c r="AQ70" s="114">
        <v>26926716</v>
      </c>
      <c r="AR70" s="114">
        <v>8366893</v>
      </c>
      <c r="AS70" s="114">
        <v>0</v>
      </c>
      <c r="AT70" s="114">
        <v>9873706</v>
      </c>
      <c r="AU70" s="114">
        <v>0</v>
      </c>
      <c r="AV70" s="114">
        <v>0</v>
      </c>
      <c r="AW70" s="114">
        <v>43990</v>
      </c>
      <c r="AX70" s="114">
        <v>522391</v>
      </c>
      <c r="AY70" s="114">
        <v>0</v>
      </c>
      <c r="BD70" s="82">
        <v>7743825.9199999999</v>
      </c>
      <c r="BE70" s="82">
        <v>3949351.2199999997</v>
      </c>
      <c r="BF70" s="117">
        <v>0</v>
      </c>
      <c r="BG70" s="118">
        <v>2690269</v>
      </c>
      <c r="BH70" s="118">
        <v>5380538</v>
      </c>
      <c r="BI70" s="117">
        <v>53989184</v>
      </c>
      <c r="BJ70" s="117">
        <v>53989184</v>
      </c>
      <c r="BK70" s="117">
        <v>104404740.39999998</v>
      </c>
      <c r="BL70" s="117">
        <v>97865471.399999976</v>
      </c>
      <c r="BM70" s="117">
        <v>721</v>
      </c>
      <c r="BN70" s="117">
        <v>0</v>
      </c>
      <c r="BO70" s="119"/>
      <c r="BP70" s="86">
        <v>1169186110.6900001</v>
      </c>
      <c r="BQ70" s="86">
        <v>855408250.07000005</v>
      </c>
      <c r="BR70" s="87">
        <v>513600</v>
      </c>
      <c r="BT70" s="114">
        <v>10650</v>
      </c>
      <c r="BU70" s="114">
        <v>4123</v>
      </c>
      <c r="BV70" s="114">
        <v>779</v>
      </c>
      <c r="BW70" s="114">
        <f t="shared" si="15"/>
        <v>15552</v>
      </c>
      <c r="BX70" s="86">
        <v>809673690</v>
      </c>
      <c r="BY70" s="82">
        <f t="shared" si="16"/>
        <v>151322878</v>
      </c>
      <c r="BZ70" s="82">
        <f t="shared" si="17"/>
        <v>3959986</v>
      </c>
      <c r="CA70" s="86">
        <f t="shared" si="18"/>
        <v>45712724</v>
      </c>
      <c r="CB70" s="86">
        <f t="shared" si="19"/>
        <v>1010669278</v>
      </c>
    </row>
    <row r="71" spans="1:80" x14ac:dyDescent="0.25">
      <c r="A71" s="91" t="s">
        <v>125</v>
      </c>
      <c r="B71" s="114">
        <v>248725148</v>
      </c>
      <c r="C71" s="114">
        <v>120539730</v>
      </c>
      <c r="D71" s="114">
        <v>87361257</v>
      </c>
      <c r="E71" s="114">
        <v>0</v>
      </c>
      <c r="F71" s="114">
        <v>32892250</v>
      </c>
      <c r="G71" s="114">
        <v>6185275</v>
      </c>
      <c r="H71" s="114">
        <v>9495000</v>
      </c>
      <c r="I71" s="114">
        <v>1130400</v>
      </c>
      <c r="J71" s="114">
        <v>75200</v>
      </c>
      <c r="K71" s="114">
        <v>0</v>
      </c>
      <c r="L71" s="114">
        <v>243104305</v>
      </c>
      <c r="M71" s="114">
        <v>66750750</v>
      </c>
      <c r="N71" s="114">
        <v>1218</v>
      </c>
      <c r="O71" s="114">
        <v>227</v>
      </c>
      <c r="P71" s="114">
        <v>2769550</v>
      </c>
      <c r="Q71" s="114">
        <v>1036400</v>
      </c>
      <c r="R71" s="114">
        <v>207600</v>
      </c>
      <c r="S71" s="114">
        <v>3542155</v>
      </c>
      <c r="T71" s="114">
        <v>815400</v>
      </c>
      <c r="U71" s="114">
        <v>751718</v>
      </c>
      <c r="V71" s="114">
        <v>2769550</v>
      </c>
      <c r="W71" s="114">
        <v>1699900</v>
      </c>
      <c r="X71" s="114">
        <v>207600</v>
      </c>
      <c r="Y71" s="114">
        <v>3542155</v>
      </c>
      <c r="Z71" s="114">
        <v>1707500</v>
      </c>
      <c r="AA71" s="114">
        <v>751718</v>
      </c>
      <c r="AB71" s="114">
        <v>-999837</v>
      </c>
      <c r="AC71" s="114">
        <v>-122499</v>
      </c>
      <c r="AD71" s="114">
        <v>88943</v>
      </c>
      <c r="AE71" s="114">
        <v>0</v>
      </c>
      <c r="AF71" s="114">
        <v>0</v>
      </c>
      <c r="AG71" s="114">
        <v>176637</v>
      </c>
      <c r="AH71" s="114">
        <v>0</v>
      </c>
      <c r="AI71" s="114">
        <v>19189655.739999998</v>
      </c>
      <c r="AJ71" s="121">
        <v>0</v>
      </c>
      <c r="AK71" s="82">
        <v>82545401</v>
      </c>
      <c r="AL71" s="83">
        <v>5647386</v>
      </c>
      <c r="AM71" s="114">
        <v>9773443</v>
      </c>
      <c r="AN71" s="114">
        <v>66518655</v>
      </c>
      <c r="AO71" s="114">
        <v>1792767</v>
      </c>
      <c r="AP71" s="114">
        <v>64320558</v>
      </c>
      <c r="AQ71" s="114">
        <v>43544072</v>
      </c>
      <c r="AR71" s="114">
        <v>1151879</v>
      </c>
      <c r="AS71" s="114">
        <v>21251810</v>
      </c>
      <c r="AT71" s="114">
        <v>1647688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BD71" s="82">
        <v>4232628.4099999992</v>
      </c>
      <c r="BE71" s="82">
        <v>2158640.4900000002</v>
      </c>
      <c r="BF71" s="117">
        <v>80177202</v>
      </c>
      <c r="BG71" s="118">
        <v>428134</v>
      </c>
      <c r="BH71" s="118">
        <v>856267</v>
      </c>
      <c r="BI71" s="117">
        <v>140569948</v>
      </c>
      <c r="BJ71" s="117">
        <v>140186921</v>
      </c>
      <c r="BK71" s="117">
        <v>62248842.800000012</v>
      </c>
      <c r="BL71" s="117">
        <v>61574094.800000012</v>
      </c>
      <c r="BM71" s="117">
        <v>0</v>
      </c>
      <c r="BN71" s="117">
        <v>0</v>
      </c>
      <c r="BO71" s="119"/>
      <c r="BP71" s="86">
        <v>880211862.02999997</v>
      </c>
      <c r="BQ71" s="86">
        <v>587671284.74000001</v>
      </c>
      <c r="BR71" s="87">
        <v>490192</v>
      </c>
      <c r="BT71" s="114">
        <v>4941</v>
      </c>
      <c r="BU71" s="114">
        <v>1838</v>
      </c>
      <c r="BV71" s="114">
        <v>391</v>
      </c>
      <c r="BW71" s="114">
        <f t="shared" si="15"/>
        <v>7170</v>
      </c>
      <c r="BX71" s="86">
        <v>456626135</v>
      </c>
      <c r="BY71" s="82">
        <f t="shared" si="16"/>
        <v>82545401</v>
      </c>
      <c r="BZ71" s="82">
        <f t="shared" si="17"/>
        <v>5647386</v>
      </c>
      <c r="CA71" s="86">
        <f t="shared" si="18"/>
        <v>133107304</v>
      </c>
      <c r="CB71" s="86">
        <f t="shared" si="19"/>
        <v>677926226</v>
      </c>
    </row>
    <row r="72" spans="1:80" x14ac:dyDescent="0.25">
      <c r="A72" s="91" t="s">
        <v>126</v>
      </c>
      <c r="B72" s="114">
        <v>633164880</v>
      </c>
      <c r="C72" s="114">
        <v>334744547</v>
      </c>
      <c r="D72" s="114">
        <v>243423233</v>
      </c>
      <c r="E72" s="114">
        <v>0</v>
      </c>
      <c r="F72" s="114">
        <v>74452675</v>
      </c>
      <c r="G72" s="114">
        <v>12217580</v>
      </c>
      <c r="H72" s="114">
        <v>17086520</v>
      </c>
      <c r="I72" s="114">
        <v>1327030</v>
      </c>
      <c r="J72" s="114">
        <v>104200</v>
      </c>
      <c r="K72" s="114">
        <v>0</v>
      </c>
      <c r="L72" s="114">
        <v>1095631407</v>
      </c>
      <c r="M72" s="114">
        <v>139289490</v>
      </c>
      <c r="N72" s="114">
        <v>2572</v>
      </c>
      <c r="O72" s="114">
        <v>401</v>
      </c>
      <c r="P72" s="114">
        <v>9594541</v>
      </c>
      <c r="Q72" s="114">
        <v>6391515</v>
      </c>
      <c r="R72" s="114">
        <v>3952140</v>
      </c>
      <c r="S72" s="114">
        <v>5686189</v>
      </c>
      <c r="T72" s="114">
        <v>2728485</v>
      </c>
      <c r="U72" s="114">
        <v>402651</v>
      </c>
      <c r="V72" s="114">
        <v>9594541</v>
      </c>
      <c r="W72" s="114">
        <v>13006420</v>
      </c>
      <c r="X72" s="114">
        <v>3952140</v>
      </c>
      <c r="Y72" s="114">
        <v>5686189</v>
      </c>
      <c r="Z72" s="114">
        <v>3443180</v>
      </c>
      <c r="AA72" s="114">
        <v>402651</v>
      </c>
      <c r="AB72" s="114">
        <v>-3301534</v>
      </c>
      <c r="AC72" s="114">
        <v>-4093513</v>
      </c>
      <c r="AD72" s="114">
        <v>107003</v>
      </c>
      <c r="AE72" s="114">
        <v>0</v>
      </c>
      <c r="AF72" s="114">
        <v>683049496</v>
      </c>
      <c r="AG72" s="114">
        <v>323299</v>
      </c>
      <c r="AH72" s="114">
        <v>17532.79</v>
      </c>
      <c r="AI72" s="114">
        <v>238622.95</v>
      </c>
      <c r="AJ72" s="121">
        <v>0</v>
      </c>
      <c r="AK72" s="82">
        <v>189410916</v>
      </c>
      <c r="AL72" s="83">
        <v>5426565</v>
      </c>
      <c r="AM72" s="114">
        <v>0</v>
      </c>
      <c r="AN72" s="114">
        <v>45159730</v>
      </c>
      <c r="AO72" s="114">
        <v>18389049</v>
      </c>
      <c r="AP72" s="114">
        <v>716332968</v>
      </c>
      <c r="AQ72" s="114">
        <v>93421582</v>
      </c>
      <c r="AR72" s="114">
        <v>299530206</v>
      </c>
      <c r="AS72" s="114">
        <v>59204830</v>
      </c>
      <c r="AT72" s="114">
        <v>5280890</v>
      </c>
      <c r="AU72" s="114">
        <v>0</v>
      </c>
      <c r="AV72" s="114">
        <v>520122</v>
      </c>
      <c r="AW72" s="114">
        <v>17848422</v>
      </c>
      <c r="AX72" s="114">
        <v>11376992</v>
      </c>
      <c r="AY72" s="114">
        <v>942500</v>
      </c>
      <c r="BD72" s="82">
        <v>9694086.8499999996</v>
      </c>
      <c r="BE72" s="82">
        <v>4943984.29</v>
      </c>
      <c r="BF72" s="117">
        <v>0</v>
      </c>
      <c r="BG72" s="118">
        <v>2755501</v>
      </c>
      <c r="BH72" s="118">
        <v>5511003</v>
      </c>
      <c r="BI72" s="117">
        <v>12945264</v>
      </c>
      <c r="BJ72" s="117">
        <v>12945264</v>
      </c>
      <c r="BK72" s="117">
        <v>64902433.800000012</v>
      </c>
      <c r="BL72" s="117">
        <v>58925240.800000012</v>
      </c>
      <c r="BM72" s="117">
        <v>0</v>
      </c>
      <c r="BN72" s="117">
        <v>5958441</v>
      </c>
      <c r="BO72" s="119"/>
      <c r="BP72" s="86">
        <v>1648925088.8299999</v>
      </c>
      <c r="BQ72" s="86">
        <v>1368559176.74</v>
      </c>
      <c r="BR72" s="87">
        <v>3753392</v>
      </c>
      <c r="BT72" s="114">
        <v>11998</v>
      </c>
      <c r="BU72" s="114">
        <v>5034</v>
      </c>
      <c r="BV72" s="114">
        <v>958</v>
      </c>
      <c r="BW72" s="114">
        <f t="shared" si="15"/>
        <v>17990</v>
      </c>
      <c r="BX72" s="86">
        <v>1211332660</v>
      </c>
      <c r="BY72" s="82">
        <f t="shared" si="16"/>
        <v>189410916</v>
      </c>
      <c r="BZ72" s="82">
        <f t="shared" si="17"/>
        <v>5426565</v>
      </c>
      <c r="CA72" s="86">
        <f t="shared" si="18"/>
        <v>216175191</v>
      </c>
      <c r="CB72" s="86">
        <f t="shared" si="19"/>
        <v>1622345332</v>
      </c>
    </row>
    <row r="73" spans="1:80" x14ac:dyDescent="0.25">
      <c r="A73" s="91" t="s">
        <v>127</v>
      </c>
      <c r="B73" s="114">
        <v>491561894</v>
      </c>
      <c r="C73" s="114">
        <v>63947713</v>
      </c>
      <c r="D73" s="114">
        <v>91392604</v>
      </c>
      <c r="E73" s="114">
        <v>0</v>
      </c>
      <c r="F73" s="114">
        <v>30914160</v>
      </c>
      <c r="G73" s="114">
        <v>5865400</v>
      </c>
      <c r="H73" s="114">
        <v>6176112</v>
      </c>
      <c r="I73" s="114">
        <v>729200</v>
      </c>
      <c r="J73" s="114">
        <v>112800</v>
      </c>
      <c r="K73" s="114">
        <v>0</v>
      </c>
      <c r="L73" s="114">
        <v>170079343</v>
      </c>
      <c r="M73" s="114">
        <v>45007830</v>
      </c>
      <c r="N73" s="114">
        <v>1028</v>
      </c>
      <c r="O73" s="114">
        <v>196</v>
      </c>
      <c r="P73" s="114">
        <v>4916980</v>
      </c>
      <c r="Q73" s="114">
        <v>858000</v>
      </c>
      <c r="R73" s="114">
        <v>1472960</v>
      </c>
      <c r="S73" s="114">
        <v>2807954</v>
      </c>
      <c r="T73" s="114">
        <v>876144</v>
      </c>
      <c r="U73" s="114">
        <v>362400</v>
      </c>
      <c r="V73" s="114">
        <v>4916980</v>
      </c>
      <c r="W73" s="114">
        <v>880525</v>
      </c>
      <c r="X73" s="114">
        <v>1472960</v>
      </c>
      <c r="Y73" s="114">
        <v>2807954</v>
      </c>
      <c r="Z73" s="114">
        <v>1756178</v>
      </c>
      <c r="AA73" s="114">
        <v>362400</v>
      </c>
      <c r="AB73" s="114">
        <v>-2161132</v>
      </c>
      <c r="AC73" s="114">
        <v>0</v>
      </c>
      <c r="AD73" s="114">
        <v>28895</v>
      </c>
      <c r="AE73" s="114">
        <v>0</v>
      </c>
      <c r="AG73" s="114">
        <v>62157</v>
      </c>
      <c r="AH73" s="114">
        <v>0</v>
      </c>
      <c r="AI73" s="114">
        <v>0</v>
      </c>
      <c r="AJ73" s="121">
        <v>0</v>
      </c>
      <c r="AK73" s="82">
        <v>65719390</v>
      </c>
      <c r="AL73" s="83">
        <v>14432180</v>
      </c>
      <c r="AM73" s="114">
        <v>2925381</v>
      </c>
      <c r="AN73" s="114">
        <v>12595651</v>
      </c>
      <c r="AO73" s="114">
        <v>387287</v>
      </c>
      <c r="AP73" s="114">
        <v>2039137</v>
      </c>
      <c r="AQ73" s="114">
        <v>8305915</v>
      </c>
      <c r="AR73" s="114">
        <v>5578828</v>
      </c>
      <c r="AS73" s="114">
        <v>25479589</v>
      </c>
      <c r="AT73" s="114">
        <v>201950</v>
      </c>
      <c r="AV73" s="114">
        <v>12523</v>
      </c>
      <c r="AX73" s="114">
        <v>2080</v>
      </c>
      <c r="BD73" s="82">
        <v>3393882.75</v>
      </c>
      <c r="BE73" s="82">
        <v>1730880.21</v>
      </c>
      <c r="BF73" s="117">
        <v>33766839</v>
      </c>
      <c r="BG73" s="118">
        <v>1121695</v>
      </c>
      <c r="BH73" s="118">
        <v>2243391</v>
      </c>
      <c r="BI73" s="117">
        <v>13045438</v>
      </c>
      <c r="BJ73" s="117">
        <v>11063471</v>
      </c>
      <c r="BK73" s="117">
        <v>20520380.199999999</v>
      </c>
      <c r="BL73" s="117">
        <v>19145625.199999999</v>
      </c>
      <c r="BM73" s="117">
        <v>0</v>
      </c>
      <c r="BN73" s="117">
        <v>0</v>
      </c>
      <c r="BO73" s="119"/>
      <c r="BP73" s="86">
        <v>781404305.41000009</v>
      </c>
      <c r="BQ73" s="86">
        <v>668191064</v>
      </c>
      <c r="BR73" s="87">
        <v>681625</v>
      </c>
      <c r="BT73" s="114">
        <v>6661</v>
      </c>
      <c r="BU73" s="114">
        <v>1064</v>
      </c>
      <c r="BV73" s="114">
        <v>307</v>
      </c>
      <c r="BW73" s="114">
        <f t="shared" si="15"/>
        <v>8032</v>
      </c>
      <c r="BX73" s="86">
        <v>646902211</v>
      </c>
      <c r="BY73" s="82">
        <f t="shared" si="16"/>
        <v>65719390</v>
      </c>
      <c r="BZ73" s="82">
        <f t="shared" si="17"/>
        <v>14432180</v>
      </c>
      <c r="CA73" s="86">
        <f t="shared" si="18"/>
        <v>46768442</v>
      </c>
      <c r="CB73" s="86">
        <f t="shared" si="19"/>
        <v>773822223</v>
      </c>
    </row>
    <row r="74" spans="1:80" x14ac:dyDescent="0.25">
      <c r="A74" s="91" t="s">
        <v>128</v>
      </c>
      <c r="B74" s="114">
        <v>2602699395</v>
      </c>
      <c r="C74" s="114">
        <v>155115333</v>
      </c>
      <c r="D74" s="114">
        <v>1240219838</v>
      </c>
      <c r="E74" s="114">
        <v>7815000</v>
      </c>
      <c r="F74" s="114">
        <v>220942536</v>
      </c>
      <c r="G74" s="114">
        <v>26262374</v>
      </c>
      <c r="H74" s="114">
        <v>11146127</v>
      </c>
      <c r="I74" s="114">
        <v>885638</v>
      </c>
      <c r="J74" s="114">
        <v>669800</v>
      </c>
      <c r="K74" s="114">
        <v>75200</v>
      </c>
      <c r="L74" s="114">
        <v>210516097</v>
      </c>
      <c r="N74" s="114">
        <v>6448</v>
      </c>
      <c r="O74" s="114">
        <v>835</v>
      </c>
      <c r="P74" s="114">
        <v>43020134</v>
      </c>
      <c r="Q74" s="114">
        <v>16408767</v>
      </c>
      <c r="R74" s="114">
        <v>43108841</v>
      </c>
      <c r="S74" s="114">
        <v>20679440</v>
      </c>
      <c r="T74" s="114">
        <v>3495012</v>
      </c>
      <c r="U74" s="114">
        <v>4669800</v>
      </c>
      <c r="V74" s="114">
        <v>43020134</v>
      </c>
      <c r="W74" s="114">
        <v>20327508</v>
      </c>
      <c r="X74" s="114">
        <v>43108841</v>
      </c>
      <c r="Y74" s="114">
        <v>20679440</v>
      </c>
      <c r="Z74" s="114">
        <v>6298452</v>
      </c>
      <c r="AA74" s="114">
        <v>4669800</v>
      </c>
      <c r="AB74" s="114">
        <v>-10779851</v>
      </c>
      <c r="AC74" s="114">
        <v>-34903562</v>
      </c>
      <c r="AH74" s="114">
        <v>0</v>
      </c>
      <c r="AI74" s="114">
        <v>1729.51</v>
      </c>
      <c r="AJ74" s="121">
        <v>0</v>
      </c>
      <c r="AK74" s="82">
        <v>513816569</v>
      </c>
      <c r="AL74" s="83">
        <v>15210457</v>
      </c>
      <c r="AM74" s="114">
        <v>10000</v>
      </c>
      <c r="AN74" s="114">
        <v>225832049</v>
      </c>
      <c r="AO74" s="114">
        <v>15524097</v>
      </c>
      <c r="AP74" s="114">
        <v>56943085</v>
      </c>
      <c r="AQ74" s="114">
        <v>246974759</v>
      </c>
      <c r="AR74" s="114">
        <v>122889018</v>
      </c>
      <c r="AS74" s="114">
        <v>35029065</v>
      </c>
      <c r="AT74" s="114">
        <v>2535031</v>
      </c>
      <c r="AU74" s="114">
        <v>0</v>
      </c>
      <c r="AV74" s="114">
        <v>0</v>
      </c>
      <c r="AW74" s="114">
        <v>0</v>
      </c>
      <c r="AX74" s="114">
        <v>11414012</v>
      </c>
      <c r="AY74" s="114">
        <v>28365398</v>
      </c>
      <c r="BD74" s="82">
        <v>26298415.16</v>
      </c>
      <c r="BE74" s="82">
        <v>13412191.73</v>
      </c>
      <c r="BF74" s="117">
        <v>32598964</v>
      </c>
      <c r="BG74" s="118">
        <v>5521500</v>
      </c>
      <c r="BH74" s="118">
        <v>11043000</v>
      </c>
      <c r="BI74" s="117">
        <v>83658722</v>
      </c>
      <c r="BJ74" s="117">
        <v>73763800</v>
      </c>
      <c r="BK74" s="117">
        <v>130405688.19999999</v>
      </c>
      <c r="BL74" s="117">
        <v>108942135.19999999</v>
      </c>
      <c r="BM74" s="117">
        <v>22189</v>
      </c>
      <c r="BN74" s="117">
        <v>54652219</v>
      </c>
      <c r="BO74" s="119"/>
      <c r="BP74" s="86">
        <v>5271708261.4399996</v>
      </c>
      <c r="BQ74" s="86">
        <v>4486367200.5100002</v>
      </c>
      <c r="BR74" s="87">
        <v>4971898</v>
      </c>
      <c r="BT74" s="114">
        <v>28839</v>
      </c>
      <c r="BU74" s="114">
        <v>1943</v>
      </c>
      <c r="BV74" s="114">
        <v>2441</v>
      </c>
      <c r="BW74" s="114">
        <f t="shared" si="15"/>
        <v>33223</v>
      </c>
      <c r="BX74" s="86">
        <v>3998034566</v>
      </c>
      <c r="BY74" s="82">
        <f t="shared" si="16"/>
        <v>513816569</v>
      </c>
      <c r="BZ74" s="82">
        <f t="shared" si="17"/>
        <v>15210457</v>
      </c>
      <c r="CA74" s="86">
        <f t="shared" si="18"/>
        <v>523359970</v>
      </c>
      <c r="CB74" s="86">
        <f t="shared" si="19"/>
        <v>5050421562</v>
      </c>
    </row>
    <row r="75" spans="1:80" x14ac:dyDescent="0.25">
      <c r="A75" s="91" t="s">
        <v>129</v>
      </c>
      <c r="B75" s="114">
        <v>234448304</v>
      </c>
      <c r="C75" s="114">
        <v>41127793</v>
      </c>
      <c r="D75" s="114">
        <v>84453710</v>
      </c>
      <c r="E75" s="114">
        <v>0</v>
      </c>
      <c r="F75" s="114">
        <v>47307950</v>
      </c>
      <c r="G75" s="114">
        <v>19613635</v>
      </c>
      <c r="H75" s="114">
        <v>6005800</v>
      </c>
      <c r="I75" s="114">
        <v>1173350</v>
      </c>
      <c r="J75" s="114">
        <v>57600</v>
      </c>
      <c r="K75" s="114">
        <v>30000</v>
      </c>
      <c r="L75" s="114">
        <v>24587567</v>
      </c>
      <c r="M75" s="114">
        <v>0</v>
      </c>
      <c r="N75" s="114">
        <v>1596</v>
      </c>
      <c r="O75" s="114">
        <v>685</v>
      </c>
      <c r="P75" s="114">
        <v>3978400</v>
      </c>
      <c r="Q75" s="114">
        <v>44000</v>
      </c>
      <c r="R75" s="114">
        <v>1340000</v>
      </c>
      <c r="S75" s="114">
        <v>3450900</v>
      </c>
      <c r="T75" s="114">
        <v>3663500</v>
      </c>
      <c r="U75" s="114">
        <v>939800</v>
      </c>
      <c r="V75" s="114">
        <v>3978400</v>
      </c>
      <c r="W75" s="114">
        <v>70000</v>
      </c>
      <c r="X75" s="114">
        <v>1340000</v>
      </c>
      <c r="Y75" s="114">
        <v>3450900</v>
      </c>
      <c r="Z75" s="114">
        <v>5121600</v>
      </c>
      <c r="AA75" s="114">
        <v>939800</v>
      </c>
      <c r="AB75" s="114">
        <v>-2990000</v>
      </c>
      <c r="AC75" s="114">
        <v>0</v>
      </c>
      <c r="AD75" s="114">
        <v>0</v>
      </c>
      <c r="AE75" s="114">
        <v>0</v>
      </c>
      <c r="AF75" s="114">
        <v>0</v>
      </c>
      <c r="AG75" s="114">
        <v>0</v>
      </c>
      <c r="AH75" s="114">
        <v>203409.84</v>
      </c>
      <c r="AI75" s="114">
        <v>353778.69</v>
      </c>
      <c r="AJ75" s="121">
        <v>29229.51</v>
      </c>
      <c r="AK75" s="82">
        <v>63386185</v>
      </c>
      <c r="AL75" s="83">
        <v>2196080</v>
      </c>
      <c r="AM75" s="114">
        <v>0</v>
      </c>
      <c r="AN75" s="114">
        <v>6784529</v>
      </c>
      <c r="AO75" s="114">
        <v>60269</v>
      </c>
      <c r="AP75" s="114">
        <v>4093922</v>
      </c>
      <c r="AQ75" s="114">
        <v>9044813</v>
      </c>
      <c r="AR75" s="114">
        <v>5769893</v>
      </c>
      <c r="AS75" s="114">
        <v>0</v>
      </c>
      <c r="AT75" s="114">
        <v>1285490</v>
      </c>
      <c r="AU75" s="114">
        <v>0</v>
      </c>
      <c r="AV75" s="114">
        <v>0</v>
      </c>
      <c r="AW75" s="114">
        <v>0</v>
      </c>
      <c r="AX75" s="114">
        <v>0</v>
      </c>
      <c r="AY75" s="114">
        <v>14000</v>
      </c>
      <c r="BD75" s="82">
        <v>3245036.33</v>
      </c>
      <c r="BE75" s="82">
        <v>1654968.52</v>
      </c>
      <c r="BF75" s="117">
        <v>0</v>
      </c>
      <c r="BG75" s="118">
        <v>4035404</v>
      </c>
      <c r="BH75" s="118">
        <v>8070807</v>
      </c>
      <c r="BI75" s="117">
        <v>38959502</v>
      </c>
      <c r="BJ75" s="117">
        <v>38959502</v>
      </c>
      <c r="BK75" s="117">
        <v>44988433.800000004</v>
      </c>
      <c r="BL75" s="117">
        <v>37449289.800000004</v>
      </c>
      <c r="BM75" s="117">
        <v>0</v>
      </c>
      <c r="BN75" s="117">
        <v>0</v>
      </c>
      <c r="BO75" s="119"/>
      <c r="BP75" s="86">
        <v>524187265.35999995</v>
      </c>
      <c r="BQ75" s="86">
        <v>376505836.03999996</v>
      </c>
      <c r="BR75" s="87">
        <v>642100</v>
      </c>
      <c r="BT75" s="114">
        <v>8267</v>
      </c>
      <c r="BU75" s="114">
        <v>1008</v>
      </c>
      <c r="BV75" s="114">
        <v>557</v>
      </c>
      <c r="BW75" s="114">
        <f t="shared" si="15"/>
        <v>9832</v>
      </c>
      <c r="BX75" s="86">
        <v>360029807</v>
      </c>
      <c r="BY75" s="82">
        <f t="shared" si="16"/>
        <v>63386185</v>
      </c>
      <c r="BZ75" s="82">
        <f t="shared" si="17"/>
        <v>2196080</v>
      </c>
      <c r="CA75" s="86">
        <f t="shared" si="18"/>
        <v>15889611</v>
      </c>
      <c r="CB75" s="86">
        <f t="shared" si="19"/>
        <v>441501683</v>
      </c>
    </row>
    <row r="76" spans="1:80" x14ac:dyDescent="0.25">
      <c r="A76" s="91" t="s">
        <v>130</v>
      </c>
      <c r="B76" s="114">
        <v>189470146</v>
      </c>
      <c r="C76" s="114">
        <v>153752031</v>
      </c>
      <c r="D76" s="114">
        <v>59489373</v>
      </c>
      <c r="E76" s="114">
        <v>0</v>
      </c>
      <c r="F76" s="114">
        <v>29573660</v>
      </c>
      <c r="G76" s="114">
        <v>8316650</v>
      </c>
      <c r="H76" s="114">
        <v>6533300</v>
      </c>
      <c r="I76" s="114">
        <v>664300</v>
      </c>
      <c r="J76" s="114">
        <v>55700</v>
      </c>
      <c r="K76" s="114">
        <v>0</v>
      </c>
      <c r="L76" s="114">
        <v>387571455</v>
      </c>
      <c r="M76" s="114">
        <v>41573002</v>
      </c>
      <c r="N76" s="114">
        <v>1058</v>
      </c>
      <c r="O76" s="114">
        <v>279</v>
      </c>
      <c r="P76" s="114">
        <v>2513108</v>
      </c>
      <c r="Q76" s="114">
        <v>1825660</v>
      </c>
      <c r="R76" s="114">
        <v>32500</v>
      </c>
      <c r="S76" s="114">
        <v>180791</v>
      </c>
      <c r="T76" s="114">
        <v>515530</v>
      </c>
      <c r="U76" s="114">
        <v>16000</v>
      </c>
      <c r="V76" s="114">
        <v>2513108</v>
      </c>
      <c r="W76" s="114">
        <v>1825660</v>
      </c>
      <c r="X76" s="114">
        <v>32500</v>
      </c>
      <c r="Y76" s="114">
        <v>180791</v>
      </c>
      <c r="Z76" s="114">
        <v>779530</v>
      </c>
      <c r="AA76" s="114">
        <v>16000</v>
      </c>
      <c r="AB76" s="114">
        <v>-1742778</v>
      </c>
      <c r="AC76" s="114">
        <v>0</v>
      </c>
      <c r="AD76" s="114">
        <v>15800</v>
      </c>
      <c r="AE76" s="114">
        <v>2938</v>
      </c>
      <c r="AF76" s="114">
        <v>6188514</v>
      </c>
      <c r="AG76" s="114">
        <v>153962</v>
      </c>
      <c r="AH76" s="114">
        <v>5158147.54</v>
      </c>
      <c r="AI76" s="114">
        <v>3385.25</v>
      </c>
      <c r="AJ76" s="121">
        <v>7352975.4100000001</v>
      </c>
      <c r="AK76" s="82">
        <v>78433787</v>
      </c>
      <c r="AL76" s="83">
        <v>2503119</v>
      </c>
      <c r="AM76" s="114">
        <v>0</v>
      </c>
      <c r="AN76" s="114">
        <v>24193753</v>
      </c>
      <c r="AO76" s="114">
        <v>1322105</v>
      </c>
      <c r="AP76" s="114">
        <v>16091777</v>
      </c>
      <c r="AQ76" s="114">
        <v>15451971</v>
      </c>
      <c r="AR76" s="114">
        <v>6791813</v>
      </c>
      <c r="AS76" s="114">
        <v>0</v>
      </c>
      <c r="AT76" s="114">
        <v>20979996</v>
      </c>
      <c r="AU76" s="114">
        <v>0</v>
      </c>
      <c r="AV76" s="114">
        <v>1530894</v>
      </c>
      <c r="AW76" s="114">
        <v>14922386</v>
      </c>
      <c r="AX76" s="114">
        <v>0</v>
      </c>
      <c r="AY76" s="114">
        <v>102000</v>
      </c>
      <c r="BD76" s="82">
        <v>4014875.39</v>
      </c>
      <c r="BE76" s="82">
        <v>2047586.45</v>
      </c>
      <c r="BF76" s="117">
        <v>14522280</v>
      </c>
      <c r="BG76" s="118">
        <v>0</v>
      </c>
      <c r="BH76" s="118">
        <v>0</v>
      </c>
      <c r="BI76" s="117">
        <v>7647189</v>
      </c>
      <c r="BJ76" s="117">
        <v>7647189</v>
      </c>
      <c r="BK76" s="117">
        <v>23066874.400000002</v>
      </c>
      <c r="BL76" s="117">
        <v>23066874.400000002</v>
      </c>
      <c r="BM76" s="117">
        <v>0</v>
      </c>
      <c r="BN76" s="117">
        <v>0</v>
      </c>
      <c r="BO76" s="119"/>
      <c r="BP76" s="86">
        <v>569892443.05000007</v>
      </c>
      <c r="BQ76" s="86">
        <v>456193887.20000005</v>
      </c>
      <c r="BR76" s="87">
        <v>574394</v>
      </c>
      <c r="BT76" s="114">
        <v>4181</v>
      </c>
      <c r="BU76" s="114">
        <v>2088</v>
      </c>
      <c r="BV76" s="114">
        <v>304</v>
      </c>
      <c r="BW76" s="114">
        <f t="shared" si="15"/>
        <v>6573</v>
      </c>
      <c r="BX76" s="86">
        <v>402711550</v>
      </c>
      <c r="BY76" s="82">
        <f t="shared" si="16"/>
        <v>78433787</v>
      </c>
      <c r="BZ76" s="82">
        <f t="shared" si="17"/>
        <v>2503119</v>
      </c>
      <c r="CA76" s="86">
        <f t="shared" si="18"/>
        <v>40967829</v>
      </c>
      <c r="CB76" s="86">
        <f t="shared" si="19"/>
        <v>524616285</v>
      </c>
    </row>
    <row r="77" spans="1:80" x14ac:dyDescent="0.25">
      <c r="A77" s="91" t="s">
        <v>131</v>
      </c>
      <c r="B77" s="114">
        <v>3285531840</v>
      </c>
      <c r="C77" s="114">
        <v>288361804</v>
      </c>
      <c r="D77" s="114">
        <v>1104611602</v>
      </c>
      <c r="E77" s="114">
        <v>0</v>
      </c>
      <c r="F77" s="114">
        <v>223409450</v>
      </c>
      <c r="G77" s="114">
        <v>22581730</v>
      </c>
      <c r="H77" s="114">
        <v>21746579</v>
      </c>
      <c r="I77" s="114">
        <v>1284100</v>
      </c>
      <c r="J77" s="114">
        <v>564000</v>
      </c>
      <c r="K77" s="114">
        <v>0</v>
      </c>
      <c r="L77" s="114">
        <v>467009270</v>
      </c>
      <c r="M77" s="114">
        <v>211414780</v>
      </c>
      <c r="N77" s="114">
        <v>6735</v>
      </c>
      <c r="O77" s="114">
        <v>689</v>
      </c>
      <c r="P77" s="114">
        <v>73846407</v>
      </c>
      <c r="Q77" s="114">
        <v>5281436</v>
      </c>
      <c r="R77" s="114">
        <v>21254833</v>
      </c>
      <c r="S77" s="114">
        <v>18630086</v>
      </c>
      <c r="T77" s="114">
        <v>5346441</v>
      </c>
      <c r="U77" s="114">
        <v>12897953</v>
      </c>
      <c r="V77" s="114">
        <v>73846407</v>
      </c>
      <c r="W77" s="114">
        <v>6028936</v>
      </c>
      <c r="X77" s="114">
        <v>21254833</v>
      </c>
      <c r="Y77" s="114">
        <v>18630086</v>
      </c>
      <c r="Z77" s="114">
        <v>11522767</v>
      </c>
      <c r="AA77" s="114">
        <v>12897953</v>
      </c>
      <c r="AB77" s="114">
        <v>-3595815</v>
      </c>
      <c r="AC77" s="114">
        <v>-16471966</v>
      </c>
      <c r="AD77" s="114">
        <v>2222</v>
      </c>
      <c r="AE77" s="114">
        <v>11217</v>
      </c>
      <c r="AF77" s="114">
        <v>92357018</v>
      </c>
      <c r="AG77" s="114">
        <v>249518</v>
      </c>
      <c r="AH77" s="114">
        <v>0</v>
      </c>
      <c r="AI77" s="114">
        <v>885254.1</v>
      </c>
      <c r="AJ77" s="121">
        <v>0</v>
      </c>
      <c r="AK77" s="82">
        <v>592106602</v>
      </c>
      <c r="AL77" s="83">
        <v>13269039</v>
      </c>
      <c r="AM77" s="114">
        <v>0</v>
      </c>
      <c r="AN77" s="114">
        <v>150103338</v>
      </c>
      <c r="AO77" s="114">
        <v>19334640</v>
      </c>
      <c r="AP77" s="114">
        <v>562985498</v>
      </c>
      <c r="AQ77" s="114">
        <v>138891521</v>
      </c>
      <c r="AR77" s="114">
        <v>181267227</v>
      </c>
      <c r="AS77" s="114">
        <v>95412279</v>
      </c>
      <c r="AT77" s="114">
        <f>4639048+95023247</f>
        <v>99662295</v>
      </c>
      <c r="AU77" s="114">
        <v>0</v>
      </c>
      <c r="AV77" s="114">
        <v>0</v>
      </c>
      <c r="AW77" s="114">
        <v>1375140</v>
      </c>
      <c r="AX77" s="114">
        <v>167386</v>
      </c>
      <c r="AY77" s="114">
        <v>696679</v>
      </c>
      <c r="BD77" s="82">
        <v>30295193.09</v>
      </c>
      <c r="BE77" s="82">
        <v>15450548.48</v>
      </c>
      <c r="BF77" s="117">
        <v>0</v>
      </c>
      <c r="BG77" s="118">
        <v>2206651</v>
      </c>
      <c r="BH77" s="118">
        <v>4413301</v>
      </c>
      <c r="BI77" s="117">
        <v>58427664</v>
      </c>
      <c r="BJ77" s="117">
        <v>58427664</v>
      </c>
      <c r="BK77" s="117">
        <v>137472595</v>
      </c>
      <c r="BL77" s="117">
        <v>133913974.00000001</v>
      </c>
      <c r="BM77" s="117">
        <v>0</v>
      </c>
      <c r="BN77" s="117">
        <v>0</v>
      </c>
      <c r="BO77" s="119"/>
      <c r="BP77" s="86">
        <v>5803094477.5799999</v>
      </c>
      <c r="BQ77" s="86">
        <v>4987719999.1000004</v>
      </c>
      <c r="BR77" s="87">
        <v>3264114</v>
      </c>
      <c r="BT77" s="114">
        <v>29342</v>
      </c>
      <c r="BU77" s="114">
        <v>3614</v>
      </c>
      <c r="BV77" s="114">
        <v>2341</v>
      </c>
      <c r="BW77" s="114">
        <f t="shared" si="15"/>
        <v>35297</v>
      </c>
      <c r="BX77" s="86">
        <v>4678505246</v>
      </c>
      <c r="BY77" s="82">
        <f t="shared" si="16"/>
        <v>592106602</v>
      </c>
      <c r="BZ77" s="82">
        <f t="shared" si="17"/>
        <v>13269039</v>
      </c>
      <c r="CA77" s="86">
        <f t="shared" si="18"/>
        <v>403741778</v>
      </c>
      <c r="CB77" s="86">
        <f t="shared" si="19"/>
        <v>5687622665</v>
      </c>
    </row>
    <row r="78" spans="1:80" x14ac:dyDescent="0.25">
      <c r="A78" s="91" t="s">
        <v>132</v>
      </c>
      <c r="B78" s="114">
        <v>108190900</v>
      </c>
      <c r="C78" s="114">
        <v>47440808</v>
      </c>
      <c r="D78" s="114">
        <v>40552011</v>
      </c>
      <c r="E78" s="114">
        <v>0</v>
      </c>
      <c r="F78" s="114">
        <v>21968800</v>
      </c>
      <c r="G78" s="114">
        <v>24530010</v>
      </c>
      <c r="H78" s="114">
        <v>9778771</v>
      </c>
      <c r="I78" s="114">
        <v>7407390</v>
      </c>
      <c r="J78" s="114">
        <v>0</v>
      </c>
      <c r="K78" s="114">
        <v>0</v>
      </c>
      <c r="L78" s="114">
        <v>80002240</v>
      </c>
      <c r="M78" s="114">
        <v>37763450</v>
      </c>
      <c r="N78" s="114">
        <v>1071</v>
      </c>
      <c r="O78" s="114">
        <v>1197</v>
      </c>
      <c r="P78" s="114">
        <v>1280500</v>
      </c>
      <c r="Q78" s="114">
        <v>528100</v>
      </c>
      <c r="R78" s="114">
        <v>85000</v>
      </c>
      <c r="S78" s="114">
        <v>4169850</v>
      </c>
      <c r="T78" s="114">
        <v>237400</v>
      </c>
      <c r="U78" s="114">
        <v>1417000</v>
      </c>
      <c r="V78" s="114">
        <v>1280500</v>
      </c>
      <c r="W78" s="114">
        <v>577500</v>
      </c>
      <c r="X78" s="114">
        <v>85000</v>
      </c>
      <c r="Y78" s="114">
        <v>4169850</v>
      </c>
      <c r="Z78" s="114">
        <v>210200</v>
      </c>
      <c r="AA78" s="114">
        <v>1417000</v>
      </c>
      <c r="AB78" s="114">
        <v>-1781200</v>
      </c>
      <c r="AC78" s="114">
        <v>0</v>
      </c>
      <c r="AD78" s="114">
        <v>147423</v>
      </c>
      <c r="AE78" s="114">
        <v>0</v>
      </c>
      <c r="AF78" s="114">
        <v>0</v>
      </c>
      <c r="AG78" s="114">
        <v>190520</v>
      </c>
      <c r="AH78" s="114">
        <v>3945286.89</v>
      </c>
      <c r="AI78" s="114">
        <v>3646213.11</v>
      </c>
      <c r="AJ78" s="121">
        <v>133516.39000000001</v>
      </c>
      <c r="AK78" s="82">
        <v>75639631</v>
      </c>
      <c r="AL78" s="83">
        <v>1441103</v>
      </c>
      <c r="AM78" s="114">
        <v>0</v>
      </c>
      <c r="AN78" s="114">
        <v>20887766</v>
      </c>
      <c r="AO78" s="114">
        <v>106338</v>
      </c>
      <c r="AP78" s="114">
        <v>917383</v>
      </c>
      <c r="AQ78" s="114">
        <v>9628556</v>
      </c>
      <c r="AR78" s="114">
        <v>528068</v>
      </c>
      <c r="AS78" s="114">
        <v>0</v>
      </c>
      <c r="AT78" s="114">
        <v>312929</v>
      </c>
      <c r="AU78" s="114">
        <v>0</v>
      </c>
      <c r="AV78" s="114">
        <v>0</v>
      </c>
      <c r="AW78" s="114">
        <v>0</v>
      </c>
      <c r="AX78" s="114">
        <v>0</v>
      </c>
      <c r="AY78" s="114">
        <v>0</v>
      </c>
      <c r="BD78" s="82">
        <v>3869494.97</v>
      </c>
      <c r="BE78" s="82">
        <v>1973442.4400000002</v>
      </c>
      <c r="BF78" s="117">
        <v>0</v>
      </c>
      <c r="BG78" s="118">
        <v>0</v>
      </c>
      <c r="BH78" s="118">
        <v>0</v>
      </c>
      <c r="BI78" s="117">
        <v>2000237</v>
      </c>
      <c r="BJ78" s="117">
        <v>2000237</v>
      </c>
      <c r="BK78" s="117">
        <v>39528905.800000012</v>
      </c>
      <c r="BL78" s="117">
        <v>39478269.800000012</v>
      </c>
      <c r="BM78" s="117">
        <v>0</v>
      </c>
      <c r="BN78" s="117">
        <v>0</v>
      </c>
      <c r="BO78" s="119"/>
      <c r="BP78" s="86">
        <v>355064078.63</v>
      </c>
      <c r="BQ78" s="86">
        <v>234531395.38999999</v>
      </c>
      <c r="BR78" s="87">
        <v>347414</v>
      </c>
      <c r="BT78" s="114">
        <v>6257</v>
      </c>
      <c r="BU78" s="114">
        <v>3680</v>
      </c>
      <c r="BV78" s="114">
        <v>289</v>
      </c>
      <c r="BW78" s="114">
        <f t="shared" si="15"/>
        <v>10226</v>
      </c>
      <c r="BX78" s="86">
        <v>196183719</v>
      </c>
      <c r="BY78" s="82">
        <f t="shared" si="16"/>
        <v>75639631</v>
      </c>
      <c r="BZ78" s="82">
        <f t="shared" si="17"/>
        <v>1441103</v>
      </c>
      <c r="CA78" s="86">
        <f t="shared" si="18"/>
        <v>30622660</v>
      </c>
      <c r="CB78" s="86">
        <f t="shared" si="19"/>
        <v>303887113</v>
      </c>
    </row>
    <row r="79" spans="1:80" x14ac:dyDescent="0.25">
      <c r="A79" s="91" t="s">
        <v>133</v>
      </c>
      <c r="B79" s="114">
        <v>471590161</v>
      </c>
      <c r="C79" s="114">
        <v>194994222</v>
      </c>
      <c r="D79" s="114">
        <v>296667239</v>
      </c>
      <c r="E79" s="114">
        <v>20000000</v>
      </c>
      <c r="F79" s="114">
        <v>49188050</v>
      </c>
      <c r="G79" s="114">
        <v>12069515</v>
      </c>
      <c r="H79" s="114">
        <v>14952700</v>
      </c>
      <c r="I79" s="114">
        <v>2457300</v>
      </c>
      <c r="J79" s="114">
        <v>150400</v>
      </c>
      <c r="K79" s="114">
        <v>0</v>
      </c>
      <c r="L79" s="114">
        <v>355196378</v>
      </c>
      <c r="M79" s="114">
        <v>121283650</v>
      </c>
      <c r="N79" s="114">
        <v>1766</v>
      </c>
      <c r="O79" s="114">
        <v>433</v>
      </c>
      <c r="P79" s="114">
        <v>7899982</v>
      </c>
      <c r="Q79" s="114">
        <v>4314332</v>
      </c>
      <c r="R79" s="114">
        <v>8364250</v>
      </c>
      <c r="S79" s="114">
        <v>3213053</v>
      </c>
      <c r="T79" s="114">
        <v>2706762</v>
      </c>
      <c r="U79" s="114">
        <v>377900</v>
      </c>
      <c r="V79" s="114">
        <v>7899982</v>
      </c>
      <c r="W79" s="114">
        <v>5473793</v>
      </c>
      <c r="X79" s="114">
        <v>8364250</v>
      </c>
      <c r="Y79" s="114">
        <v>3213053</v>
      </c>
      <c r="Z79" s="114">
        <v>3645007</v>
      </c>
      <c r="AA79" s="114">
        <v>377900</v>
      </c>
      <c r="AB79" s="114">
        <v>-1297740</v>
      </c>
      <c r="AC79" s="114">
        <v>0</v>
      </c>
      <c r="AD79" s="114">
        <v>52939</v>
      </c>
      <c r="AG79" s="114">
        <v>204249</v>
      </c>
      <c r="AH79" s="114">
        <v>1942.62</v>
      </c>
      <c r="AI79" s="114">
        <v>242778.69</v>
      </c>
      <c r="AJ79" s="121">
        <v>0</v>
      </c>
      <c r="AK79" s="82">
        <v>127168486</v>
      </c>
      <c r="AL79" s="83">
        <v>2061632</v>
      </c>
      <c r="AM79" s="114">
        <v>0</v>
      </c>
      <c r="AN79" s="114">
        <v>44584524</v>
      </c>
      <c r="AO79" s="114">
        <v>14445249</v>
      </c>
      <c r="AP79" s="114">
        <v>366034579</v>
      </c>
      <c r="AQ79" s="114">
        <v>37455025</v>
      </c>
      <c r="AR79" s="114">
        <v>85055227</v>
      </c>
      <c r="AS79" s="114">
        <v>7011842</v>
      </c>
      <c r="AT79" s="114">
        <v>8964515</v>
      </c>
      <c r="AU79" s="114">
        <v>0</v>
      </c>
      <c r="AV79" s="114">
        <v>0</v>
      </c>
      <c r="AW79" s="114">
        <v>271767</v>
      </c>
      <c r="AX79" s="114">
        <v>347280</v>
      </c>
      <c r="AY79" s="114">
        <v>21000</v>
      </c>
      <c r="BD79" s="82">
        <v>6504681.3599999994</v>
      </c>
      <c r="BE79" s="82">
        <v>3317387.49</v>
      </c>
      <c r="BF79" s="117">
        <v>0</v>
      </c>
      <c r="BG79" s="118">
        <v>0</v>
      </c>
      <c r="BH79" s="118">
        <v>0</v>
      </c>
      <c r="BI79" s="117">
        <v>19208273</v>
      </c>
      <c r="BJ79" s="117">
        <v>19208273</v>
      </c>
      <c r="BK79" s="117">
        <v>45259533.599999987</v>
      </c>
      <c r="BL79" s="117">
        <v>44993342.599999987</v>
      </c>
      <c r="BM79" s="117">
        <v>140639347</v>
      </c>
      <c r="BN79" s="117">
        <v>0</v>
      </c>
      <c r="BO79" s="119"/>
      <c r="BP79" s="86">
        <v>1397369609.3999999</v>
      </c>
      <c r="BQ79" s="86">
        <v>1059981141.3100001</v>
      </c>
      <c r="BR79" s="87">
        <v>1010000</v>
      </c>
      <c r="BT79" s="114">
        <v>6792</v>
      </c>
      <c r="BU79" s="114">
        <v>2997</v>
      </c>
      <c r="BV79" s="114">
        <v>630</v>
      </c>
      <c r="BW79" s="114">
        <f t="shared" si="15"/>
        <v>10419</v>
      </c>
      <c r="BX79" s="86">
        <v>963251622</v>
      </c>
      <c r="BY79" s="82">
        <f t="shared" si="16"/>
        <v>127168486</v>
      </c>
      <c r="BZ79" s="82">
        <f t="shared" si="17"/>
        <v>2061632</v>
      </c>
      <c r="CA79" s="86">
        <f t="shared" si="18"/>
        <v>103496640</v>
      </c>
      <c r="CB79" s="86">
        <f t="shared" si="19"/>
        <v>1195978380</v>
      </c>
    </row>
    <row r="80" spans="1:80" x14ac:dyDescent="0.25">
      <c r="A80" s="91" t="s">
        <v>134</v>
      </c>
      <c r="B80" s="114">
        <v>1296153311</v>
      </c>
      <c r="C80" s="114">
        <v>219273383</v>
      </c>
      <c r="D80" s="114">
        <v>418837699</v>
      </c>
      <c r="E80" s="114">
        <v>0</v>
      </c>
      <c r="F80" s="114">
        <v>118919355</v>
      </c>
      <c r="G80" s="114">
        <v>14912260</v>
      </c>
      <c r="H80" s="114">
        <v>21755379</v>
      </c>
      <c r="I80" s="114">
        <v>1625948</v>
      </c>
      <c r="J80" s="114">
        <v>649600</v>
      </c>
      <c r="K80" s="114">
        <v>37600</v>
      </c>
      <c r="L80" s="114">
        <v>226889948</v>
      </c>
      <c r="M80" s="114">
        <v>146524661</v>
      </c>
      <c r="N80" s="114">
        <v>3976</v>
      </c>
      <c r="O80" s="114">
        <v>511</v>
      </c>
      <c r="P80" s="114">
        <v>20166542</v>
      </c>
      <c r="Q80" s="114">
        <v>8298272</v>
      </c>
      <c r="R80" s="114">
        <v>33906062</v>
      </c>
      <c r="S80" s="114">
        <v>13244862</v>
      </c>
      <c r="T80" s="114">
        <v>2975051</v>
      </c>
      <c r="U80" s="114">
        <v>3390000</v>
      </c>
      <c r="V80" s="114">
        <v>20347910</v>
      </c>
      <c r="W80" s="114">
        <v>10157862</v>
      </c>
      <c r="X80" s="114">
        <v>33906062</v>
      </c>
      <c r="Y80" s="114">
        <v>13738908</v>
      </c>
      <c r="Z80" s="114">
        <v>3745300</v>
      </c>
      <c r="AA80" s="114">
        <v>3390000</v>
      </c>
      <c r="AB80" s="114">
        <v>-9225852</v>
      </c>
      <c r="AC80" s="114">
        <v>-1808984</v>
      </c>
      <c r="AG80" s="114">
        <v>132069</v>
      </c>
      <c r="AH80" s="114">
        <v>0</v>
      </c>
      <c r="AI80" s="114">
        <v>34229.51</v>
      </c>
      <c r="AJ80" s="121">
        <v>0</v>
      </c>
      <c r="AK80" s="82">
        <v>273725405</v>
      </c>
      <c r="AL80" s="83">
        <v>26437123</v>
      </c>
      <c r="AM80" s="114">
        <v>3301909</v>
      </c>
      <c r="AN80" s="114">
        <v>105138407</v>
      </c>
      <c r="AO80" s="114">
        <v>52758818</v>
      </c>
      <c r="AP80" s="114">
        <v>1219237102</v>
      </c>
      <c r="AQ80" s="114">
        <v>67799637</v>
      </c>
      <c r="AR80" s="114">
        <v>132172106</v>
      </c>
      <c r="AS80" s="114">
        <v>109219387</v>
      </c>
      <c r="AT80" s="114">
        <v>2498385</v>
      </c>
      <c r="AU80" s="114">
        <v>0</v>
      </c>
      <c r="AV80" s="114">
        <v>0</v>
      </c>
      <c r="AW80" s="114">
        <v>0</v>
      </c>
      <c r="AX80" s="114">
        <v>17454</v>
      </c>
      <c r="AY80" s="114">
        <v>10000</v>
      </c>
      <c r="BD80" s="82">
        <v>14054292.280000001</v>
      </c>
      <c r="BE80" s="82">
        <v>7167689.0599999996</v>
      </c>
      <c r="BF80" s="117">
        <v>17924352</v>
      </c>
      <c r="BG80" s="118">
        <v>1333888</v>
      </c>
      <c r="BH80" s="118">
        <v>2667775</v>
      </c>
      <c r="BI80" s="117">
        <v>22519355</v>
      </c>
      <c r="BJ80" s="117">
        <v>19458614</v>
      </c>
      <c r="BK80" s="117">
        <v>61448317.399999991</v>
      </c>
      <c r="BL80" s="117">
        <v>59604508.399999991</v>
      </c>
      <c r="BM80" s="117">
        <v>0</v>
      </c>
      <c r="BN80" s="117">
        <v>3917392</v>
      </c>
      <c r="BO80" s="119"/>
      <c r="BP80" s="86">
        <v>2551640103.9700003</v>
      </c>
      <c r="BQ80" s="86">
        <v>2159995484.5100002</v>
      </c>
      <c r="BR80" s="87">
        <v>2007991</v>
      </c>
      <c r="BT80" s="114">
        <f>21244+926</f>
        <v>22170</v>
      </c>
      <c r="BU80" s="114">
        <v>3936</v>
      </c>
      <c r="BV80" s="114">
        <v>1304</v>
      </c>
      <c r="BW80" s="114">
        <f t="shared" si="15"/>
        <v>27410</v>
      </c>
      <c r="BX80" s="86">
        <v>1934264393</v>
      </c>
      <c r="BY80" s="82">
        <f t="shared" si="16"/>
        <v>273725405</v>
      </c>
      <c r="BZ80" s="82">
        <f t="shared" si="17"/>
        <v>26437123</v>
      </c>
      <c r="CA80" s="86">
        <f t="shared" si="18"/>
        <v>334916249</v>
      </c>
      <c r="CB80" s="86">
        <f t="shared" si="19"/>
        <v>2569343170</v>
      </c>
    </row>
    <row r="81" spans="1:80" x14ac:dyDescent="0.25">
      <c r="A81" s="91" t="s">
        <v>135</v>
      </c>
      <c r="B81" s="114">
        <v>95996459</v>
      </c>
      <c r="C81" s="114">
        <v>29580986</v>
      </c>
      <c r="D81" s="114">
        <v>79156554</v>
      </c>
      <c r="E81" s="114">
        <v>0</v>
      </c>
      <c r="F81" s="114">
        <v>19841335</v>
      </c>
      <c r="G81" s="114">
        <v>23035855</v>
      </c>
      <c r="H81" s="114">
        <v>7679475</v>
      </c>
      <c r="I81" s="114">
        <v>4179075</v>
      </c>
      <c r="J81" s="114">
        <v>75200</v>
      </c>
      <c r="K81" s="114">
        <v>0</v>
      </c>
      <c r="L81" s="114">
        <v>16347644</v>
      </c>
      <c r="M81" s="114">
        <v>59650</v>
      </c>
      <c r="N81" s="114">
        <v>931</v>
      </c>
      <c r="O81" s="114">
        <v>966</v>
      </c>
      <c r="P81" s="114">
        <v>3096700</v>
      </c>
      <c r="Q81" s="114">
        <v>1243340</v>
      </c>
      <c r="R81" s="114">
        <v>322600</v>
      </c>
      <c r="S81" s="114">
        <v>2305450</v>
      </c>
      <c r="T81" s="114">
        <v>162126</v>
      </c>
      <c r="U81" s="114">
        <v>859250</v>
      </c>
      <c r="V81" s="114">
        <v>3096700</v>
      </c>
      <c r="W81" s="114">
        <v>1244840</v>
      </c>
      <c r="X81" s="114">
        <v>322600</v>
      </c>
      <c r="Y81" s="114">
        <v>2305450</v>
      </c>
      <c r="Z81" s="114">
        <v>104020</v>
      </c>
      <c r="AA81" s="114">
        <v>859250</v>
      </c>
      <c r="AB81" s="114">
        <v>-1746625</v>
      </c>
      <c r="AC81" s="114">
        <v>0</v>
      </c>
      <c r="AD81" s="114">
        <v>0</v>
      </c>
      <c r="AE81" s="114">
        <v>0</v>
      </c>
      <c r="AF81" s="114">
        <v>0</v>
      </c>
      <c r="AG81" s="114">
        <v>0</v>
      </c>
      <c r="AH81" s="114">
        <v>418409.84</v>
      </c>
      <c r="AI81" s="114">
        <v>34887581.969999999</v>
      </c>
      <c r="AJ81" s="121">
        <v>565418.03</v>
      </c>
      <c r="AK81" s="82">
        <v>74661943</v>
      </c>
      <c r="AL81" s="83">
        <v>2584752</v>
      </c>
      <c r="AM81" s="114">
        <v>0</v>
      </c>
      <c r="AN81" s="114">
        <v>19330408</v>
      </c>
      <c r="AO81" s="114">
        <v>116208</v>
      </c>
      <c r="AP81" s="114">
        <v>29466893</v>
      </c>
      <c r="AQ81" s="114">
        <v>6614807</v>
      </c>
      <c r="AR81" s="114">
        <v>2034872</v>
      </c>
      <c r="AS81" s="114">
        <v>0</v>
      </c>
      <c r="AT81" s="114">
        <v>211638</v>
      </c>
      <c r="AU81" s="114">
        <v>0</v>
      </c>
      <c r="AV81" s="114">
        <v>0</v>
      </c>
      <c r="AW81" s="114">
        <v>0</v>
      </c>
      <c r="AX81" s="114">
        <v>0</v>
      </c>
      <c r="AY81" s="114">
        <v>5748358</v>
      </c>
      <c r="BD81" s="82">
        <v>3822290.4899999998</v>
      </c>
      <c r="BE81" s="82">
        <v>1949368.15</v>
      </c>
      <c r="BF81" s="117">
        <v>0</v>
      </c>
      <c r="BG81" s="118">
        <v>4543766</v>
      </c>
      <c r="BH81" s="118">
        <v>9087531</v>
      </c>
      <c r="BI81" s="117">
        <v>31770087</v>
      </c>
      <c r="BJ81" s="117">
        <v>31770087</v>
      </c>
      <c r="BK81" s="117">
        <v>44559382</v>
      </c>
      <c r="BL81" s="117">
        <v>38080698</v>
      </c>
      <c r="BM81" s="117">
        <v>0</v>
      </c>
      <c r="BN81" s="117">
        <v>0</v>
      </c>
      <c r="BO81" s="119"/>
      <c r="BP81" s="86">
        <v>420257445.99000001</v>
      </c>
      <c r="BQ81" s="86">
        <v>266666831.84</v>
      </c>
      <c r="BR81" s="87">
        <v>1288730</v>
      </c>
      <c r="BT81" s="114">
        <v>4828</v>
      </c>
      <c r="BU81" s="114">
        <v>1657</v>
      </c>
      <c r="BV81" s="114">
        <v>556</v>
      </c>
      <c r="BW81" s="114">
        <f t="shared" si="15"/>
        <v>7041</v>
      </c>
      <c r="BX81" s="86">
        <v>204733999</v>
      </c>
      <c r="BY81" s="82">
        <f t="shared" si="16"/>
        <v>74661943</v>
      </c>
      <c r="BZ81" s="82">
        <f t="shared" si="17"/>
        <v>2584752</v>
      </c>
      <c r="CA81" s="86">
        <f t="shared" si="18"/>
        <v>26061423</v>
      </c>
      <c r="CB81" s="86">
        <f t="shared" si="19"/>
        <v>308042117</v>
      </c>
    </row>
    <row r="82" spans="1:80" x14ac:dyDescent="0.25">
      <c r="A82" s="91" t="s">
        <v>136</v>
      </c>
      <c r="B82" s="114">
        <v>407387179</v>
      </c>
      <c r="C82" s="114">
        <v>111360398</v>
      </c>
      <c r="D82" s="114">
        <v>239493726</v>
      </c>
      <c r="E82" s="114">
        <v>29783517</v>
      </c>
      <c r="F82" s="114">
        <v>50320790</v>
      </c>
      <c r="G82" s="114">
        <v>7770827</v>
      </c>
      <c r="H82" s="114">
        <v>7957787</v>
      </c>
      <c r="I82" s="114">
        <v>950288</v>
      </c>
      <c r="J82" s="114">
        <v>112800</v>
      </c>
      <c r="K82" s="114">
        <v>0</v>
      </c>
      <c r="L82" s="114">
        <v>285485033</v>
      </c>
      <c r="M82" s="114">
        <v>73925056</v>
      </c>
      <c r="N82" s="114">
        <v>1633</v>
      </c>
      <c r="O82" s="114">
        <v>259</v>
      </c>
      <c r="P82" s="114">
        <v>3231589</v>
      </c>
      <c r="Q82" s="114">
        <v>1220373</v>
      </c>
      <c r="R82" s="114">
        <v>865050</v>
      </c>
      <c r="S82" s="114">
        <v>2436388</v>
      </c>
      <c r="T82" s="114">
        <v>218011</v>
      </c>
      <c r="U82" s="114">
        <v>2687057</v>
      </c>
      <c r="V82" s="114">
        <v>3231589</v>
      </c>
      <c r="W82" s="114">
        <v>1238201</v>
      </c>
      <c r="X82" s="114">
        <v>865050</v>
      </c>
      <c r="Y82" s="114">
        <v>2436388</v>
      </c>
      <c r="Z82" s="114">
        <v>562224</v>
      </c>
      <c r="AA82" s="114">
        <v>2687057</v>
      </c>
      <c r="AB82" s="114">
        <v>-2661797</v>
      </c>
      <c r="AC82" s="114">
        <v>-129510</v>
      </c>
      <c r="AG82" s="114">
        <v>132915</v>
      </c>
      <c r="AH82" s="114">
        <v>0</v>
      </c>
      <c r="AI82" s="114">
        <v>1669163.93</v>
      </c>
      <c r="AJ82" s="121">
        <v>0</v>
      </c>
      <c r="AK82" s="82">
        <v>119539098</v>
      </c>
      <c r="AL82" s="83">
        <v>2391079</v>
      </c>
      <c r="AM82" s="114">
        <v>0</v>
      </c>
      <c r="AN82" s="114">
        <v>62156681</v>
      </c>
      <c r="AO82" s="114">
        <v>12294225</v>
      </c>
      <c r="AP82" s="114">
        <v>266456312</v>
      </c>
      <c r="AQ82" s="114">
        <v>40958051</v>
      </c>
      <c r="AR82" s="114">
        <v>62730284</v>
      </c>
      <c r="AS82" s="114">
        <v>71201594</v>
      </c>
      <c r="AT82" s="114">
        <v>0</v>
      </c>
      <c r="AU82" s="114">
        <v>0</v>
      </c>
      <c r="AV82" s="114">
        <v>0</v>
      </c>
      <c r="AW82" s="114">
        <v>10465293</v>
      </c>
      <c r="AX82" s="114">
        <v>88675</v>
      </c>
      <c r="AY82" s="114">
        <v>703150</v>
      </c>
      <c r="BD82" s="82">
        <v>6115533.7999999998</v>
      </c>
      <c r="BE82" s="82">
        <v>3118922.2399999998</v>
      </c>
      <c r="BF82" s="117">
        <v>20209326</v>
      </c>
      <c r="BG82" s="118">
        <v>3877197</v>
      </c>
      <c r="BH82" s="118">
        <v>7754393</v>
      </c>
      <c r="BI82" s="117">
        <v>296416277</v>
      </c>
      <c r="BJ82" s="117">
        <v>296416277</v>
      </c>
      <c r="BK82" s="117">
        <v>82467842.800000012</v>
      </c>
      <c r="BL82" s="117">
        <v>78093321.800000012</v>
      </c>
      <c r="BM82" s="117">
        <v>12251</v>
      </c>
      <c r="BN82" s="117">
        <v>0</v>
      </c>
      <c r="BO82" s="119"/>
      <c r="BP82" s="86">
        <v>1378767569.97</v>
      </c>
      <c r="BQ82" s="86">
        <v>875319423.92999995</v>
      </c>
      <c r="BR82" s="87">
        <v>496424</v>
      </c>
      <c r="BW82" s="114">
        <f t="shared" si="15"/>
        <v>0</v>
      </c>
      <c r="BX82" s="86">
        <v>758241303</v>
      </c>
      <c r="BY82" s="82">
        <f t="shared" si="16"/>
        <v>119539098</v>
      </c>
      <c r="BZ82" s="82">
        <f t="shared" si="17"/>
        <v>2391079</v>
      </c>
      <c r="CA82" s="86">
        <f t="shared" si="18"/>
        <v>186610551</v>
      </c>
      <c r="CB82" s="86">
        <f t="shared" si="19"/>
        <v>1066782031</v>
      </c>
    </row>
    <row r="83" spans="1:80" x14ac:dyDescent="0.25">
      <c r="A83" s="91" t="s">
        <v>137</v>
      </c>
      <c r="B83" s="114">
        <v>934607898</v>
      </c>
      <c r="C83" s="114">
        <v>179333044</v>
      </c>
      <c r="D83" s="114">
        <v>128938530</v>
      </c>
      <c r="E83" s="114">
        <v>0</v>
      </c>
      <c r="F83" s="114">
        <v>67764937</v>
      </c>
      <c r="G83" s="114">
        <v>14372990</v>
      </c>
      <c r="H83" s="114">
        <v>16714556</v>
      </c>
      <c r="I83" s="114">
        <v>1123750</v>
      </c>
      <c r="J83" s="114">
        <v>75200</v>
      </c>
      <c r="K83" s="114">
        <v>0</v>
      </c>
      <c r="L83" s="114">
        <v>426870756</v>
      </c>
      <c r="M83" s="114">
        <v>133508600</v>
      </c>
      <c r="N83" s="114">
        <v>2337</v>
      </c>
      <c r="O83" s="114">
        <v>451</v>
      </c>
      <c r="P83" s="114">
        <v>12198200</v>
      </c>
      <c r="Q83" s="114">
        <v>4779200</v>
      </c>
      <c r="R83" s="114">
        <v>1597700</v>
      </c>
      <c r="S83" s="114">
        <v>2390000</v>
      </c>
      <c r="T83" s="114">
        <v>51500</v>
      </c>
      <c r="U83" s="114">
        <v>102000</v>
      </c>
      <c r="V83" s="114">
        <v>12198200</v>
      </c>
      <c r="W83" s="114">
        <v>4779200</v>
      </c>
      <c r="X83" s="114">
        <v>1597700</v>
      </c>
      <c r="Y83" s="114">
        <v>2390000</v>
      </c>
      <c r="Z83" s="114">
        <v>51500</v>
      </c>
      <c r="AA83" s="114">
        <v>102000</v>
      </c>
      <c r="AB83" s="114">
        <v>-4599829</v>
      </c>
      <c r="AC83" s="114">
        <v>-212108</v>
      </c>
      <c r="AD83" s="114">
        <v>57120</v>
      </c>
      <c r="AE83" s="114">
        <v>0</v>
      </c>
      <c r="AF83" s="114">
        <v>0</v>
      </c>
      <c r="AG83" s="114">
        <v>143056</v>
      </c>
      <c r="AH83" s="114">
        <v>0</v>
      </c>
      <c r="AI83" s="114">
        <v>9048093.7699999996</v>
      </c>
      <c r="AJ83" s="121">
        <v>0</v>
      </c>
      <c r="AK83" s="82">
        <v>198715510</v>
      </c>
      <c r="AL83" s="83">
        <v>7956747</v>
      </c>
      <c r="AM83" s="114">
        <v>0</v>
      </c>
      <c r="AN83" s="114">
        <v>45418726</v>
      </c>
      <c r="AO83" s="114">
        <v>3262712</v>
      </c>
      <c r="AP83" s="114">
        <v>51776733</v>
      </c>
      <c r="AQ83" s="114">
        <v>18048030</v>
      </c>
      <c r="AR83" s="114">
        <v>23679361</v>
      </c>
      <c r="AS83" s="114">
        <v>19328801</v>
      </c>
      <c r="AT83" s="114">
        <v>1069289</v>
      </c>
      <c r="AU83" s="114">
        <v>0</v>
      </c>
      <c r="AV83" s="114">
        <v>0</v>
      </c>
      <c r="AW83" s="114">
        <v>1267548</v>
      </c>
      <c r="AX83" s="114">
        <v>3239</v>
      </c>
      <c r="AY83" s="114">
        <v>0</v>
      </c>
      <c r="BD83" s="82">
        <v>10175772.5</v>
      </c>
      <c r="BE83" s="82">
        <v>5189643.9700000007</v>
      </c>
      <c r="BF83" s="117">
        <v>57886010</v>
      </c>
      <c r="BG83" s="118">
        <v>2062690</v>
      </c>
      <c r="BH83" s="118">
        <v>4125379</v>
      </c>
      <c r="BI83" s="117">
        <v>26374382</v>
      </c>
      <c r="BJ83" s="117">
        <v>26036062</v>
      </c>
      <c r="BK83" s="117">
        <v>67498289.800000012</v>
      </c>
      <c r="BL83" s="117">
        <v>65797696.800000004</v>
      </c>
      <c r="BM83" s="117">
        <v>0</v>
      </c>
      <c r="BN83" s="117">
        <v>0</v>
      </c>
      <c r="BO83" s="119"/>
      <c r="BP83" s="86">
        <v>1624415383.54</v>
      </c>
      <c r="BQ83" s="86">
        <v>1318657033.77</v>
      </c>
      <c r="BR83" s="87">
        <v>4591500</v>
      </c>
      <c r="BT83" s="114">
        <v>12112</v>
      </c>
      <c r="BU83" s="114">
        <v>2403</v>
      </c>
      <c r="BV83" s="114">
        <v>581</v>
      </c>
      <c r="BW83" s="114">
        <f t="shared" si="15"/>
        <v>15096</v>
      </c>
      <c r="BX83" s="86">
        <v>1242879472</v>
      </c>
      <c r="BY83" s="82">
        <f t="shared" si="16"/>
        <v>198715510</v>
      </c>
      <c r="BZ83" s="82">
        <f t="shared" si="17"/>
        <v>7956747</v>
      </c>
      <c r="CA83" s="86">
        <f t="shared" si="18"/>
        <v>86058269</v>
      </c>
      <c r="CB83" s="86">
        <f t="shared" si="19"/>
        <v>1535609998</v>
      </c>
    </row>
    <row r="84" spans="1:80" x14ac:dyDescent="0.25">
      <c r="A84" s="91" t="s">
        <v>138</v>
      </c>
      <c r="B84" s="114">
        <v>95595378</v>
      </c>
      <c r="C84" s="114">
        <v>33097034</v>
      </c>
      <c r="D84" s="114">
        <v>10139630</v>
      </c>
      <c r="E84" s="114">
        <v>0</v>
      </c>
      <c r="F84" s="114">
        <v>12062321</v>
      </c>
      <c r="G84" s="114">
        <v>11014761</v>
      </c>
      <c r="H84" s="114">
        <v>5708865</v>
      </c>
      <c r="I84" s="114">
        <v>1993880</v>
      </c>
      <c r="J84" s="114">
        <v>0</v>
      </c>
      <c r="K84" s="114">
        <v>0</v>
      </c>
      <c r="L84" s="114">
        <v>35487647</v>
      </c>
      <c r="M84" s="114">
        <v>23619619</v>
      </c>
      <c r="N84" s="114">
        <v>570</v>
      </c>
      <c r="O84" s="114">
        <v>456</v>
      </c>
      <c r="P84" s="114">
        <v>2578581</v>
      </c>
      <c r="Q84" s="114">
        <v>0</v>
      </c>
      <c r="R84" s="114">
        <v>640000</v>
      </c>
      <c r="S84" s="114">
        <v>1009666</v>
      </c>
      <c r="T84" s="114">
        <v>0</v>
      </c>
      <c r="U84" s="114">
        <v>112000</v>
      </c>
      <c r="V84" s="114">
        <v>2578581</v>
      </c>
      <c r="W84" s="114">
        <v>0</v>
      </c>
      <c r="X84" s="114">
        <v>640000</v>
      </c>
      <c r="Y84" s="114">
        <v>1009666</v>
      </c>
      <c r="Z84" s="114">
        <v>0</v>
      </c>
      <c r="AA84" s="114">
        <v>112000</v>
      </c>
      <c r="AB84" s="114">
        <v>-1276740</v>
      </c>
      <c r="AC84" s="114">
        <v>0</v>
      </c>
      <c r="AD84" s="114">
        <v>0</v>
      </c>
      <c r="AE84" s="114">
        <v>0</v>
      </c>
      <c r="AF84" s="114">
        <v>0</v>
      </c>
      <c r="AG84" s="114">
        <v>0</v>
      </c>
      <c r="AH84" s="114">
        <v>0</v>
      </c>
      <c r="AI84" s="114">
        <v>0</v>
      </c>
      <c r="AJ84" s="121">
        <v>0</v>
      </c>
      <c r="AK84" s="82">
        <v>34371261</v>
      </c>
      <c r="AL84" s="83">
        <v>1267667</v>
      </c>
      <c r="AM84" s="114">
        <v>0</v>
      </c>
      <c r="AN84" s="114">
        <v>2481057</v>
      </c>
      <c r="AO84" s="114">
        <v>10288</v>
      </c>
      <c r="AP84" s="114">
        <v>4091218</v>
      </c>
      <c r="AQ84" s="114">
        <v>3717485</v>
      </c>
      <c r="AR84" s="114">
        <v>2399343</v>
      </c>
      <c r="AS84" s="114">
        <v>0</v>
      </c>
      <c r="AT84" s="114">
        <v>109200</v>
      </c>
      <c r="AU84" s="114">
        <v>0</v>
      </c>
      <c r="AV84" s="114">
        <v>0</v>
      </c>
      <c r="AW84" s="114">
        <v>0</v>
      </c>
      <c r="AX84" s="114">
        <v>0</v>
      </c>
      <c r="AY84" s="114">
        <v>0</v>
      </c>
      <c r="BD84" s="82">
        <v>1759812.02</v>
      </c>
      <c r="BE84" s="82">
        <v>897504.13</v>
      </c>
      <c r="BF84" s="117">
        <v>0</v>
      </c>
      <c r="BG84" s="118">
        <v>0</v>
      </c>
      <c r="BH84" s="118">
        <v>0</v>
      </c>
      <c r="BI84" s="117">
        <v>4633674</v>
      </c>
      <c r="BJ84" s="117">
        <v>4633674</v>
      </c>
      <c r="BK84" s="117">
        <v>19356322.199999999</v>
      </c>
      <c r="BL84" s="117">
        <v>19353055.199999999</v>
      </c>
      <c r="BM84" s="117">
        <v>0</v>
      </c>
      <c r="BN84" s="117">
        <v>0</v>
      </c>
      <c r="BO84" s="119"/>
      <c r="BP84" s="86">
        <v>205564033.32999998</v>
      </c>
      <c r="BQ84" s="86">
        <v>145040872</v>
      </c>
      <c r="BR84" s="87">
        <v>210092</v>
      </c>
      <c r="BT84" s="114">
        <v>4210</v>
      </c>
      <c r="BU84" s="114">
        <v>1326</v>
      </c>
      <c r="BV84" s="114">
        <v>110</v>
      </c>
      <c r="BW84" s="114">
        <f t="shared" si="15"/>
        <v>5646</v>
      </c>
      <c r="BX84" s="86">
        <v>138832042</v>
      </c>
      <c r="BY84" s="82">
        <f t="shared" si="16"/>
        <v>34371261</v>
      </c>
      <c r="BZ84" s="82">
        <f t="shared" si="17"/>
        <v>1267667</v>
      </c>
      <c r="CA84" s="86">
        <f t="shared" si="18"/>
        <v>6208830</v>
      </c>
      <c r="CB84" s="86">
        <f t="shared" si="19"/>
        <v>180679800</v>
      </c>
    </row>
    <row r="85" spans="1:80" x14ac:dyDescent="0.25">
      <c r="A85" s="91" t="s">
        <v>139</v>
      </c>
      <c r="B85" s="114">
        <v>760484232</v>
      </c>
      <c r="C85" s="114">
        <v>258331920</v>
      </c>
      <c r="D85" s="114">
        <v>235408813</v>
      </c>
      <c r="E85" s="114">
        <v>0</v>
      </c>
      <c r="F85" s="114">
        <v>67772325</v>
      </c>
      <c r="G85" s="114">
        <v>9609744</v>
      </c>
      <c r="H85" s="114">
        <v>18455214</v>
      </c>
      <c r="I85" s="114">
        <v>2150868</v>
      </c>
      <c r="J85" s="114">
        <v>112800</v>
      </c>
      <c r="K85" s="114">
        <v>0</v>
      </c>
      <c r="L85" s="114">
        <v>328338912</v>
      </c>
      <c r="M85" s="114">
        <v>193381790</v>
      </c>
      <c r="N85" s="114">
        <v>2334</v>
      </c>
      <c r="O85" s="114">
        <v>322</v>
      </c>
      <c r="P85" s="114">
        <v>6522334</v>
      </c>
      <c r="Q85" s="114">
        <v>3003620</v>
      </c>
      <c r="R85" s="114">
        <v>3984180</v>
      </c>
      <c r="S85" s="114">
        <v>3865396</v>
      </c>
      <c r="T85" s="114">
        <v>663723</v>
      </c>
      <c r="U85" s="114">
        <v>10118415</v>
      </c>
      <c r="V85" s="114">
        <v>6522334</v>
      </c>
      <c r="W85" s="114">
        <v>3003620</v>
      </c>
      <c r="X85" s="114">
        <v>3984180</v>
      </c>
      <c r="Y85" s="114">
        <v>3865396</v>
      </c>
      <c r="Z85" s="114">
        <v>1447015</v>
      </c>
      <c r="AA85" s="114">
        <v>10118415</v>
      </c>
      <c r="AB85" s="114">
        <v>-2681678</v>
      </c>
      <c r="AC85" s="114">
        <v>0</v>
      </c>
      <c r="AD85" s="114">
        <v>3558</v>
      </c>
      <c r="AE85" s="114">
        <v>0</v>
      </c>
      <c r="AF85" s="114">
        <v>0</v>
      </c>
      <c r="AG85" s="114">
        <v>136684</v>
      </c>
      <c r="AH85" s="114">
        <v>0</v>
      </c>
      <c r="AI85" s="114">
        <v>161147.54</v>
      </c>
      <c r="AJ85" s="121">
        <v>0</v>
      </c>
      <c r="AK85" s="82">
        <v>163390213</v>
      </c>
      <c r="AL85" s="83">
        <v>9169471</v>
      </c>
      <c r="AM85" s="114">
        <v>289500</v>
      </c>
      <c r="AN85" s="114">
        <v>24389248</v>
      </c>
      <c r="AO85" s="114">
        <v>11557414</v>
      </c>
      <c r="AP85" s="114">
        <v>485864942</v>
      </c>
      <c r="AQ85" s="114">
        <v>18328725</v>
      </c>
      <c r="AR85" s="114">
        <v>36938283</v>
      </c>
      <c r="AS85" s="114">
        <v>1004473</v>
      </c>
      <c r="AT85" s="114">
        <f>1326228+243233491</f>
        <v>244559719</v>
      </c>
      <c r="AU85" s="114">
        <v>0</v>
      </c>
      <c r="AV85" s="114">
        <v>0</v>
      </c>
      <c r="AW85" s="114">
        <v>48394</v>
      </c>
      <c r="AX85" s="114">
        <v>48619</v>
      </c>
      <c r="AY85" s="114">
        <v>19000</v>
      </c>
      <c r="BD85" s="82">
        <v>8373197.9199999999</v>
      </c>
      <c r="BE85" s="82">
        <v>4270330.9400000004</v>
      </c>
      <c r="BF85" s="117">
        <v>0</v>
      </c>
      <c r="BG85" s="118">
        <v>2578549</v>
      </c>
      <c r="BH85" s="118">
        <v>5157099</v>
      </c>
      <c r="BI85" s="117">
        <v>75804279</v>
      </c>
      <c r="BJ85" s="117">
        <v>75804279</v>
      </c>
      <c r="BK85" s="117">
        <v>72485613.799999997</v>
      </c>
      <c r="BL85" s="117">
        <v>68477856.799999997</v>
      </c>
      <c r="BM85" s="117">
        <v>0</v>
      </c>
      <c r="BN85" s="117">
        <v>0</v>
      </c>
      <c r="BO85" s="119"/>
      <c r="BP85" s="86">
        <v>1632352199.28</v>
      </c>
      <c r="BQ85" s="86">
        <v>1308661499.54</v>
      </c>
      <c r="BR85" s="87">
        <v>823913</v>
      </c>
      <c r="BT85" s="114">
        <v>8729</v>
      </c>
      <c r="BU85" s="114">
        <v>2428</v>
      </c>
      <c r="BV85" s="114">
        <v>603</v>
      </c>
      <c r="BW85" s="114">
        <f t="shared" si="15"/>
        <v>11760</v>
      </c>
      <c r="BX85" s="86">
        <v>1254224965</v>
      </c>
      <c r="BY85" s="82">
        <f t="shared" si="16"/>
        <v>163390213</v>
      </c>
      <c r="BZ85" s="82">
        <f t="shared" si="17"/>
        <v>9169471</v>
      </c>
      <c r="CA85" s="86">
        <f t="shared" si="18"/>
        <v>55279860</v>
      </c>
      <c r="CB85" s="86">
        <f t="shared" si="19"/>
        <v>1482064509</v>
      </c>
    </row>
    <row r="86" spans="1:80" x14ac:dyDescent="0.25">
      <c r="A86" s="91" t="s">
        <v>140</v>
      </c>
      <c r="B86" s="114">
        <v>115526233</v>
      </c>
      <c r="C86" s="114">
        <v>114959029</v>
      </c>
      <c r="D86" s="114">
        <v>49367324</v>
      </c>
      <c r="E86" s="114">
        <v>0</v>
      </c>
      <c r="F86" s="114">
        <v>22389280</v>
      </c>
      <c r="G86" s="114">
        <v>6651760</v>
      </c>
      <c r="H86" s="114">
        <v>15417000</v>
      </c>
      <c r="I86" s="114">
        <v>2061279</v>
      </c>
      <c r="J86" s="114">
        <v>112800</v>
      </c>
      <c r="K86" s="114">
        <v>0</v>
      </c>
      <c r="L86" s="114">
        <v>204598993</v>
      </c>
      <c r="M86" s="114">
        <v>18659000</v>
      </c>
      <c r="N86" s="114">
        <v>1105</v>
      </c>
      <c r="O86" s="114">
        <v>301</v>
      </c>
      <c r="P86" s="114">
        <v>1817105</v>
      </c>
      <c r="Q86" s="114">
        <v>1151290</v>
      </c>
      <c r="R86" s="114">
        <v>966300</v>
      </c>
      <c r="S86" s="114">
        <v>1391286</v>
      </c>
      <c r="T86" s="114">
        <v>1506876</v>
      </c>
      <c r="U86" s="114">
        <v>330500</v>
      </c>
      <c r="V86" s="114">
        <v>1817105</v>
      </c>
      <c r="W86" s="114">
        <v>1847184</v>
      </c>
      <c r="X86" s="114">
        <v>966300</v>
      </c>
      <c r="Y86" s="114">
        <v>1391286</v>
      </c>
      <c r="Z86" s="114">
        <v>2749234</v>
      </c>
      <c r="AA86" s="114">
        <v>330500</v>
      </c>
      <c r="AB86" s="114">
        <v>-1732245</v>
      </c>
      <c r="AC86" s="114">
        <v>5588</v>
      </c>
      <c r="AD86" s="114">
        <v>73713</v>
      </c>
      <c r="AE86" s="114">
        <v>0</v>
      </c>
      <c r="AF86" s="114">
        <v>0</v>
      </c>
      <c r="AG86" s="114">
        <v>87674</v>
      </c>
      <c r="AH86" s="114">
        <v>420360.66</v>
      </c>
      <c r="AI86" s="114">
        <v>0</v>
      </c>
      <c r="AJ86" s="121">
        <v>0</v>
      </c>
      <c r="AK86" s="82">
        <v>58401094</v>
      </c>
      <c r="AL86" s="83">
        <v>1170940</v>
      </c>
      <c r="AM86" s="114">
        <v>0</v>
      </c>
      <c r="AN86" s="114">
        <v>6667470</v>
      </c>
      <c r="AO86" s="114">
        <v>2033541</v>
      </c>
      <c r="AP86" s="114">
        <v>69358397</v>
      </c>
      <c r="AQ86" s="114">
        <v>11728108</v>
      </c>
      <c r="AR86" s="114">
        <v>34492520</v>
      </c>
      <c r="AS86" s="114">
        <v>3494219</v>
      </c>
      <c r="AT86" s="114">
        <v>2575541</v>
      </c>
      <c r="AU86" s="114">
        <v>0</v>
      </c>
      <c r="AV86" s="114">
        <v>0</v>
      </c>
      <c r="AW86" s="114">
        <v>0</v>
      </c>
      <c r="AX86" s="114">
        <v>0</v>
      </c>
      <c r="AY86" s="114">
        <v>0</v>
      </c>
      <c r="BD86" s="82">
        <v>2987764.4299999997</v>
      </c>
      <c r="BE86" s="82">
        <v>1523759.86</v>
      </c>
      <c r="BF86" s="117">
        <v>0</v>
      </c>
      <c r="BG86" s="118">
        <v>0</v>
      </c>
      <c r="BH86" s="118">
        <v>0</v>
      </c>
      <c r="BI86" s="117">
        <v>29897175</v>
      </c>
      <c r="BJ86" s="117">
        <v>29897175</v>
      </c>
      <c r="BK86" s="117">
        <v>54889586.799999997</v>
      </c>
      <c r="BL86" s="117">
        <v>54871618.799999997</v>
      </c>
      <c r="BM86" s="117">
        <v>0</v>
      </c>
      <c r="BN86" s="117">
        <v>0</v>
      </c>
      <c r="BO86" s="119"/>
      <c r="BP86" s="86">
        <v>446566653.32000005</v>
      </c>
      <c r="BQ86" s="86">
        <v>300702065.66000003</v>
      </c>
      <c r="BR86" s="87">
        <v>601398</v>
      </c>
      <c r="BT86" s="114">
        <v>3696</v>
      </c>
      <c r="BU86" s="114">
        <v>2868</v>
      </c>
      <c r="BV86" s="114">
        <v>299</v>
      </c>
      <c r="BW86" s="114">
        <f t="shared" ref="BW86:BW91" si="20">SUM(BT86:BV86)</f>
        <v>6863</v>
      </c>
      <c r="BX86" s="86">
        <v>279852586</v>
      </c>
      <c r="BY86" s="82">
        <f t="shared" si="16"/>
        <v>58401094</v>
      </c>
      <c r="BZ86" s="82">
        <f t="shared" si="17"/>
        <v>1170940</v>
      </c>
      <c r="CA86" s="86">
        <f t="shared" si="18"/>
        <v>23923338</v>
      </c>
      <c r="CB86" s="86">
        <f t="shared" si="19"/>
        <v>363347958</v>
      </c>
    </row>
    <row r="87" spans="1:80" x14ac:dyDescent="0.25">
      <c r="A87" s="91" t="s">
        <v>141</v>
      </c>
      <c r="B87" s="114">
        <v>152648237</v>
      </c>
      <c r="C87" s="114">
        <v>104351571</v>
      </c>
      <c r="D87" s="114">
        <v>52259885</v>
      </c>
      <c r="E87" s="114">
        <v>0</v>
      </c>
      <c r="F87" s="114">
        <v>30850300</v>
      </c>
      <c r="G87" s="114">
        <v>7413500</v>
      </c>
      <c r="H87" s="114">
        <v>10304150</v>
      </c>
      <c r="I87" s="114">
        <v>638400</v>
      </c>
      <c r="J87" s="114">
        <v>37600</v>
      </c>
      <c r="K87" s="114">
        <v>0</v>
      </c>
      <c r="L87" s="114">
        <v>322278724</v>
      </c>
      <c r="M87" s="114">
        <v>0</v>
      </c>
      <c r="N87" s="114">
        <v>1185</v>
      </c>
      <c r="O87" s="114">
        <v>280</v>
      </c>
      <c r="P87" s="114">
        <v>3326920</v>
      </c>
      <c r="Q87" s="114">
        <v>1445500</v>
      </c>
      <c r="R87" s="114">
        <v>636000</v>
      </c>
      <c r="S87" s="114">
        <v>1696391</v>
      </c>
      <c r="T87" s="114">
        <v>736850</v>
      </c>
      <c r="U87" s="114">
        <v>444100</v>
      </c>
      <c r="V87" s="114">
        <v>3326920</v>
      </c>
      <c r="W87" s="114">
        <v>1007300</v>
      </c>
      <c r="X87" s="114">
        <v>636000</v>
      </c>
      <c r="Y87" s="114">
        <v>1696391</v>
      </c>
      <c r="Z87" s="114">
        <v>1640530</v>
      </c>
      <c r="AA87" s="114">
        <v>444100</v>
      </c>
      <c r="AB87" s="114">
        <v>-1240100</v>
      </c>
      <c r="AC87" s="114">
        <v>195000</v>
      </c>
      <c r="AD87" s="114">
        <v>0</v>
      </c>
      <c r="AE87" s="114">
        <v>0</v>
      </c>
      <c r="AF87" s="114">
        <v>0</v>
      </c>
      <c r="AG87" s="114">
        <v>0</v>
      </c>
      <c r="AH87" s="114">
        <v>491008.2</v>
      </c>
      <c r="AI87" s="114">
        <v>0</v>
      </c>
      <c r="AJ87" s="121">
        <v>0</v>
      </c>
      <c r="AK87" s="82">
        <v>70335375</v>
      </c>
      <c r="AL87" s="83">
        <v>1534279</v>
      </c>
      <c r="AM87" s="114">
        <v>0</v>
      </c>
      <c r="AN87" s="114">
        <v>15394951</v>
      </c>
      <c r="AO87" s="114">
        <v>400817</v>
      </c>
      <c r="AP87" s="114">
        <v>24748523</v>
      </c>
      <c r="AQ87" s="114">
        <v>21635243</v>
      </c>
      <c r="AR87" s="114">
        <v>23494808</v>
      </c>
      <c r="AS87" s="114">
        <v>105279</v>
      </c>
      <c r="AT87" s="114">
        <v>10865215</v>
      </c>
      <c r="AU87" s="114">
        <v>0</v>
      </c>
      <c r="AV87" s="114">
        <v>0</v>
      </c>
      <c r="AW87" s="114">
        <v>0</v>
      </c>
      <c r="AX87" s="114">
        <v>2165</v>
      </c>
      <c r="AY87" s="114">
        <v>12000</v>
      </c>
      <c r="BD87" s="82">
        <v>3598615.04</v>
      </c>
      <c r="BE87" s="82">
        <v>1835293.67</v>
      </c>
      <c r="BF87" s="117">
        <v>0</v>
      </c>
      <c r="BG87" s="118">
        <v>0</v>
      </c>
      <c r="BH87" s="118">
        <v>0</v>
      </c>
      <c r="BI87" s="117">
        <v>17159114</v>
      </c>
      <c r="BJ87" s="117">
        <v>17159114</v>
      </c>
      <c r="BK87" s="117">
        <v>58267179.800000004</v>
      </c>
      <c r="BL87" s="117">
        <v>58027804.800000004</v>
      </c>
      <c r="BM87" s="117">
        <v>0</v>
      </c>
      <c r="BN87" s="117">
        <v>0</v>
      </c>
      <c r="BO87" s="119"/>
      <c r="BP87" s="86">
        <v>496073578.67000002</v>
      </c>
      <c r="BQ87" s="86">
        <v>347181712.19999999</v>
      </c>
      <c r="BR87" s="87">
        <v>361816</v>
      </c>
      <c r="BT87" s="114">
        <v>5133</v>
      </c>
      <c r="BU87" s="114">
        <v>2759</v>
      </c>
      <c r="BV87" s="114">
        <v>432</v>
      </c>
      <c r="BW87" s="114">
        <f t="shared" si="20"/>
        <v>8324</v>
      </c>
      <c r="BX87" s="86">
        <v>309259693</v>
      </c>
      <c r="BY87" s="82">
        <f t="shared" si="16"/>
        <v>70335375</v>
      </c>
      <c r="BZ87" s="82">
        <f t="shared" si="17"/>
        <v>1534279</v>
      </c>
      <c r="CA87" s="86">
        <f t="shared" si="18"/>
        <v>37536290</v>
      </c>
      <c r="CB87" s="86">
        <f t="shared" si="19"/>
        <v>418665637</v>
      </c>
    </row>
    <row r="88" spans="1:80" x14ac:dyDescent="0.25">
      <c r="A88" s="91" t="s">
        <v>142</v>
      </c>
      <c r="B88" s="114">
        <v>747644401</v>
      </c>
      <c r="C88" s="114">
        <v>117626028</v>
      </c>
      <c r="D88" s="114">
        <v>329129654</v>
      </c>
      <c r="E88" s="114">
        <v>19360000</v>
      </c>
      <c r="F88" s="114">
        <v>69867230</v>
      </c>
      <c r="G88" s="114">
        <v>19612831</v>
      </c>
      <c r="H88" s="114">
        <v>10706600</v>
      </c>
      <c r="I88" s="114">
        <v>2372900</v>
      </c>
      <c r="J88" s="114">
        <v>188000</v>
      </c>
      <c r="K88" s="114">
        <v>37600</v>
      </c>
      <c r="L88" s="114">
        <v>250566143</v>
      </c>
      <c r="M88" s="114">
        <v>92031700</v>
      </c>
      <c r="N88" s="114">
        <v>2229</v>
      </c>
      <c r="O88" s="114">
        <v>662</v>
      </c>
      <c r="P88" s="114">
        <v>9583730</v>
      </c>
      <c r="Q88" s="114">
        <v>2630000</v>
      </c>
      <c r="R88" s="114">
        <v>2485500</v>
      </c>
      <c r="S88" s="114">
        <v>3568916</v>
      </c>
      <c r="T88" s="114">
        <v>66200</v>
      </c>
      <c r="U88" s="114">
        <v>6079750</v>
      </c>
      <c r="V88" s="114">
        <v>9583730</v>
      </c>
      <c r="W88" s="114">
        <v>2814500</v>
      </c>
      <c r="X88" s="114">
        <v>2485500</v>
      </c>
      <c r="Y88" s="114">
        <v>3568916</v>
      </c>
      <c r="Z88" s="114">
        <v>242500</v>
      </c>
      <c r="AA88" s="114">
        <v>6079750</v>
      </c>
      <c r="AB88" s="114">
        <v>-2742900</v>
      </c>
      <c r="AC88" s="114">
        <v>-318033</v>
      </c>
      <c r="AD88" s="114">
        <v>5045</v>
      </c>
      <c r="AE88" s="114">
        <v>1012018</v>
      </c>
      <c r="AF88" s="114">
        <v>0</v>
      </c>
      <c r="AG88" s="114">
        <v>110701</v>
      </c>
      <c r="AH88" s="114">
        <v>0</v>
      </c>
      <c r="AI88" s="114">
        <v>0</v>
      </c>
      <c r="AJ88" s="121">
        <v>0</v>
      </c>
      <c r="AK88" s="82">
        <v>182511312</v>
      </c>
      <c r="AL88" s="83">
        <v>4559387</v>
      </c>
      <c r="AM88" s="114">
        <v>0</v>
      </c>
      <c r="AN88" s="114">
        <v>55810992</v>
      </c>
      <c r="AO88" s="114">
        <v>3078569</v>
      </c>
      <c r="AP88" s="114">
        <v>145530578</v>
      </c>
      <c r="AQ88" s="114">
        <v>48839412</v>
      </c>
      <c r="AR88" s="114">
        <v>73200280</v>
      </c>
      <c r="AS88" s="114">
        <v>24496824</v>
      </c>
      <c r="AT88" s="114">
        <v>625762</v>
      </c>
      <c r="AU88" s="114">
        <v>0</v>
      </c>
      <c r="AV88" s="114">
        <v>1244840</v>
      </c>
      <c r="AW88" s="114">
        <v>25737</v>
      </c>
      <c r="AX88" s="114">
        <v>15301</v>
      </c>
      <c r="AY88" s="114">
        <v>3099000</v>
      </c>
      <c r="BD88" s="131">
        <v>9339344.5199999996</v>
      </c>
      <c r="BE88" s="82">
        <v>4763065.71</v>
      </c>
      <c r="BF88" s="117">
        <v>0</v>
      </c>
      <c r="BG88" s="118">
        <v>0</v>
      </c>
      <c r="BH88" s="118">
        <v>0</v>
      </c>
      <c r="BI88" s="117">
        <v>51348049</v>
      </c>
      <c r="BJ88" s="117">
        <v>51348049</v>
      </c>
      <c r="BK88" s="117">
        <v>50098430.400000021</v>
      </c>
      <c r="BL88" s="117">
        <v>48947434.400000021</v>
      </c>
      <c r="BM88" s="117">
        <v>0</v>
      </c>
      <c r="BN88" s="117">
        <v>0</v>
      </c>
      <c r="BO88" s="119"/>
      <c r="BP88" s="86">
        <v>1594258304.1100001</v>
      </c>
      <c r="BQ88" s="86">
        <v>1302129056</v>
      </c>
      <c r="BR88" s="87">
        <v>1307100</v>
      </c>
      <c r="BT88" s="114">
        <v>10280</v>
      </c>
      <c r="BU88" s="114">
        <v>1714</v>
      </c>
      <c r="BV88" s="114">
        <v>907</v>
      </c>
      <c r="BW88" s="114">
        <f t="shared" si="20"/>
        <v>12901</v>
      </c>
      <c r="BX88" s="86">
        <v>1194400083</v>
      </c>
      <c r="BY88" s="82">
        <f t="shared" si="16"/>
        <v>182511312</v>
      </c>
      <c r="BZ88" s="82">
        <f t="shared" si="17"/>
        <v>4559387</v>
      </c>
      <c r="CA88" s="86">
        <f t="shared" si="18"/>
        <v>132225797</v>
      </c>
      <c r="CB88" s="86">
        <f t="shared" si="19"/>
        <v>1513696579</v>
      </c>
    </row>
    <row r="89" spans="1:80" x14ac:dyDescent="0.25">
      <c r="A89" s="91" t="s">
        <v>143</v>
      </c>
      <c r="B89" s="114">
        <v>127426950</v>
      </c>
      <c r="C89" s="114">
        <v>92890850</v>
      </c>
      <c r="D89" s="114">
        <v>51305040</v>
      </c>
      <c r="E89" s="114">
        <v>0</v>
      </c>
      <c r="F89" s="114">
        <v>20050400</v>
      </c>
      <c r="G89" s="114">
        <v>15435800</v>
      </c>
      <c r="H89" s="114">
        <v>12623500</v>
      </c>
      <c r="I89" s="114">
        <v>7995200</v>
      </c>
      <c r="J89" s="114">
        <v>0</v>
      </c>
      <c r="K89" s="114">
        <v>0</v>
      </c>
      <c r="L89" s="114">
        <v>74023325</v>
      </c>
      <c r="M89" s="114">
        <v>12321000</v>
      </c>
      <c r="N89" s="114">
        <v>1045</v>
      </c>
      <c r="O89" s="114">
        <v>790</v>
      </c>
      <c r="P89" s="114">
        <v>1213000</v>
      </c>
      <c r="Q89" s="114">
        <v>897000</v>
      </c>
      <c r="R89" s="114">
        <v>1795000</v>
      </c>
      <c r="S89" s="114">
        <v>319000</v>
      </c>
      <c r="T89" s="114">
        <v>168000</v>
      </c>
      <c r="U89" s="114">
        <v>0</v>
      </c>
      <c r="V89" s="114">
        <v>1213000</v>
      </c>
      <c r="W89" s="114">
        <v>1122000</v>
      </c>
      <c r="X89" s="114">
        <v>1795000</v>
      </c>
      <c r="Y89" s="114">
        <v>319000</v>
      </c>
      <c r="Z89" s="114">
        <v>200000</v>
      </c>
      <c r="AA89" s="114">
        <v>0</v>
      </c>
      <c r="AB89" s="114">
        <v>-2531100</v>
      </c>
      <c r="AC89" s="114">
        <v>-83377</v>
      </c>
      <c r="AD89" s="114">
        <v>175335</v>
      </c>
      <c r="AE89" s="114">
        <v>0</v>
      </c>
      <c r="AF89" s="114">
        <v>0</v>
      </c>
      <c r="AG89" s="114">
        <v>0</v>
      </c>
      <c r="AH89" s="114">
        <v>195286.89</v>
      </c>
      <c r="AI89" s="114">
        <v>635524.59</v>
      </c>
      <c r="AJ89" s="121">
        <v>1196.72</v>
      </c>
      <c r="AK89" s="87">
        <v>78118258</v>
      </c>
      <c r="AL89" s="83">
        <v>1889854</v>
      </c>
      <c r="AM89" s="114">
        <v>0</v>
      </c>
      <c r="AN89" s="114">
        <v>17798353</v>
      </c>
      <c r="AO89" s="114">
        <v>3152128</v>
      </c>
      <c r="AP89" s="114">
        <v>5458116</v>
      </c>
      <c r="AQ89" s="114">
        <v>8862045</v>
      </c>
      <c r="AR89" s="114">
        <v>9788926</v>
      </c>
      <c r="AS89" s="114">
        <v>0</v>
      </c>
      <c r="AT89" s="114">
        <v>1817175</v>
      </c>
      <c r="AU89" s="114">
        <v>0</v>
      </c>
      <c r="AV89" s="114">
        <v>0</v>
      </c>
      <c r="AW89" s="114">
        <v>0</v>
      </c>
      <c r="AX89" s="114">
        <v>0</v>
      </c>
      <c r="AY89" s="114">
        <v>205906</v>
      </c>
      <c r="BD89" s="82">
        <v>3997265.1799999997</v>
      </c>
      <c r="BE89" s="82">
        <v>2038605.24</v>
      </c>
      <c r="BF89" s="117">
        <v>0</v>
      </c>
      <c r="BG89" s="118">
        <v>0</v>
      </c>
      <c r="BH89" s="118">
        <v>0</v>
      </c>
      <c r="BI89" s="117">
        <v>1930578</v>
      </c>
      <c r="BJ89" s="117">
        <v>1930578</v>
      </c>
      <c r="BK89" s="117">
        <v>41906018.20000001</v>
      </c>
      <c r="BL89" s="117">
        <v>41692461.20000001</v>
      </c>
      <c r="BM89" s="117">
        <v>0</v>
      </c>
      <c r="BN89" s="117">
        <v>0</v>
      </c>
      <c r="BO89" s="119"/>
      <c r="BP89" s="86">
        <v>427937130.63999999</v>
      </c>
      <c r="BQ89" s="86">
        <v>302267374.19999999</v>
      </c>
      <c r="BR89" s="87">
        <v>5830500</v>
      </c>
      <c r="BT89" s="114">
        <v>4698</v>
      </c>
      <c r="BU89" s="114">
        <v>3260</v>
      </c>
      <c r="BV89" s="114">
        <v>332</v>
      </c>
      <c r="BW89" s="114">
        <f t="shared" si="20"/>
        <v>8290</v>
      </c>
      <c r="BX89" s="86">
        <v>271622840</v>
      </c>
      <c r="BY89" s="82">
        <f t="shared" si="16"/>
        <v>78118258</v>
      </c>
      <c r="BZ89" s="82">
        <f t="shared" si="17"/>
        <v>1889854</v>
      </c>
      <c r="CA89" s="86">
        <f t="shared" si="18"/>
        <v>29812526</v>
      </c>
      <c r="CB89" s="86">
        <f t="shared" si="19"/>
        <v>381443478</v>
      </c>
    </row>
    <row r="90" spans="1:80" x14ac:dyDescent="0.25">
      <c r="A90" s="91" t="s">
        <v>144</v>
      </c>
      <c r="B90" s="114">
        <v>614437975</v>
      </c>
      <c r="C90" s="114">
        <v>178437366</v>
      </c>
      <c r="D90" s="114">
        <v>212899664</v>
      </c>
      <c r="E90" s="114">
        <v>0</v>
      </c>
      <c r="F90" s="114">
        <v>93018030</v>
      </c>
      <c r="G90" s="114">
        <v>30784473</v>
      </c>
      <c r="H90" s="114">
        <v>14157900</v>
      </c>
      <c r="I90" s="114">
        <v>2835300</v>
      </c>
      <c r="J90" s="114">
        <v>130200</v>
      </c>
      <c r="K90" s="114">
        <v>75200</v>
      </c>
      <c r="L90" s="114">
        <v>201201352</v>
      </c>
      <c r="M90" s="114">
        <v>103563644</v>
      </c>
      <c r="N90" s="114">
        <v>3015</v>
      </c>
      <c r="O90" s="114">
        <v>1013</v>
      </c>
      <c r="P90" s="114">
        <v>11717942</v>
      </c>
      <c r="Q90" s="114">
        <v>4594786</v>
      </c>
      <c r="R90" s="114">
        <v>8970220</v>
      </c>
      <c r="S90" s="114">
        <v>8152898</v>
      </c>
      <c r="T90" s="114">
        <v>3780911</v>
      </c>
      <c r="U90" s="114">
        <v>8519362</v>
      </c>
      <c r="V90" s="114">
        <v>11707942</v>
      </c>
      <c r="W90" s="114">
        <v>11225587</v>
      </c>
      <c r="X90" s="114">
        <v>8970220</v>
      </c>
      <c r="Y90" s="114">
        <v>8152898</v>
      </c>
      <c r="Z90" s="114">
        <v>5692926</v>
      </c>
      <c r="AA90" s="114">
        <v>8519362</v>
      </c>
      <c r="AB90" s="114">
        <v>-7427313</v>
      </c>
      <c r="AC90" s="114">
        <v>0</v>
      </c>
      <c r="AD90" s="114">
        <v>69385</v>
      </c>
      <c r="AE90" s="114">
        <v>125868</v>
      </c>
      <c r="AF90" s="114">
        <v>10336</v>
      </c>
      <c r="AG90" s="114">
        <v>190833</v>
      </c>
      <c r="AH90" s="114">
        <v>5031721.3099999996</v>
      </c>
      <c r="AI90" s="114">
        <v>305368.84999999998</v>
      </c>
      <c r="AJ90" s="121">
        <v>33388352.460000001</v>
      </c>
      <c r="AK90" s="82">
        <v>222086751</v>
      </c>
      <c r="AL90" s="83">
        <v>6312126</v>
      </c>
      <c r="AM90" s="114">
        <v>0</v>
      </c>
      <c r="AN90" s="114">
        <v>46780297</v>
      </c>
      <c r="AO90" s="114">
        <v>4659693</v>
      </c>
      <c r="AP90" s="114">
        <v>70717360</v>
      </c>
      <c r="AQ90" s="114">
        <v>72954627</v>
      </c>
      <c r="AR90" s="114">
        <v>42869052</v>
      </c>
      <c r="AS90" s="114">
        <v>3179230</v>
      </c>
      <c r="AT90" s="114">
        <v>21578537</v>
      </c>
      <c r="AU90" s="114">
        <v>0</v>
      </c>
      <c r="AV90" s="114">
        <v>0</v>
      </c>
      <c r="AW90" s="114">
        <v>444936</v>
      </c>
      <c r="AX90" s="114">
        <v>1582</v>
      </c>
      <c r="AY90" s="114">
        <v>245314</v>
      </c>
      <c r="BD90" s="82">
        <v>11366320.460000001</v>
      </c>
      <c r="BE90" s="82">
        <v>5796823.4399999995</v>
      </c>
      <c r="BF90" s="117">
        <v>8098964</v>
      </c>
      <c r="BG90" s="118">
        <v>4030155</v>
      </c>
      <c r="BH90" s="118">
        <v>8060310</v>
      </c>
      <c r="BI90" s="117">
        <v>80337900</v>
      </c>
      <c r="BJ90" s="117">
        <v>77603904</v>
      </c>
      <c r="BK90" s="117">
        <v>168729151.39999998</v>
      </c>
      <c r="BL90" s="117">
        <v>166331353.39999998</v>
      </c>
      <c r="BM90" s="117">
        <v>0</v>
      </c>
      <c r="BN90" s="117">
        <v>0</v>
      </c>
      <c r="BO90" s="119"/>
      <c r="BP90" s="86">
        <v>1651056177.46</v>
      </c>
      <c r="BQ90" s="86">
        <v>1168895064.6199999</v>
      </c>
      <c r="BR90" s="87">
        <v>950700</v>
      </c>
      <c r="BT90" s="114">
        <v>16338</v>
      </c>
      <c r="BU90" s="114">
        <v>3023</v>
      </c>
      <c r="BV90" s="114">
        <v>1025</v>
      </c>
      <c r="BW90" s="114">
        <f t="shared" si="20"/>
        <v>20386</v>
      </c>
      <c r="BX90" s="86">
        <v>1005775005</v>
      </c>
      <c r="BY90" s="82">
        <f t="shared" si="16"/>
        <v>222086751</v>
      </c>
      <c r="BZ90" s="82">
        <f t="shared" si="17"/>
        <v>6312126</v>
      </c>
      <c r="CA90" s="86">
        <f t="shared" si="18"/>
        <v>127573847</v>
      </c>
      <c r="CB90" s="86">
        <f t="shared" si="19"/>
        <v>1361747729</v>
      </c>
    </row>
    <row r="91" spans="1:80" x14ac:dyDescent="0.25">
      <c r="A91" s="91" t="s">
        <v>145</v>
      </c>
      <c r="B91" s="114">
        <v>1815905221</v>
      </c>
      <c r="C91" s="114">
        <v>375317345</v>
      </c>
      <c r="D91" s="114">
        <v>600328881</v>
      </c>
      <c r="E91" s="114">
        <v>196554600</v>
      </c>
      <c r="F91" s="114">
        <v>117456569</v>
      </c>
      <c r="G91" s="114">
        <v>18720435</v>
      </c>
      <c r="H91" s="114">
        <v>25896490</v>
      </c>
      <c r="I91" s="114">
        <v>1883085</v>
      </c>
      <c r="J91" s="114">
        <v>300800</v>
      </c>
      <c r="K91" s="114">
        <v>0</v>
      </c>
      <c r="L91" s="114">
        <v>667940286</v>
      </c>
      <c r="M91" s="114">
        <v>318665907</v>
      </c>
      <c r="N91" s="114">
        <v>3867</v>
      </c>
      <c r="O91" s="114">
        <v>574</v>
      </c>
      <c r="P91" s="114">
        <v>24470125</v>
      </c>
      <c r="Q91" s="114">
        <v>6109400</v>
      </c>
      <c r="R91" s="114">
        <v>48247975</v>
      </c>
      <c r="S91" s="114">
        <v>2858493</v>
      </c>
      <c r="T91" s="114">
        <v>80700</v>
      </c>
      <c r="U91" s="114">
        <v>17065380</v>
      </c>
      <c r="V91" s="114">
        <v>24470125</v>
      </c>
      <c r="W91" s="114">
        <v>6109400</v>
      </c>
      <c r="X91" s="114">
        <v>48247975</v>
      </c>
      <c r="Y91" s="114">
        <v>2858493</v>
      </c>
      <c r="Z91" s="114">
        <v>80700</v>
      </c>
      <c r="AA91" s="114">
        <v>17065380</v>
      </c>
      <c r="AB91" s="114">
        <v>-11539587</v>
      </c>
      <c r="AC91" s="114">
        <v>-1442817</v>
      </c>
      <c r="AD91" s="114">
        <v>28348</v>
      </c>
      <c r="AE91" s="114">
        <v>1012017</v>
      </c>
      <c r="AF91" s="114">
        <v>494072</v>
      </c>
      <c r="AG91" s="114">
        <v>245041</v>
      </c>
      <c r="AH91" s="114">
        <v>0</v>
      </c>
      <c r="AI91" s="114">
        <v>1681459.02</v>
      </c>
      <c r="AJ91" s="121">
        <v>0</v>
      </c>
      <c r="AK91" s="82">
        <v>359924139</v>
      </c>
      <c r="AL91" s="83">
        <v>8035243</v>
      </c>
      <c r="AM91" s="114">
        <v>0</v>
      </c>
      <c r="AN91" s="114">
        <v>103382563</v>
      </c>
      <c r="AO91" s="114">
        <v>7290560</v>
      </c>
      <c r="AP91" s="114">
        <v>322015363</v>
      </c>
      <c r="AQ91" s="114">
        <v>68045156</v>
      </c>
      <c r="AR91" s="114">
        <v>78729946</v>
      </c>
      <c r="AS91" s="87">
        <v>18712676</v>
      </c>
      <c r="AT91" s="114">
        <f>4853172+500</f>
        <v>4853672</v>
      </c>
      <c r="AU91" s="114">
        <v>0</v>
      </c>
      <c r="AV91" s="114">
        <v>0</v>
      </c>
      <c r="AW91" s="114">
        <v>1634349</v>
      </c>
      <c r="AX91" s="114">
        <v>217068</v>
      </c>
      <c r="AY91" s="114">
        <v>1310900</v>
      </c>
      <c r="BD91" s="82">
        <v>18415480.27</v>
      </c>
      <c r="BE91" s="82">
        <v>9391894.9399999995</v>
      </c>
      <c r="BF91" s="117">
        <v>0</v>
      </c>
      <c r="BG91" s="118">
        <v>963488</v>
      </c>
      <c r="BH91" s="118">
        <v>1926977</v>
      </c>
      <c r="BI91" s="117">
        <v>18537616</v>
      </c>
      <c r="BJ91" s="117">
        <v>17828656</v>
      </c>
      <c r="BK91" s="117">
        <v>53134783.199999988</v>
      </c>
      <c r="BL91" s="117">
        <v>51941756.199999988</v>
      </c>
      <c r="BM91" s="117">
        <v>556538570</v>
      </c>
      <c r="BN91" s="117">
        <v>0</v>
      </c>
      <c r="BO91" s="119"/>
      <c r="BP91" s="86">
        <v>3976574932.1599998</v>
      </c>
      <c r="BQ91" s="86">
        <v>2971951185.02</v>
      </c>
      <c r="BR91" s="87">
        <v>3241634</v>
      </c>
      <c r="BT91" s="114">
        <v>17381</v>
      </c>
      <c r="BU91" s="114">
        <v>3807</v>
      </c>
      <c r="BV91" s="114">
        <v>1148</v>
      </c>
      <c r="BW91" s="114">
        <f t="shared" si="20"/>
        <v>22336</v>
      </c>
      <c r="BX91" s="86">
        <v>2791551447</v>
      </c>
      <c r="BY91" s="82">
        <f t="shared" si="16"/>
        <v>359924139</v>
      </c>
      <c r="BZ91" s="82">
        <f t="shared" si="17"/>
        <v>8035243</v>
      </c>
      <c r="CA91" s="86">
        <f t="shared" si="18"/>
        <v>197430955</v>
      </c>
      <c r="CB91" s="86">
        <f t="shared" si="19"/>
        <v>3356941784</v>
      </c>
    </row>
    <row r="92" spans="1:80" x14ac:dyDescent="0.25">
      <c r="A92" s="91" t="s">
        <v>146</v>
      </c>
      <c r="B92" s="114">
        <v>112225064</v>
      </c>
      <c r="C92" s="114">
        <v>98746347</v>
      </c>
      <c r="D92" s="114">
        <v>15265289</v>
      </c>
      <c r="E92" s="114">
        <v>0</v>
      </c>
      <c r="F92" s="114">
        <v>19578900</v>
      </c>
      <c r="G92" s="114">
        <v>4264165</v>
      </c>
      <c r="H92" s="114">
        <v>8114500</v>
      </c>
      <c r="I92" s="114">
        <v>1429200</v>
      </c>
      <c r="J92" s="114">
        <v>37600</v>
      </c>
      <c r="K92" s="114">
        <v>37600</v>
      </c>
      <c r="L92" s="114">
        <v>98016833</v>
      </c>
      <c r="M92" s="114">
        <v>83277801</v>
      </c>
      <c r="N92" s="114">
        <v>767</v>
      </c>
      <c r="O92" s="114">
        <v>169</v>
      </c>
      <c r="P92" s="114">
        <v>1040250</v>
      </c>
      <c r="Q92" s="114">
        <v>2250400</v>
      </c>
      <c r="R92" s="114">
        <v>98415</v>
      </c>
      <c r="S92" s="114">
        <v>1310490</v>
      </c>
      <c r="T92" s="114">
        <v>335850</v>
      </c>
      <c r="U92" s="114">
        <v>129320</v>
      </c>
      <c r="V92" s="114">
        <v>1040250</v>
      </c>
      <c r="W92" s="114">
        <v>2167150</v>
      </c>
      <c r="X92" s="114">
        <v>98415</v>
      </c>
      <c r="Y92" s="114">
        <v>1310490</v>
      </c>
      <c r="Z92" s="114">
        <v>407785</v>
      </c>
      <c r="AA92" s="114">
        <v>129320</v>
      </c>
      <c r="AB92" s="114">
        <v>-834665</v>
      </c>
      <c r="AC92" s="114">
        <v>-36839</v>
      </c>
      <c r="AD92" s="114">
        <v>0</v>
      </c>
      <c r="AE92" s="114">
        <v>0</v>
      </c>
      <c r="AF92" s="114">
        <v>0</v>
      </c>
      <c r="AG92" s="114">
        <v>116473</v>
      </c>
      <c r="AH92" s="114">
        <v>0</v>
      </c>
      <c r="AI92" s="114">
        <v>0</v>
      </c>
      <c r="AJ92" s="121">
        <v>0</v>
      </c>
      <c r="AK92" s="82">
        <v>48404944</v>
      </c>
      <c r="AL92" s="83">
        <v>909254</v>
      </c>
      <c r="AM92" s="114">
        <v>36500</v>
      </c>
      <c r="AN92" s="114">
        <v>1865694</v>
      </c>
      <c r="AO92" s="114">
        <v>56466</v>
      </c>
      <c r="AP92" s="114">
        <v>1340430</v>
      </c>
      <c r="AQ92" s="114">
        <v>1760130</v>
      </c>
      <c r="AR92" s="114">
        <v>152297</v>
      </c>
      <c r="AS92" s="114">
        <v>0</v>
      </c>
      <c r="AT92" s="114">
        <v>296632</v>
      </c>
      <c r="AU92" s="114">
        <v>0</v>
      </c>
      <c r="AV92" s="114">
        <v>0</v>
      </c>
      <c r="AW92" s="114">
        <v>13663</v>
      </c>
      <c r="AX92" s="114">
        <v>0</v>
      </c>
      <c r="AY92" s="114">
        <v>0</v>
      </c>
      <c r="BD92" s="82">
        <v>2476219.31</v>
      </c>
      <c r="BE92" s="82">
        <v>1262871.8500000001</v>
      </c>
      <c r="BF92" s="117">
        <v>0</v>
      </c>
      <c r="BG92" s="118">
        <v>1180179</v>
      </c>
      <c r="BH92" s="118">
        <v>2360359</v>
      </c>
      <c r="BI92" s="117">
        <v>27573712</v>
      </c>
      <c r="BJ92" s="117">
        <v>27573712</v>
      </c>
      <c r="BK92" s="117">
        <v>18099307</v>
      </c>
      <c r="BL92" s="117">
        <v>17694106</v>
      </c>
      <c r="BM92" s="117">
        <v>0</v>
      </c>
      <c r="BN92" s="117">
        <v>0</v>
      </c>
      <c r="BO92" s="119"/>
      <c r="BP92" s="86">
        <v>326944056.85000002</v>
      </c>
      <c r="BQ92" s="86">
        <v>229918990</v>
      </c>
      <c r="BR92" s="87">
        <v>241950</v>
      </c>
      <c r="BT92" s="114">
        <v>2576</v>
      </c>
      <c r="BU92" s="114">
        <v>1591</v>
      </c>
      <c r="BV92" s="114">
        <v>150</v>
      </c>
      <c r="BW92" s="114">
        <f>SUM(BT92:BV92)</f>
        <v>4317</v>
      </c>
      <c r="BX92" s="86">
        <v>226236700</v>
      </c>
      <c r="BY92" s="82">
        <f t="shared" si="16"/>
        <v>48404944</v>
      </c>
      <c r="BZ92" s="82">
        <f t="shared" si="17"/>
        <v>909254</v>
      </c>
      <c r="CA92" s="86">
        <f t="shared" si="18"/>
        <v>3682290</v>
      </c>
      <c r="CB92" s="86">
        <f t="shared" si="19"/>
        <v>279233188</v>
      </c>
    </row>
    <row r="93" spans="1:80" x14ac:dyDescent="0.25">
      <c r="A93" s="91" t="s">
        <v>147</v>
      </c>
      <c r="B93" s="114">
        <v>391910968</v>
      </c>
      <c r="C93" s="114">
        <v>208262108</v>
      </c>
      <c r="D93" s="114">
        <v>122659015</v>
      </c>
      <c r="E93" s="114">
        <v>0</v>
      </c>
      <c r="F93" s="114">
        <v>53693650</v>
      </c>
      <c r="G93" s="114">
        <v>19756498</v>
      </c>
      <c r="H93" s="114">
        <v>17853002</v>
      </c>
      <c r="I93" s="114">
        <v>4447995</v>
      </c>
      <c r="J93" s="114">
        <v>75200</v>
      </c>
      <c r="K93" s="114">
        <v>37600</v>
      </c>
      <c r="L93" s="114">
        <v>367223814</v>
      </c>
      <c r="M93" s="114">
        <v>17440538</v>
      </c>
      <c r="N93" s="114">
        <v>2101</v>
      </c>
      <c r="O93" s="114">
        <v>783</v>
      </c>
      <c r="P93" s="114">
        <v>3344000</v>
      </c>
      <c r="Q93" s="114">
        <v>2506800</v>
      </c>
      <c r="R93" s="114">
        <v>975200</v>
      </c>
      <c r="S93" s="114">
        <v>3351760</v>
      </c>
      <c r="T93" s="114">
        <v>240250</v>
      </c>
      <c r="U93" s="114">
        <v>758289</v>
      </c>
      <c r="V93" s="114">
        <v>3344000</v>
      </c>
      <c r="W93" s="114">
        <v>2506800</v>
      </c>
      <c r="X93" s="114">
        <v>975200</v>
      </c>
      <c r="Y93" s="114">
        <v>3351760</v>
      </c>
      <c r="Z93" s="114">
        <v>153600</v>
      </c>
      <c r="AA93" s="114">
        <v>758289</v>
      </c>
      <c r="AB93" s="114">
        <v>-3325960</v>
      </c>
      <c r="AC93" s="114">
        <v>-787305</v>
      </c>
      <c r="AD93" s="114">
        <v>338033</v>
      </c>
      <c r="AE93" s="114">
        <v>19055</v>
      </c>
      <c r="AF93" s="114">
        <v>22008394</v>
      </c>
      <c r="AG93" s="114">
        <v>337987</v>
      </c>
      <c r="AH93" s="114">
        <v>2939360.66</v>
      </c>
      <c r="AI93" s="114">
        <v>359327.87</v>
      </c>
      <c r="AJ93" s="121">
        <v>34475377.049999997</v>
      </c>
      <c r="AK93" s="82">
        <v>140273138</v>
      </c>
      <c r="AL93" s="83">
        <v>3925802</v>
      </c>
      <c r="AM93" s="114">
        <v>0</v>
      </c>
      <c r="AN93" s="114">
        <v>66676742</v>
      </c>
      <c r="AO93" s="114">
        <v>13171772</v>
      </c>
      <c r="AP93" s="114">
        <v>111039374</v>
      </c>
      <c r="AQ93" s="114">
        <v>30464781</v>
      </c>
      <c r="AR93" s="114">
        <v>31042117</v>
      </c>
      <c r="AS93" s="114">
        <v>6310837</v>
      </c>
      <c r="AT93" s="114">
        <v>5666604</v>
      </c>
      <c r="AU93" s="114">
        <v>0</v>
      </c>
      <c r="AV93" s="114">
        <v>0</v>
      </c>
      <c r="AW93" s="114">
        <v>321084</v>
      </c>
      <c r="AX93" s="114">
        <v>442</v>
      </c>
      <c r="AY93" s="114">
        <v>0</v>
      </c>
      <c r="BD93" s="82">
        <v>7178981.1000000006</v>
      </c>
      <c r="BE93" s="82">
        <v>3661280.36</v>
      </c>
      <c r="BF93" s="117">
        <v>9546114</v>
      </c>
      <c r="BG93" s="118">
        <v>2424091</v>
      </c>
      <c r="BH93" s="118">
        <v>4848183</v>
      </c>
      <c r="BI93" s="117">
        <v>53446339</v>
      </c>
      <c r="BJ93" s="117">
        <v>49283644</v>
      </c>
      <c r="BK93" s="117">
        <v>65643378.000000007</v>
      </c>
      <c r="BL93" s="117">
        <v>62637395.000000007</v>
      </c>
      <c r="BM93" s="117">
        <v>0</v>
      </c>
      <c r="BN93" s="117">
        <v>0</v>
      </c>
      <c r="BO93" s="119"/>
      <c r="BP93" s="86">
        <v>1133124801.9400001</v>
      </c>
      <c r="BQ93" s="86">
        <v>870919451.57999992</v>
      </c>
      <c r="BR93" s="87">
        <v>1138865</v>
      </c>
      <c r="BT93" s="114">
        <v>11088</v>
      </c>
      <c r="BU93" s="114">
        <v>5651</v>
      </c>
      <c r="BV93" s="114">
        <v>567</v>
      </c>
      <c r="BW93" s="114">
        <f t="shared" ref="BW93:BW113" si="21">SUM(BT93:BV93)</f>
        <v>17306</v>
      </c>
      <c r="BX93" s="86">
        <v>722832091</v>
      </c>
      <c r="BY93" s="82">
        <f t="shared" si="16"/>
        <v>140273138</v>
      </c>
      <c r="BZ93" s="82">
        <f t="shared" si="17"/>
        <v>3925802</v>
      </c>
      <c r="CA93" s="86">
        <f t="shared" si="18"/>
        <v>116624132</v>
      </c>
      <c r="CB93" s="86">
        <f t="shared" si="19"/>
        <v>983655163</v>
      </c>
    </row>
    <row r="94" spans="1:80" x14ac:dyDescent="0.25">
      <c r="A94" s="91" t="s">
        <v>148</v>
      </c>
      <c r="B94" s="114">
        <v>5320233751</v>
      </c>
      <c r="C94" s="114">
        <v>254716625</v>
      </c>
      <c r="D94" s="114">
        <v>518084156</v>
      </c>
      <c r="E94" s="114">
        <v>0</v>
      </c>
      <c r="F94" s="114">
        <v>154819800</v>
      </c>
      <c r="G94" s="114">
        <v>13145900</v>
      </c>
      <c r="H94" s="114">
        <v>7670400</v>
      </c>
      <c r="I94" s="114">
        <v>451200</v>
      </c>
      <c r="J94" s="114">
        <v>338400</v>
      </c>
      <c r="K94" s="114">
        <v>0</v>
      </c>
      <c r="L94" s="114">
        <v>595137710</v>
      </c>
      <c r="M94" s="114">
        <v>200811850</v>
      </c>
      <c r="N94" s="114">
        <v>4346</v>
      </c>
      <c r="O94" s="114">
        <v>368</v>
      </c>
      <c r="P94" s="114">
        <v>129397528</v>
      </c>
      <c r="Q94" s="114">
        <v>9563340</v>
      </c>
      <c r="R94" s="114">
        <v>14633000</v>
      </c>
      <c r="S94" s="114">
        <v>23862670</v>
      </c>
      <c r="T94" s="114">
        <v>5141938</v>
      </c>
      <c r="U94" s="114">
        <v>7392000</v>
      </c>
      <c r="V94" s="114">
        <v>129397528</v>
      </c>
      <c r="W94" s="114">
        <v>28272250</v>
      </c>
      <c r="X94" s="114">
        <v>14633000</v>
      </c>
      <c r="Y94" s="114">
        <v>23862670</v>
      </c>
      <c r="Z94" s="114">
        <v>15097000</v>
      </c>
      <c r="AA94" s="114">
        <v>7392000</v>
      </c>
      <c r="AB94" s="114">
        <v>-18442565</v>
      </c>
      <c r="AC94" s="114">
        <v>-155506</v>
      </c>
      <c r="AD94" s="114">
        <v>0</v>
      </c>
      <c r="AE94" s="114">
        <v>0</v>
      </c>
      <c r="AF94" s="114">
        <v>0</v>
      </c>
      <c r="AG94" s="114">
        <v>62056</v>
      </c>
      <c r="AH94" s="114">
        <v>0</v>
      </c>
      <c r="AI94" s="114">
        <v>1051139.3400000001</v>
      </c>
      <c r="AJ94" s="121">
        <v>0</v>
      </c>
      <c r="AK94" s="82">
        <v>572799350</v>
      </c>
      <c r="AL94" s="83">
        <v>15399147</v>
      </c>
      <c r="AM94" s="114">
        <v>3878346</v>
      </c>
      <c r="AN94" s="114">
        <v>62657241</v>
      </c>
      <c r="AO94" s="114">
        <v>3285004</v>
      </c>
      <c r="AP94" s="114">
        <v>74379474</v>
      </c>
      <c r="AQ94" s="114">
        <v>35930021</v>
      </c>
      <c r="AR94" s="114">
        <v>64585776</v>
      </c>
      <c r="AS94" s="114">
        <v>7314056</v>
      </c>
      <c r="AT94" s="114">
        <v>10147082</v>
      </c>
      <c r="AU94" s="114">
        <v>0</v>
      </c>
      <c r="AV94" s="114">
        <v>0</v>
      </c>
      <c r="AW94" s="114">
        <v>0</v>
      </c>
      <c r="AX94" s="114">
        <v>1791412</v>
      </c>
      <c r="AY94" s="114">
        <v>150000</v>
      </c>
      <c r="BD94" s="82">
        <v>29313533.970000003</v>
      </c>
      <c r="BE94" s="82">
        <v>14949902.33</v>
      </c>
      <c r="BF94" s="117">
        <v>16451813</v>
      </c>
      <c r="BG94" s="118">
        <v>1116447</v>
      </c>
      <c r="BH94" s="118">
        <v>2232893</v>
      </c>
      <c r="BI94" s="117">
        <v>48593893</v>
      </c>
      <c r="BJ94" s="117">
        <v>48593893</v>
      </c>
      <c r="BK94" s="117">
        <v>93652837.800000012</v>
      </c>
      <c r="BL94" s="117">
        <v>92429282.800000012</v>
      </c>
      <c r="BM94" s="117">
        <v>828787</v>
      </c>
      <c r="BN94" s="117">
        <v>0</v>
      </c>
      <c r="BO94" s="119"/>
      <c r="BP94" s="86">
        <v>6942074746.4700003</v>
      </c>
      <c r="BQ94" s="86">
        <v>6195957937.3400002</v>
      </c>
      <c r="BR94" s="87">
        <v>1812615</v>
      </c>
      <c r="BT94" s="114">
        <v>22934</v>
      </c>
      <c r="BU94" s="114">
        <v>1284</v>
      </c>
      <c r="BV94" s="114">
        <v>880</v>
      </c>
      <c r="BW94" s="114">
        <f t="shared" si="21"/>
        <v>25098</v>
      </c>
      <c r="BX94" s="86">
        <v>6093034532</v>
      </c>
      <c r="BY94" s="82">
        <f t="shared" si="16"/>
        <v>572799350</v>
      </c>
      <c r="BZ94" s="82">
        <f t="shared" si="17"/>
        <v>15399147</v>
      </c>
      <c r="CA94" s="86">
        <f t="shared" si="18"/>
        <v>109186322</v>
      </c>
      <c r="CB94" s="86">
        <f t="shared" si="19"/>
        <v>6790419351</v>
      </c>
    </row>
    <row r="95" spans="1:80" x14ac:dyDescent="0.25">
      <c r="A95" s="91" t="s">
        <v>149</v>
      </c>
      <c r="B95" s="114">
        <v>284830810</v>
      </c>
      <c r="C95" s="114">
        <v>171567725</v>
      </c>
      <c r="D95" s="114">
        <v>42026183</v>
      </c>
      <c r="E95" s="114">
        <v>0</v>
      </c>
      <c r="F95" s="114">
        <v>25474400</v>
      </c>
      <c r="G95" s="114">
        <v>4030900</v>
      </c>
      <c r="H95" s="114">
        <v>13371800</v>
      </c>
      <c r="I95" s="114">
        <v>1233800</v>
      </c>
      <c r="J95" s="114">
        <v>66900</v>
      </c>
      <c r="K95" s="114">
        <v>0</v>
      </c>
      <c r="L95" s="114">
        <v>311463008</v>
      </c>
      <c r="M95" s="114">
        <v>114852461</v>
      </c>
      <c r="N95" s="114">
        <v>1087</v>
      </c>
      <c r="O95" s="114">
        <v>156</v>
      </c>
      <c r="P95" s="114">
        <v>3434500</v>
      </c>
      <c r="Q95" s="114">
        <v>3144950</v>
      </c>
      <c r="R95" s="114">
        <v>1136000</v>
      </c>
      <c r="S95" s="114">
        <v>2481580</v>
      </c>
      <c r="T95" s="114">
        <v>2087050</v>
      </c>
      <c r="U95" s="114">
        <v>3535700</v>
      </c>
      <c r="V95" s="114">
        <v>3434500</v>
      </c>
      <c r="W95" s="114">
        <v>3355600</v>
      </c>
      <c r="X95" s="114">
        <v>1136000</v>
      </c>
      <c r="Y95" s="114">
        <v>2481580</v>
      </c>
      <c r="Z95" s="114">
        <v>2617000</v>
      </c>
      <c r="AA95" s="114">
        <v>3535700</v>
      </c>
      <c r="AB95" s="114">
        <v>-1102000</v>
      </c>
      <c r="AC95" s="114">
        <v>-77460</v>
      </c>
      <c r="AD95" s="114">
        <v>69406</v>
      </c>
      <c r="AE95" s="114">
        <v>11092016</v>
      </c>
      <c r="AF95" s="114">
        <v>0</v>
      </c>
      <c r="AG95" s="114">
        <v>201110</v>
      </c>
      <c r="AH95" s="114">
        <v>0</v>
      </c>
      <c r="AI95" s="114">
        <v>0</v>
      </c>
      <c r="AJ95" s="121">
        <v>0</v>
      </c>
      <c r="AK95" s="82">
        <v>84738416</v>
      </c>
      <c r="AL95" s="83">
        <v>2636446</v>
      </c>
      <c r="AM95" s="114">
        <v>0</v>
      </c>
      <c r="AN95" s="114">
        <v>7969829</v>
      </c>
      <c r="AO95" s="114">
        <v>3515941</v>
      </c>
      <c r="AP95" s="114">
        <v>4913675</v>
      </c>
      <c r="AQ95" s="114">
        <v>5680845</v>
      </c>
      <c r="AR95" s="114">
        <v>6167004</v>
      </c>
      <c r="AS95" s="114">
        <v>707360</v>
      </c>
      <c r="AT95" s="114">
        <v>223772</v>
      </c>
      <c r="AU95" s="114">
        <v>0</v>
      </c>
      <c r="AV95" s="114">
        <v>32803</v>
      </c>
      <c r="AW95" s="114">
        <v>0</v>
      </c>
      <c r="AX95" s="114">
        <v>4215</v>
      </c>
      <c r="AY95" s="114">
        <v>173300</v>
      </c>
      <c r="BD95" s="82">
        <v>4337433.1099999994</v>
      </c>
      <c r="BE95" s="82">
        <v>2212090.89</v>
      </c>
      <c r="BF95" s="117">
        <v>5026943</v>
      </c>
      <c r="BG95" s="118">
        <v>0</v>
      </c>
      <c r="BH95" s="118">
        <v>0</v>
      </c>
      <c r="BI95" s="117">
        <v>60823381</v>
      </c>
      <c r="BJ95" s="117">
        <v>60823381</v>
      </c>
      <c r="BK95" s="117">
        <v>63254872.600000009</v>
      </c>
      <c r="BL95" s="117">
        <v>63111132.600000009</v>
      </c>
      <c r="BM95" s="117">
        <v>0</v>
      </c>
      <c r="BN95" s="117">
        <v>0</v>
      </c>
      <c r="BO95" s="119"/>
      <c r="BP95" s="86">
        <v>729112799.49000001</v>
      </c>
      <c r="BQ95" s="86">
        <v>515591333</v>
      </c>
      <c r="BR95" s="87">
        <v>267700</v>
      </c>
      <c r="BT95" s="114">
        <v>5958</v>
      </c>
      <c r="BU95" s="114">
        <v>2755</v>
      </c>
      <c r="BV95" s="114">
        <v>235</v>
      </c>
      <c r="BW95" s="114">
        <f t="shared" si="21"/>
        <v>8948</v>
      </c>
      <c r="BX95" s="86">
        <v>498424718</v>
      </c>
      <c r="BY95" s="82">
        <f t="shared" si="16"/>
        <v>84738416</v>
      </c>
      <c r="BZ95" s="82">
        <f t="shared" si="17"/>
        <v>2636446</v>
      </c>
      <c r="CA95" s="86">
        <f t="shared" si="18"/>
        <v>17873975</v>
      </c>
      <c r="CB95" s="86">
        <f t="shared" si="19"/>
        <v>603673555</v>
      </c>
    </row>
    <row r="96" spans="1:80" x14ac:dyDescent="0.25">
      <c r="A96" s="91" t="s">
        <v>150</v>
      </c>
      <c r="B96" s="114">
        <v>36018506</v>
      </c>
      <c r="C96" s="114">
        <v>37362904</v>
      </c>
      <c r="D96" s="114">
        <v>11741500</v>
      </c>
      <c r="E96" s="114">
        <v>0</v>
      </c>
      <c r="F96" s="114">
        <v>7598533</v>
      </c>
      <c r="G96" s="114">
        <v>9032350</v>
      </c>
      <c r="H96" s="114">
        <v>5448450</v>
      </c>
      <c r="I96" s="114">
        <v>3599900</v>
      </c>
      <c r="J96" s="114">
        <v>26000</v>
      </c>
      <c r="K96" s="114">
        <v>0</v>
      </c>
      <c r="L96" s="114">
        <v>67099122</v>
      </c>
      <c r="M96" s="114">
        <v>8470200</v>
      </c>
      <c r="N96" s="114">
        <v>375</v>
      </c>
      <c r="O96" s="114">
        <v>387</v>
      </c>
      <c r="P96" s="114">
        <v>881450</v>
      </c>
      <c r="Q96" s="114">
        <v>292625</v>
      </c>
      <c r="R96" s="114">
        <v>0</v>
      </c>
      <c r="S96" s="114">
        <v>279400</v>
      </c>
      <c r="T96" s="114">
        <v>63500</v>
      </c>
      <c r="U96" s="114">
        <v>0</v>
      </c>
      <c r="V96" s="114">
        <v>881450</v>
      </c>
      <c r="W96" s="114">
        <v>753500</v>
      </c>
      <c r="X96" s="114">
        <v>0</v>
      </c>
      <c r="Y96" s="114">
        <v>279400</v>
      </c>
      <c r="Z96" s="114">
        <v>79100</v>
      </c>
      <c r="AA96" s="114">
        <v>0</v>
      </c>
      <c r="AB96" s="114">
        <v>-1037705</v>
      </c>
      <c r="AC96" s="114">
        <v>0</v>
      </c>
      <c r="AD96" s="114">
        <v>51030</v>
      </c>
      <c r="AE96" s="114">
        <v>0</v>
      </c>
      <c r="AF96" s="114">
        <v>0</v>
      </c>
      <c r="AG96" s="114">
        <v>105595</v>
      </c>
      <c r="AH96" s="114">
        <v>0</v>
      </c>
      <c r="AI96" s="114">
        <v>73639.34</v>
      </c>
      <c r="AJ96" s="121">
        <v>409450.82</v>
      </c>
      <c r="AK96" s="82">
        <v>21837207</v>
      </c>
      <c r="AL96" s="83">
        <v>381784</v>
      </c>
      <c r="AM96" s="114">
        <v>0</v>
      </c>
      <c r="AN96" s="114">
        <v>1609061</v>
      </c>
      <c r="AO96" s="114">
        <v>6859</v>
      </c>
      <c r="AP96" s="114">
        <v>24844</v>
      </c>
      <c r="AQ96" s="114">
        <v>1544268</v>
      </c>
      <c r="AR96" s="114">
        <v>14756</v>
      </c>
      <c r="AS96" s="114">
        <v>0</v>
      </c>
      <c r="AT96" s="114">
        <v>0</v>
      </c>
      <c r="AU96" s="114">
        <v>0</v>
      </c>
      <c r="AV96" s="114">
        <v>0</v>
      </c>
      <c r="AW96" s="114">
        <v>0</v>
      </c>
      <c r="AX96" s="114">
        <v>0</v>
      </c>
      <c r="AY96" s="114">
        <v>0</v>
      </c>
      <c r="BD96" s="82">
        <v>1117042.6599999999</v>
      </c>
      <c r="BE96" s="82">
        <v>569691.75</v>
      </c>
      <c r="BF96" s="117">
        <v>0</v>
      </c>
      <c r="BG96" s="118">
        <v>0</v>
      </c>
      <c r="BH96" s="118">
        <v>0</v>
      </c>
      <c r="BI96" s="117">
        <v>1876931</v>
      </c>
      <c r="BJ96" s="117">
        <v>1876931</v>
      </c>
      <c r="BK96" s="117">
        <v>12771167.199999999</v>
      </c>
      <c r="BL96" s="117">
        <v>12754832.199999999</v>
      </c>
      <c r="BM96" s="117">
        <v>0</v>
      </c>
      <c r="BN96" s="117">
        <v>0</v>
      </c>
      <c r="BO96" s="119"/>
      <c r="BP96" s="86">
        <v>126186634.11</v>
      </c>
      <c r="BQ96" s="86">
        <v>88766188.159999996</v>
      </c>
      <c r="BR96" s="87">
        <v>311100</v>
      </c>
      <c r="BT96" s="114">
        <v>1669</v>
      </c>
      <c r="BU96" s="114">
        <v>1689</v>
      </c>
      <c r="BV96" s="114">
        <v>83</v>
      </c>
      <c r="BW96" s="114">
        <f t="shared" si="21"/>
        <v>3441</v>
      </c>
      <c r="BX96" s="86">
        <v>85122910</v>
      </c>
      <c r="BY96" s="82">
        <f t="shared" si="16"/>
        <v>21837207</v>
      </c>
      <c r="BZ96" s="82">
        <f t="shared" si="17"/>
        <v>381784</v>
      </c>
      <c r="CA96" s="86">
        <f t="shared" si="18"/>
        <v>3160188</v>
      </c>
      <c r="CB96" s="86">
        <f t="shared" si="19"/>
        <v>110502089</v>
      </c>
    </row>
    <row r="97" spans="1:80" x14ac:dyDescent="0.25">
      <c r="A97" s="91" t="s">
        <v>151</v>
      </c>
      <c r="B97" s="114">
        <v>285175105</v>
      </c>
      <c r="C97" s="114">
        <v>188677878</v>
      </c>
      <c r="D97" s="114">
        <v>62568670</v>
      </c>
      <c r="E97" s="114">
        <v>0</v>
      </c>
      <c r="F97" s="114">
        <v>30388680</v>
      </c>
      <c r="G97" s="114">
        <v>6159730</v>
      </c>
      <c r="H97" s="114">
        <v>18492900</v>
      </c>
      <c r="I97" s="114">
        <v>1826100</v>
      </c>
      <c r="J97" s="114">
        <v>37600</v>
      </c>
      <c r="K97" s="114">
        <v>20000</v>
      </c>
      <c r="L97" s="114">
        <v>244559749</v>
      </c>
      <c r="M97" s="114">
        <v>147294553</v>
      </c>
      <c r="N97" s="114">
        <v>1347</v>
      </c>
      <c r="O97" s="114">
        <v>234</v>
      </c>
      <c r="P97" s="114">
        <v>3945500</v>
      </c>
      <c r="Q97" s="114">
        <v>3006150</v>
      </c>
      <c r="R97" s="114">
        <v>230005</v>
      </c>
      <c r="S97" s="114">
        <v>2962642</v>
      </c>
      <c r="T97" s="114">
        <v>1282756</v>
      </c>
      <c r="U97" s="114">
        <v>378900</v>
      </c>
      <c r="V97" s="114">
        <v>3945500</v>
      </c>
      <c r="W97" s="114">
        <v>3408600</v>
      </c>
      <c r="X97" s="114">
        <v>230005</v>
      </c>
      <c r="Y97" s="114">
        <v>2962642</v>
      </c>
      <c r="Z97" s="114">
        <v>3411655</v>
      </c>
      <c r="AA97" s="114">
        <v>378900</v>
      </c>
      <c r="AB97" s="114">
        <v>-555800</v>
      </c>
      <c r="AC97" s="114">
        <v>-31836</v>
      </c>
      <c r="AD97" s="114">
        <v>62</v>
      </c>
      <c r="AE97" s="114">
        <v>0</v>
      </c>
      <c r="AF97" s="114">
        <v>0</v>
      </c>
      <c r="AG97" s="114">
        <v>157998</v>
      </c>
      <c r="AH97" s="114">
        <v>0</v>
      </c>
      <c r="AI97" s="114">
        <v>3261352.46</v>
      </c>
      <c r="AJ97" s="121">
        <v>0</v>
      </c>
      <c r="AK97" s="82">
        <v>105436339</v>
      </c>
      <c r="AL97" s="83">
        <v>2350589</v>
      </c>
      <c r="AM97" s="114">
        <v>0</v>
      </c>
      <c r="AN97" s="114">
        <v>25932024</v>
      </c>
      <c r="AO97" s="114">
        <v>4617312</v>
      </c>
      <c r="AP97" s="114">
        <v>77850761</v>
      </c>
      <c r="AQ97" s="114">
        <v>5597941</v>
      </c>
      <c r="AR97" s="114">
        <v>7602504</v>
      </c>
      <c r="AS97" s="114">
        <v>2581617</v>
      </c>
      <c r="AT97" s="114">
        <v>445024</v>
      </c>
      <c r="AU97" s="114">
        <v>0</v>
      </c>
      <c r="AV97" s="114">
        <v>0</v>
      </c>
      <c r="AW97" s="114">
        <v>0</v>
      </c>
      <c r="AX97" s="114">
        <v>8136708</v>
      </c>
      <c r="AY97" s="114">
        <v>222785</v>
      </c>
      <c r="BD97" s="82">
        <v>5394631.1799999997</v>
      </c>
      <c r="BE97" s="82">
        <v>2751261.91</v>
      </c>
      <c r="BF97" s="117">
        <v>3452850</v>
      </c>
      <c r="BG97" s="118">
        <v>3119153</v>
      </c>
      <c r="BH97" s="118">
        <v>6238305</v>
      </c>
      <c r="BI97" s="117">
        <v>34111582</v>
      </c>
      <c r="BJ97" s="117">
        <v>34111582</v>
      </c>
      <c r="BK97" s="117">
        <v>51289672</v>
      </c>
      <c r="BL97" s="117">
        <v>46816009</v>
      </c>
      <c r="BM97" s="117">
        <v>0</v>
      </c>
      <c r="BN97" s="117">
        <v>0</v>
      </c>
      <c r="BO97" s="119"/>
      <c r="BP97" s="86">
        <v>770415216.37</v>
      </c>
      <c r="BQ97" s="86">
        <v>575830282.46000004</v>
      </c>
      <c r="BR97" s="87">
        <v>516085</v>
      </c>
      <c r="BT97" s="114">
        <v>4718</v>
      </c>
      <c r="BU97" s="114">
        <v>2685</v>
      </c>
      <c r="BV97" s="114">
        <v>343</v>
      </c>
      <c r="BW97" s="114">
        <f t="shared" si="21"/>
        <v>7746</v>
      </c>
      <c r="BX97" s="86">
        <v>536421653</v>
      </c>
      <c r="BY97" s="82">
        <f t="shared" si="16"/>
        <v>105436339</v>
      </c>
      <c r="BZ97" s="82">
        <f t="shared" si="17"/>
        <v>2350589</v>
      </c>
      <c r="CA97" s="86">
        <f t="shared" si="18"/>
        <v>38728894</v>
      </c>
      <c r="CB97" s="86">
        <f t="shared" si="19"/>
        <v>682937475</v>
      </c>
    </row>
    <row r="98" spans="1:80" x14ac:dyDescent="0.25">
      <c r="A98" s="91" t="s">
        <v>152</v>
      </c>
      <c r="B98" s="114">
        <v>460661744</v>
      </c>
      <c r="C98" s="114">
        <v>59834784</v>
      </c>
      <c r="D98" s="114">
        <v>271709055</v>
      </c>
      <c r="E98" s="114">
        <v>0</v>
      </c>
      <c r="F98" s="114">
        <v>69076900</v>
      </c>
      <c r="G98" s="114">
        <v>46618047</v>
      </c>
      <c r="H98" s="114">
        <v>11514025</v>
      </c>
      <c r="I98" s="114">
        <v>4530700</v>
      </c>
      <c r="J98" s="114">
        <v>561800</v>
      </c>
      <c r="K98" s="114">
        <v>188000</v>
      </c>
      <c r="L98" s="114">
        <v>64579629</v>
      </c>
      <c r="M98" s="114">
        <v>44009055</v>
      </c>
      <c r="N98" s="114">
        <v>2498</v>
      </c>
      <c r="O98" s="114">
        <v>1739</v>
      </c>
      <c r="P98" s="114">
        <v>765100</v>
      </c>
      <c r="Q98" s="114">
        <v>0</v>
      </c>
      <c r="R98" s="114">
        <v>0</v>
      </c>
      <c r="S98" s="114">
        <v>2197350</v>
      </c>
      <c r="T98" s="114">
        <v>759900</v>
      </c>
      <c r="U98" s="114">
        <v>25500</v>
      </c>
      <c r="V98" s="114">
        <v>765100</v>
      </c>
      <c r="W98" s="114">
        <v>0</v>
      </c>
      <c r="X98" s="114">
        <v>0</v>
      </c>
      <c r="Y98" s="114">
        <v>2197350</v>
      </c>
      <c r="Z98" s="114">
        <v>759900</v>
      </c>
      <c r="AA98" s="114">
        <v>25500</v>
      </c>
      <c r="AB98" s="114">
        <v>-8985798</v>
      </c>
      <c r="AC98" s="114">
        <v>-100673</v>
      </c>
      <c r="AD98" s="114">
        <v>142808</v>
      </c>
      <c r="AE98" s="114">
        <v>759900</v>
      </c>
      <c r="AF98" s="114">
        <v>0</v>
      </c>
      <c r="AG98" s="114">
        <v>167337</v>
      </c>
      <c r="AH98" s="114">
        <v>5958631.1500000004</v>
      </c>
      <c r="AI98" s="114">
        <v>25429426.23</v>
      </c>
      <c r="AJ98" s="121">
        <v>45938647.539999999</v>
      </c>
      <c r="AK98" s="82">
        <v>200414714</v>
      </c>
      <c r="AL98" s="83">
        <v>4819990</v>
      </c>
      <c r="AM98" s="114">
        <v>28000</v>
      </c>
      <c r="AN98" s="114">
        <v>119102458</v>
      </c>
      <c r="AO98" s="114">
        <v>3201674</v>
      </c>
      <c r="AP98" s="114">
        <v>17359852</v>
      </c>
      <c r="AQ98" s="114">
        <v>48113922</v>
      </c>
      <c r="AR98" s="114">
        <v>36621712</v>
      </c>
      <c r="AS98" s="114">
        <v>260</v>
      </c>
      <c r="AT98" s="114">
        <v>254243</v>
      </c>
      <c r="AU98" s="114">
        <v>0</v>
      </c>
      <c r="AV98" s="114">
        <v>0</v>
      </c>
      <c r="AW98" s="114">
        <v>0</v>
      </c>
      <c r="AX98" s="114">
        <v>19139</v>
      </c>
      <c r="AY98" s="114">
        <v>17175152</v>
      </c>
      <c r="BD98" s="82">
        <v>10255033.790000001</v>
      </c>
      <c r="BE98" s="82">
        <v>5230067.2299999995</v>
      </c>
      <c r="BF98" s="117">
        <v>0</v>
      </c>
      <c r="BG98" s="118">
        <v>7928346</v>
      </c>
      <c r="BH98" s="118">
        <v>15856692</v>
      </c>
      <c r="BI98" s="117">
        <v>62404348</v>
      </c>
      <c r="BJ98" s="117">
        <v>62404348</v>
      </c>
      <c r="BK98" s="117">
        <v>98735580.399999991</v>
      </c>
      <c r="BL98" s="117">
        <v>91380930.399999991</v>
      </c>
      <c r="BM98" s="117">
        <v>0</v>
      </c>
      <c r="BN98" s="117">
        <v>0</v>
      </c>
      <c r="BO98" s="119"/>
      <c r="BP98" s="86">
        <v>1412128737.5500002</v>
      </c>
      <c r="BQ98" s="86">
        <v>1039950341.92</v>
      </c>
      <c r="BR98" s="87">
        <v>1061467</v>
      </c>
      <c r="BT98" s="114">
        <v>13540</v>
      </c>
      <c r="BU98" s="114">
        <v>3739</v>
      </c>
      <c r="BV98" s="114">
        <v>1209</v>
      </c>
      <c r="BW98" s="114">
        <f t="shared" si="21"/>
        <v>18488</v>
      </c>
      <c r="BX98" s="86">
        <v>792205583</v>
      </c>
      <c r="BY98" s="82">
        <f t="shared" ref="BY98:BY121" si="22">AK98</f>
        <v>200414714</v>
      </c>
      <c r="BZ98" s="82">
        <f t="shared" ref="BZ98:BZ121" si="23">AL98</f>
        <v>4819990</v>
      </c>
      <c r="CA98" s="86">
        <f t="shared" ref="CA98:CA121" si="24">AN98+AO98+AQ98+AS98</f>
        <v>170418314</v>
      </c>
      <c r="CB98" s="86">
        <f t="shared" si="19"/>
        <v>1167858601</v>
      </c>
    </row>
    <row r="99" spans="1:80" x14ac:dyDescent="0.25">
      <c r="A99" s="91" t="s">
        <v>153</v>
      </c>
      <c r="B99" s="114">
        <v>1006250169</v>
      </c>
      <c r="C99" s="114">
        <v>145233964</v>
      </c>
      <c r="D99" s="114">
        <v>426268892</v>
      </c>
      <c r="E99" s="114">
        <v>0</v>
      </c>
      <c r="F99" s="114">
        <v>145466173</v>
      </c>
      <c r="G99" s="114">
        <v>146290350</v>
      </c>
      <c r="H99" s="114">
        <v>30193050</v>
      </c>
      <c r="I99" s="114">
        <v>21791200</v>
      </c>
      <c r="J99" s="114">
        <v>595400</v>
      </c>
      <c r="K99" s="114">
        <v>322600</v>
      </c>
      <c r="L99" s="114">
        <v>163140228</v>
      </c>
      <c r="M99" s="114">
        <v>152812251</v>
      </c>
      <c r="N99" s="114">
        <v>5577</v>
      </c>
      <c r="O99" s="114">
        <v>5828</v>
      </c>
      <c r="P99" s="114">
        <v>6569100</v>
      </c>
      <c r="Q99" s="114">
        <v>622700</v>
      </c>
      <c r="R99" s="114">
        <v>1827500</v>
      </c>
      <c r="S99" s="114">
        <v>12747952</v>
      </c>
      <c r="T99" s="114">
        <v>561350</v>
      </c>
      <c r="U99" s="114">
        <v>3699633</v>
      </c>
      <c r="V99" s="114">
        <v>6569100</v>
      </c>
      <c r="W99" s="114">
        <v>645000</v>
      </c>
      <c r="X99" s="114">
        <v>1827500</v>
      </c>
      <c r="Y99" s="114">
        <v>12747952</v>
      </c>
      <c r="Z99" s="114">
        <v>728600</v>
      </c>
      <c r="AA99" s="114">
        <v>3699633</v>
      </c>
      <c r="AB99" s="114">
        <v>-7310595</v>
      </c>
      <c r="AC99" s="114">
        <v>-573449</v>
      </c>
      <c r="AD99" s="114">
        <v>383411</v>
      </c>
      <c r="AE99" s="114">
        <v>0</v>
      </c>
      <c r="AF99" s="114">
        <v>0</v>
      </c>
      <c r="AG99" s="114">
        <v>496218</v>
      </c>
      <c r="AH99" s="114">
        <v>6173491.7999999998</v>
      </c>
      <c r="AI99" s="114">
        <v>123619401.64</v>
      </c>
      <c r="AJ99" s="121">
        <v>84456688.519999996</v>
      </c>
      <c r="AK99" s="82">
        <v>462605638</v>
      </c>
      <c r="AL99" s="83">
        <v>9748649</v>
      </c>
      <c r="AM99" s="114">
        <v>0</v>
      </c>
      <c r="AN99" s="114">
        <v>127784434</v>
      </c>
      <c r="AO99" s="114">
        <v>9229732</v>
      </c>
      <c r="AP99" s="114">
        <v>124502787</v>
      </c>
      <c r="AQ99" s="114">
        <v>103682699</v>
      </c>
      <c r="AR99" s="114">
        <v>70012410</v>
      </c>
      <c r="AS99" s="114">
        <v>7069</v>
      </c>
      <c r="AT99" s="114">
        <f>54522+444</f>
        <v>54966</v>
      </c>
      <c r="AU99" s="114">
        <f>0</f>
        <v>0</v>
      </c>
      <c r="AV99" s="114">
        <v>0</v>
      </c>
      <c r="AW99" s="114">
        <v>0</v>
      </c>
      <c r="AX99" s="114">
        <v>21334</v>
      </c>
      <c r="AY99" s="114">
        <v>1536500</v>
      </c>
      <c r="BD99" s="82">
        <v>23667768.02</v>
      </c>
      <c r="BE99" s="82">
        <v>12070561.689999999</v>
      </c>
      <c r="BF99" s="117">
        <v>0</v>
      </c>
      <c r="BG99" s="118">
        <v>8906830</v>
      </c>
      <c r="BH99" s="118">
        <v>17813661</v>
      </c>
      <c r="BI99" s="117">
        <v>137521631</v>
      </c>
      <c r="BJ99" s="117">
        <v>137521631</v>
      </c>
      <c r="BK99" s="117">
        <v>195203469.40000004</v>
      </c>
      <c r="BL99" s="117">
        <v>185189094.40000004</v>
      </c>
      <c r="BM99" s="117">
        <v>0</v>
      </c>
      <c r="BN99" s="117">
        <v>0</v>
      </c>
      <c r="BO99" s="119"/>
      <c r="BP99" s="86">
        <v>2848741876.0500002</v>
      </c>
      <c r="BQ99" s="86">
        <v>2032699471.96</v>
      </c>
      <c r="BR99" s="87">
        <v>11031427</v>
      </c>
      <c r="BT99" s="114">
        <v>33525</v>
      </c>
      <c r="BU99" s="114">
        <v>7821</v>
      </c>
      <c r="BV99" s="114">
        <v>1802</v>
      </c>
      <c r="BW99" s="114">
        <f t="shared" si="21"/>
        <v>43148</v>
      </c>
      <c r="BX99" s="86">
        <v>1577753025</v>
      </c>
      <c r="BY99" s="82">
        <f t="shared" si="22"/>
        <v>462605638</v>
      </c>
      <c r="BZ99" s="82">
        <f t="shared" si="23"/>
        <v>9748649</v>
      </c>
      <c r="CA99" s="86">
        <f t="shared" si="24"/>
        <v>240703934</v>
      </c>
      <c r="CB99" s="86">
        <f t="shared" si="19"/>
        <v>2290811246</v>
      </c>
    </row>
    <row r="100" spans="1:80" x14ac:dyDescent="0.25">
      <c r="A100" s="91" t="s">
        <v>154</v>
      </c>
      <c r="B100" s="114">
        <v>255438365</v>
      </c>
      <c r="C100" s="114">
        <v>59985500</v>
      </c>
      <c r="D100" s="114">
        <v>83551092</v>
      </c>
      <c r="E100" s="114">
        <v>0</v>
      </c>
      <c r="F100" s="114">
        <v>28440561</v>
      </c>
      <c r="G100" s="114">
        <v>14064071</v>
      </c>
      <c r="H100" s="114">
        <v>5542560</v>
      </c>
      <c r="I100" s="114">
        <v>1363325</v>
      </c>
      <c r="J100" s="114">
        <v>97200</v>
      </c>
      <c r="K100" s="114">
        <v>60100</v>
      </c>
      <c r="L100" s="114">
        <v>31511904</v>
      </c>
      <c r="M100" s="114">
        <v>31915814</v>
      </c>
      <c r="N100" s="114">
        <v>1025</v>
      </c>
      <c r="O100" s="114">
        <v>517</v>
      </c>
      <c r="P100" s="114">
        <v>2912175</v>
      </c>
      <c r="Q100" s="114">
        <v>803580</v>
      </c>
      <c r="R100" s="114">
        <v>30000</v>
      </c>
      <c r="S100" s="114">
        <v>1686941</v>
      </c>
      <c r="T100" s="114">
        <v>272302</v>
      </c>
      <c r="U100" s="114">
        <v>30000</v>
      </c>
      <c r="V100" s="114">
        <v>2912175</v>
      </c>
      <c r="W100" s="114">
        <v>803580</v>
      </c>
      <c r="X100" s="114">
        <v>30000</v>
      </c>
      <c r="Y100" s="114">
        <v>1686941</v>
      </c>
      <c r="Z100" s="114">
        <v>272302</v>
      </c>
      <c r="AA100" s="114">
        <v>30000</v>
      </c>
      <c r="AB100" s="114">
        <v>-2160446</v>
      </c>
      <c r="AC100" s="114">
        <v>-25013</v>
      </c>
      <c r="AD100" s="114">
        <v>63555</v>
      </c>
      <c r="AE100" s="114">
        <v>0</v>
      </c>
      <c r="AF100" s="114">
        <v>0</v>
      </c>
      <c r="AG100" s="114">
        <v>77613</v>
      </c>
      <c r="AH100" s="114">
        <v>226122.95</v>
      </c>
      <c r="AI100" s="114">
        <v>748622.95</v>
      </c>
      <c r="AJ100" s="121">
        <v>0</v>
      </c>
      <c r="AK100" s="82">
        <v>82950028</v>
      </c>
      <c r="AL100" s="83">
        <v>1600000</v>
      </c>
      <c r="AM100" s="114">
        <v>0</v>
      </c>
      <c r="AN100" s="114">
        <v>7745223</v>
      </c>
      <c r="AO100" s="114">
        <v>177740</v>
      </c>
      <c r="AP100" s="114">
        <v>16435610</v>
      </c>
      <c r="AQ100" s="114">
        <v>9983520</v>
      </c>
      <c r="AR100" s="114">
        <v>6711836</v>
      </c>
      <c r="AS100" s="114">
        <v>0</v>
      </c>
      <c r="AT100" s="114">
        <v>0</v>
      </c>
      <c r="AU100" s="114">
        <v>0</v>
      </c>
      <c r="AV100" s="114">
        <v>0</v>
      </c>
      <c r="AW100" s="114">
        <v>0</v>
      </c>
      <c r="AX100" s="114">
        <v>4639830</v>
      </c>
      <c r="AY100" s="114">
        <v>87500</v>
      </c>
      <c r="BD100" s="82">
        <v>4243520.24</v>
      </c>
      <c r="BE100" s="82">
        <v>2164195.3200000003</v>
      </c>
      <c r="BF100" s="117">
        <v>0</v>
      </c>
      <c r="BG100" s="118">
        <v>0</v>
      </c>
      <c r="BH100" s="118">
        <v>0</v>
      </c>
      <c r="BI100" s="117">
        <v>12537482</v>
      </c>
      <c r="BJ100" s="117">
        <v>12537482</v>
      </c>
      <c r="BK100" s="117">
        <v>97916487.400000036</v>
      </c>
      <c r="BL100" s="117">
        <v>97846251.400000036</v>
      </c>
      <c r="BM100" s="117">
        <v>0</v>
      </c>
      <c r="BN100" s="117">
        <v>0</v>
      </c>
      <c r="BO100" s="119"/>
      <c r="BP100" s="86">
        <v>614954142.62</v>
      </c>
      <c r="BQ100" s="86">
        <v>417856185.89999998</v>
      </c>
      <c r="BR100" s="87">
        <v>984476</v>
      </c>
      <c r="BT100" s="114">
        <v>7214</v>
      </c>
      <c r="BU100" s="114">
        <v>1246</v>
      </c>
      <c r="BV100" s="114">
        <v>445</v>
      </c>
      <c r="BW100" s="114">
        <f t="shared" si="21"/>
        <v>8905</v>
      </c>
      <c r="BX100" s="86">
        <v>398974957</v>
      </c>
      <c r="BY100" s="82">
        <f t="shared" si="22"/>
        <v>82950028</v>
      </c>
      <c r="BZ100" s="82">
        <f t="shared" si="23"/>
        <v>1600000</v>
      </c>
      <c r="CA100" s="86">
        <f t="shared" si="24"/>
        <v>17906483</v>
      </c>
      <c r="CB100" s="86">
        <f t="shared" si="19"/>
        <v>501431468</v>
      </c>
    </row>
    <row r="101" spans="1:80" x14ac:dyDescent="0.25">
      <c r="A101" s="91" t="s">
        <v>155</v>
      </c>
      <c r="B101" s="114">
        <v>2184439164</v>
      </c>
      <c r="C101" s="114">
        <v>346422619</v>
      </c>
      <c r="D101" s="114">
        <v>815805601</v>
      </c>
      <c r="E101" s="114">
        <v>0</v>
      </c>
      <c r="F101" s="114">
        <v>189419939</v>
      </c>
      <c r="G101" s="114">
        <v>34573491</v>
      </c>
      <c r="H101" s="114">
        <v>33033090</v>
      </c>
      <c r="I101" s="114">
        <v>3674150</v>
      </c>
      <c r="J101" s="114">
        <v>413600</v>
      </c>
      <c r="K101" s="114">
        <v>75200</v>
      </c>
      <c r="L101" s="114">
        <v>620719286</v>
      </c>
      <c r="M101" s="114">
        <v>233728033</v>
      </c>
      <c r="N101" s="114">
        <v>6275</v>
      </c>
      <c r="O101" s="114">
        <v>1189</v>
      </c>
      <c r="P101" s="114">
        <v>27573400</v>
      </c>
      <c r="Q101" s="114">
        <v>4682000</v>
      </c>
      <c r="R101" s="114">
        <v>11107000</v>
      </c>
      <c r="S101" s="114">
        <v>1808073</v>
      </c>
      <c r="T101" s="114">
        <v>240500</v>
      </c>
      <c r="U101" s="114">
        <v>853000</v>
      </c>
      <c r="V101" s="114">
        <v>27573400</v>
      </c>
      <c r="W101" s="114">
        <v>5496509</v>
      </c>
      <c r="X101" s="114">
        <v>11107000</v>
      </c>
      <c r="Y101" s="114">
        <v>1808073</v>
      </c>
      <c r="Z101" s="114">
        <v>412970</v>
      </c>
      <c r="AA101" s="114">
        <v>853000</v>
      </c>
      <c r="AB101" s="114">
        <v>-11056450</v>
      </c>
      <c r="AC101" s="114">
        <v>-352102</v>
      </c>
      <c r="AD101" s="114">
        <v>42192</v>
      </c>
      <c r="AG101" s="114">
        <v>300439</v>
      </c>
      <c r="AH101" s="114">
        <v>35508.199999999997</v>
      </c>
      <c r="AI101" s="114">
        <v>482729.51</v>
      </c>
      <c r="AJ101" s="121">
        <v>0</v>
      </c>
      <c r="AK101" s="82">
        <v>450634696</v>
      </c>
      <c r="AL101" s="83">
        <v>28665830</v>
      </c>
      <c r="AM101" s="114">
        <v>9692670</v>
      </c>
      <c r="AN101" s="114">
        <v>122946093</v>
      </c>
      <c r="AO101" s="114">
        <v>17178356</v>
      </c>
      <c r="AP101" s="114">
        <v>365154148</v>
      </c>
      <c r="AQ101" s="114">
        <v>139814410</v>
      </c>
      <c r="AR101" s="114">
        <v>116338012</v>
      </c>
      <c r="AS101" s="114">
        <v>23693646</v>
      </c>
      <c r="AT101" s="114">
        <v>10472483</v>
      </c>
      <c r="AU101" s="114">
        <v>0</v>
      </c>
      <c r="AV101" s="114">
        <v>138455</v>
      </c>
      <c r="AW101" s="114">
        <v>0</v>
      </c>
      <c r="AX101" s="114">
        <v>27504</v>
      </c>
      <c r="AY101" s="114">
        <v>3714709</v>
      </c>
      <c r="BD101" s="82">
        <v>23101675.489999998</v>
      </c>
      <c r="BE101" s="82">
        <v>11781854.5</v>
      </c>
      <c r="BF101" s="117">
        <v>0</v>
      </c>
      <c r="BG101" s="118">
        <v>5674458</v>
      </c>
      <c r="BH101" s="118">
        <v>11348917</v>
      </c>
      <c r="BI101" s="117">
        <v>104016675</v>
      </c>
      <c r="BJ101" s="117">
        <v>104016675</v>
      </c>
      <c r="BK101" s="117">
        <v>156444832.59999996</v>
      </c>
      <c r="BL101" s="117">
        <v>143299132.59999999</v>
      </c>
      <c r="BM101" s="117">
        <v>0</v>
      </c>
      <c r="BN101" s="117">
        <v>0</v>
      </c>
      <c r="BO101" s="119"/>
      <c r="BP101" s="86">
        <v>4371197126.8100004</v>
      </c>
      <c r="BQ101" s="86">
        <v>3627124480.71</v>
      </c>
      <c r="BR101" s="87">
        <v>4387500</v>
      </c>
      <c r="BT101" s="114">
        <v>38788</v>
      </c>
      <c r="BU101" s="114">
        <v>6271</v>
      </c>
      <c r="BV101" s="114">
        <v>2489</v>
      </c>
      <c r="BW101" s="114">
        <f t="shared" si="21"/>
        <v>47548</v>
      </c>
      <c r="BX101" s="86">
        <v>3346667384</v>
      </c>
      <c r="BY101" s="82">
        <f t="shared" si="22"/>
        <v>450634696</v>
      </c>
      <c r="BZ101" s="82">
        <f t="shared" si="23"/>
        <v>28665830</v>
      </c>
      <c r="CA101" s="86">
        <f t="shared" si="24"/>
        <v>303632505</v>
      </c>
      <c r="CB101" s="86">
        <f t="shared" si="19"/>
        <v>4129600415</v>
      </c>
    </row>
    <row r="102" spans="1:80" x14ac:dyDescent="0.25">
      <c r="A102" s="91" t="s">
        <v>156</v>
      </c>
      <c r="B102" s="114">
        <v>21861752</v>
      </c>
      <c r="C102" s="114">
        <v>38614443</v>
      </c>
      <c r="D102" s="114">
        <v>4258335</v>
      </c>
      <c r="E102" s="114">
        <v>0</v>
      </c>
      <c r="F102" s="114">
        <v>3768071</v>
      </c>
      <c r="G102" s="114">
        <v>1152775</v>
      </c>
      <c r="H102" s="114">
        <v>3479831</v>
      </c>
      <c r="I102" s="114">
        <v>1145864</v>
      </c>
      <c r="J102" s="114">
        <v>0</v>
      </c>
      <c r="K102" s="114">
        <v>0</v>
      </c>
      <c r="L102" s="114">
        <v>57954266</v>
      </c>
      <c r="M102" s="114">
        <v>22414336</v>
      </c>
      <c r="N102" s="114">
        <v>203</v>
      </c>
      <c r="O102" s="114">
        <v>69</v>
      </c>
      <c r="P102" s="114">
        <v>112500</v>
      </c>
      <c r="Q102" s="114">
        <v>174117</v>
      </c>
      <c r="R102" s="114">
        <v>115000</v>
      </c>
      <c r="S102" s="114">
        <v>222590</v>
      </c>
      <c r="T102" s="114">
        <v>57996</v>
      </c>
      <c r="U102" s="114">
        <v>34500</v>
      </c>
      <c r="V102" s="114">
        <v>112500</v>
      </c>
      <c r="W102" s="114">
        <v>174117</v>
      </c>
      <c r="X102" s="114">
        <v>115000</v>
      </c>
      <c r="Y102" s="114">
        <v>222590</v>
      </c>
      <c r="Z102" s="114">
        <v>63296</v>
      </c>
      <c r="AA102" s="114">
        <v>34500</v>
      </c>
      <c r="AB102" s="114">
        <v>-335984</v>
      </c>
      <c r="AC102" s="114">
        <v>0</v>
      </c>
      <c r="AH102" s="114">
        <v>0</v>
      </c>
      <c r="AI102" s="114">
        <v>0</v>
      </c>
      <c r="AJ102" s="121">
        <v>0</v>
      </c>
      <c r="AK102" s="82">
        <v>15273645</v>
      </c>
      <c r="AL102" s="83">
        <v>209086</v>
      </c>
      <c r="AM102" s="114">
        <v>0</v>
      </c>
      <c r="AN102" s="114">
        <v>1212053</v>
      </c>
      <c r="AO102" s="114">
        <v>22179</v>
      </c>
      <c r="AP102" s="114">
        <v>0</v>
      </c>
      <c r="AQ102" s="114">
        <v>1266344</v>
      </c>
      <c r="AR102" s="114">
        <v>0</v>
      </c>
      <c r="AS102" s="114">
        <v>0</v>
      </c>
      <c r="AT102" s="114">
        <v>5132</v>
      </c>
      <c r="AU102" s="114">
        <v>0</v>
      </c>
      <c r="AV102" s="114">
        <v>0</v>
      </c>
      <c r="AW102" s="114">
        <v>0</v>
      </c>
      <c r="AX102" s="114">
        <v>0</v>
      </c>
      <c r="AY102" s="114">
        <v>0</v>
      </c>
      <c r="BD102" s="82">
        <v>781155.41999999993</v>
      </c>
      <c r="BE102" s="82">
        <v>398389.26999999996</v>
      </c>
      <c r="BF102" s="117">
        <v>0</v>
      </c>
      <c r="BG102" s="118">
        <v>0</v>
      </c>
      <c r="BH102" s="118">
        <v>0</v>
      </c>
      <c r="BI102" s="117">
        <v>12255805</v>
      </c>
      <c r="BJ102" s="117">
        <v>12255805</v>
      </c>
      <c r="BK102" s="117">
        <v>9611374.8000000007</v>
      </c>
      <c r="BL102" s="117">
        <v>9599942.8000000007</v>
      </c>
      <c r="BM102" s="117">
        <v>0</v>
      </c>
      <c r="BN102" s="117">
        <v>0</v>
      </c>
      <c r="BO102" s="119"/>
      <c r="BP102" s="86">
        <v>104971974.06999999</v>
      </c>
      <c r="BQ102" s="86">
        <v>67235106</v>
      </c>
      <c r="BR102" s="87">
        <v>78237</v>
      </c>
      <c r="BW102" s="114">
        <f t="shared" si="21"/>
        <v>0</v>
      </c>
      <c r="BX102" s="86">
        <v>64734530</v>
      </c>
      <c r="BY102" s="82">
        <f t="shared" si="22"/>
        <v>15273645</v>
      </c>
      <c r="BZ102" s="82">
        <f t="shared" si="23"/>
        <v>209086</v>
      </c>
      <c r="CA102" s="86">
        <f t="shared" si="24"/>
        <v>2500576</v>
      </c>
      <c r="CB102" s="86">
        <f t="shared" si="19"/>
        <v>82717837</v>
      </c>
    </row>
    <row r="103" spans="1:80" x14ac:dyDescent="0.25">
      <c r="A103" s="91" t="s">
        <v>157</v>
      </c>
      <c r="B103" s="114">
        <v>263204631</v>
      </c>
      <c r="C103" s="114">
        <v>97679151</v>
      </c>
      <c r="D103" s="114">
        <v>71977551</v>
      </c>
      <c r="E103" s="114">
        <v>0</v>
      </c>
      <c r="F103" s="114">
        <v>42064800</v>
      </c>
      <c r="G103" s="114">
        <v>16352850</v>
      </c>
      <c r="H103" s="114">
        <v>13372300</v>
      </c>
      <c r="I103" s="114">
        <v>2439900</v>
      </c>
      <c r="J103" s="114">
        <v>75200</v>
      </c>
      <c r="K103" s="114">
        <v>0</v>
      </c>
      <c r="L103" s="114">
        <v>151031829</v>
      </c>
      <c r="M103" s="114">
        <v>73600000</v>
      </c>
      <c r="N103" s="114">
        <v>1557</v>
      </c>
      <c r="O103" s="114">
        <v>576</v>
      </c>
      <c r="P103" s="114">
        <v>2646300</v>
      </c>
      <c r="Q103" s="114">
        <v>445500</v>
      </c>
      <c r="R103" s="114">
        <v>0</v>
      </c>
      <c r="S103" s="114">
        <v>1809950</v>
      </c>
      <c r="T103" s="114">
        <v>128900</v>
      </c>
      <c r="U103" s="114">
        <v>935650</v>
      </c>
      <c r="V103" s="114">
        <v>2646300</v>
      </c>
      <c r="W103" s="114">
        <v>475000</v>
      </c>
      <c r="X103" s="114">
        <v>0</v>
      </c>
      <c r="Y103" s="114">
        <v>1809950</v>
      </c>
      <c r="Z103" s="114">
        <v>154000</v>
      </c>
      <c r="AA103" s="114">
        <v>935650</v>
      </c>
      <c r="AB103" s="114">
        <v>-3369600</v>
      </c>
      <c r="AC103" s="114">
        <v>-350025</v>
      </c>
      <c r="AH103" s="114">
        <v>55516.39</v>
      </c>
      <c r="AI103" s="114">
        <v>260844.26</v>
      </c>
      <c r="AJ103" s="121">
        <v>0</v>
      </c>
      <c r="AK103" s="82">
        <v>92563404</v>
      </c>
      <c r="AL103" s="83">
        <v>2579692</v>
      </c>
      <c r="AM103" s="114">
        <v>10392</v>
      </c>
      <c r="AN103" s="114">
        <v>14490213</v>
      </c>
      <c r="AO103" s="114">
        <v>121816</v>
      </c>
      <c r="AP103" s="114">
        <v>10490482</v>
      </c>
      <c r="AQ103" s="114">
        <v>5009295</v>
      </c>
      <c r="AR103" s="114">
        <v>6118907</v>
      </c>
      <c r="AS103" s="114">
        <v>0</v>
      </c>
      <c r="AT103" s="114">
        <v>1000</v>
      </c>
      <c r="AU103" s="114">
        <v>0</v>
      </c>
      <c r="AV103" s="114">
        <v>0</v>
      </c>
      <c r="AW103" s="114">
        <v>0</v>
      </c>
      <c r="AX103" s="114">
        <v>211422</v>
      </c>
      <c r="AY103" s="114">
        <v>67510</v>
      </c>
      <c r="BD103" s="82">
        <v>4737238.01</v>
      </c>
      <c r="BE103" s="82">
        <v>2415991.38</v>
      </c>
      <c r="BF103" s="117">
        <v>0</v>
      </c>
      <c r="BG103" s="118">
        <v>3023179</v>
      </c>
      <c r="BH103" s="118">
        <v>6046357</v>
      </c>
      <c r="BI103" s="117">
        <v>7969621</v>
      </c>
      <c r="BJ103" s="117">
        <v>7969621</v>
      </c>
      <c r="BK103" s="117">
        <v>38977689.79999999</v>
      </c>
      <c r="BL103" s="117">
        <v>36086461.79999999</v>
      </c>
      <c r="BM103" s="117">
        <v>0</v>
      </c>
      <c r="BN103" s="117">
        <v>0</v>
      </c>
      <c r="BO103" s="119"/>
      <c r="BP103" s="86">
        <v>597437366.82999992</v>
      </c>
      <c r="BQ103" s="86">
        <v>452799017.64999998</v>
      </c>
      <c r="BR103" s="87">
        <v>1486901</v>
      </c>
      <c r="BT103" s="114">
        <v>7429</v>
      </c>
      <c r="BU103" s="114">
        <v>2803</v>
      </c>
      <c r="BV103" s="114">
        <v>394</v>
      </c>
      <c r="BW103" s="114">
        <f t="shared" si="21"/>
        <v>10626</v>
      </c>
      <c r="BX103" s="86">
        <v>432861333</v>
      </c>
      <c r="BY103" s="82">
        <f t="shared" si="22"/>
        <v>92563404</v>
      </c>
      <c r="BZ103" s="82">
        <f t="shared" si="23"/>
        <v>2579692</v>
      </c>
      <c r="CA103" s="86">
        <f t="shared" si="24"/>
        <v>19621324</v>
      </c>
      <c r="CB103" s="86">
        <f t="shared" si="19"/>
        <v>547625753</v>
      </c>
    </row>
    <row r="104" spans="1:80" x14ac:dyDescent="0.25">
      <c r="A104" s="91" t="s">
        <v>158</v>
      </c>
      <c r="B104" s="114">
        <v>572426278</v>
      </c>
      <c r="C104" s="114">
        <v>106944916</v>
      </c>
      <c r="D104" s="114">
        <v>319997149</v>
      </c>
      <c r="E104" s="114">
        <v>0</v>
      </c>
      <c r="F104" s="114">
        <v>51111821</v>
      </c>
      <c r="G104" s="114">
        <v>12048355</v>
      </c>
      <c r="H104" s="114">
        <v>13936341</v>
      </c>
      <c r="I104" s="114">
        <v>1732924</v>
      </c>
      <c r="J104" s="114">
        <v>37600</v>
      </c>
      <c r="K104" s="114">
        <v>37600</v>
      </c>
      <c r="L104" s="114">
        <v>94274509</v>
      </c>
      <c r="M104" s="114">
        <v>30809354</v>
      </c>
      <c r="N104" s="114">
        <v>1879</v>
      </c>
      <c r="O104" s="114">
        <v>453</v>
      </c>
      <c r="P104" s="114">
        <v>8085858</v>
      </c>
      <c r="Q104" s="114">
        <v>445891</v>
      </c>
      <c r="R104" s="114">
        <v>7561256</v>
      </c>
      <c r="S104" s="114">
        <v>2239816</v>
      </c>
      <c r="T104" s="114">
        <v>512776</v>
      </c>
      <c r="U104" s="114">
        <v>4341914</v>
      </c>
      <c r="V104" s="114">
        <v>8085858</v>
      </c>
      <c r="W104" s="114">
        <v>467771</v>
      </c>
      <c r="X104" s="114">
        <v>7561256</v>
      </c>
      <c r="Y104" s="114">
        <v>2239816</v>
      </c>
      <c r="Z104" s="114">
        <v>898833</v>
      </c>
      <c r="AA104" s="114">
        <v>4341914</v>
      </c>
      <c r="AB104" s="114">
        <v>-4248184</v>
      </c>
      <c r="AC104" s="114">
        <v>-227453</v>
      </c>
      <c r="AD104" s="114">
        <v>55273</v>
      </c>
      <c r="AG104" s="114">
        <v>88200</v>
      </c>
      <c r="AH104" s="114">
        <v>0</v>
      </c>
      <c r="AI104" s="114">
        <v>0</v>
      </c>
      <c r="AJ104" s="121">
        <v>0</v>
      </c>
      <c r="AK104" s="82">
        <v>138208830</v>
      </c>
      <c r="AL104" s="83">
        <v>5513283</v>
      </c>
      <c r="AM104" s="114">
        <v>1526695</v>
      </c>
      <c r="AN104" s="114">
        <v>36447676</v>
      </c>
      <c r="AO104" s="114">
        <v>1049676</v>
      </c>
      <c r="AP104" s="114">
        <v>82697001</v>
      </c>
      <c r="AQ104" s="114">
        <v>49017577</v>
      </c>
      <c r="AR104" s="114">
        <v>61955261</v>
      </c>
      <c r="AS104" s="114">
        <v>20216780</v>
      </c>
      <c r="AT104" s="114">
        <v>586473</v>
      </c>
      <c r="AU104" s="114">
        <v>256997</v>
      </c>
      <c r="AV104" s="114">
        <v>0</v>
      </c>
      <c r="AW104" s="114">
        <v>16354</v>
      </c>
      <c r="AX104" s="114">
        <v>80108</v>
      </c>
      <c r="AY104" s="114">
        <v>36000</v>
      </c>
      <c r="BD104" s="82">
        <v>7077311.9399999995</v>
      </c>
      <c r="BE104" s="82">
        <v>3609429.09</v>
      </c>
      <c r="BF104" s="117">
        <v>0</v>
      </c>
      <c r="BG104" s="118">
        <v>0</v>
      </c>
      <c r="BH104" s="118">
        <v>0</v>
      </c>
      <c r="BI104" s="117">
        <v>32604380</v>
      </c>
      <c r="BJ104" s="117">
        <v>32604380</v>
      </c>
      <c r="BK104" s="117">
        <v>92927790.199999973</v>
      </c>
      <c r="BL104" s="117">
        <v>92910496.199999973</v>
      </c>
      <c r="BM104" s="117">
        <v>0</v>
      </c>
      <c r="BN104" s="117">
        <v>0</v>
      </c>
      <c r="BO104" s="119"/>
      <c r="BP104" s="86">
        <v>1358729690.29</v>
      </c>
      <c r="BQ104" s="86">
        <v>1085883272</v>
      </c>
      <c r="BR104" s="87">
        <v>645162</v>
      </c>
      <c r="BT104" s="114">
        <v>8758</v>
      </c>
      <c r="BU104" s="114">
        <v>1960</v>
      </c>
      <c r="BV104" s="114">
        <v>669</v>
      </c>
      <c r="BW104" s="114">
        <f t="shared" si="21"/>
        <v>11387</v>
      </c>
      <c r="BX104" s="86">
        <v>999368343</v>
      </c>
      <c r="BY104" s="82">
        <f t="shared" si="22"/>
        <v>138208830</v>
      </c>
      <c r="BZ104" s="82">
        <f t="shared" si="23"/>
        <v>5513283</v>
      </c>
      <c r="CA104" s="86">
        <f t="shared" si="24"/>
        <v>106731709</v>
      </c>
      <c r="CB104" s="86">
        <f t="shared" si="19"/>
        <v>1249822165</v>
      </c>
    </row>
    <row r="105" spans="1:80" x14ac:dyDescent="0.25">
      <c r="A105" s="91" t="s">
        <v>159</v>
      </c>
      <c r="B105" s="114">
        <v>550899152</v>
      </c>
      <c r="C105" s="114">
        <v>128418232</v>
      </c>
      <c r="D105" s="114">
        <v>187915090</v>
      </c>
      <c r="E105" s="114">
        <v>0</v>
      </c>
      <c r="F105" s="114">
        <v>56536250</v>
      </c>
      <c r="G105" s="114">
        <v>11602050</v>
      </c>
      <c r="H105" s="114">
        <v>16515350</v>
      </c>
      <c r="I105" s="114">
        <v>1311250</v>
      </c>
      <c r="J105" s="114">
        <v>225600</v>
      </c>
      <c r="K105" s="114">
        <v>0</v>
      </c>
      <c r="L105" s="114">
        <v>262711723</v>
      </c>
      <c r="M105" s="114">
        <v>101856155</v>
      </c>
      <c r="N105" s="114">
        <v>2070</v>
      </c>
      <c r="O105" s="114">
        <v>424</v>
      </c>
      <c r="P105" s="114">
        <v>14124449</v>
      </c>
      <c r="Q105" s="114">
        <v>1738800</v>
      </c>
      <c r="R105" s="114">
        <v>2339500</v>
      </c>
      <c r="S105" s="114">
        <v>5824650</v>
      </c>
      <c r="T105" s="114">
        <v>992500</v>
      </c>
      <c r="U105" s="114">
        <v>938000</v>
      </c>
      <c r="V105" s="114">
        <v>14124449</v>
      </c>
      <c r="W105" s="114">
        <v>1635000</v>
      </c>
      <c r="X105" s="114">
        <v>2339500</v>
      </c>
      <c r="Y105" s="114">
        <v>5824650</v>
      </c>
      <c r="Z105" s="114">
        <v>1972500</v>
      </c>
      <c r="AA105" s="114">
        <v>938000</v>
      </c>
      <c r="AB105" s="114">
        <v>-3221550</v>
      </c>
      <c r="AC105" s="114">
        <v>-3239004</v>
      </c>
      <c r="AD105" s="114">
        <v>0</v>
      </c>
      <c r="AE105" s="114">
        <v>0</v>
      </c>
      <c r="AF105" s="114">
        <v>0</v>
      </c>
      <c r="AG105" s="114">
        <v>0</v>
      </c>
      <c r="AH105" s="114">
        <v>97237.7</v>
      </c>
      <c r="AI105" s="114">
        <v>0</v>
      </c>
      <c r="AJ105" s="121">
        <v>0</v>
      </c>
      <c r="AK105" s="82">
        <v>106962858</v>
      </c>
      <c r="AL105" s="83">
        <v>22026412</v>
      </c>
      <c r="AM105" s="114">
        <v>27675326</v>
      </c>
      <c r="AN105" s="114">
        <v>20721993</v>
      </c>
      <c r="AO105" s="114">
        <v>372622</v>
      </c>
      <c r="AP105" s="114">
        <v>105379329</v>
      </c>
      <c r="AQ105" s="114">
        <v>34662776</v>
      </c>
      <c r="AR105" s="114">
        <v>42517050</v>
      </c>
      <c r="AS105" s="114">
        <v>30886397</v>
      </c>
      <c r="AT105" s="114">
        <v>0</v>
      </c>
      <c r="AU105" s="114">
        <v>0</v>
      </c>
      <c r="AV105" s="114">
        <v>0</v>
      </c>
      <c r="AW105" s="114">
        <v>0</v>
      </c>
      <c r="AX105" s="114">
        <v>6000</v>
      </c>
      <c r="AY105" s="114">
        <v>1855000</v>
      </c>
      <c r="BD105" s="82">
        <v>5520240.8799999999</v>
      </c>
      <c r="BE105" s="82">
        <v>2815322.85</v>
      </c>
      <c r="BF105" s="117">
        <v>0</v>
      </c>
      <c r="BG105" s="118">
        <v>0</v>
      </c>
      <c r="BH105" s="118">
        <v>0</v>
      </c>
      <c r="BI105" s="117">
        <v>2405705</v>
      </c>
      <c r="BJ105" s="117">
        <v>2405705</v>
      </c>
      <c r="BK105" s="117">
        <v>64453027.400000006</v>
      </c>
      <c r="BL105" s="117">
        <v>64329467.400000006</v>
      </c>
      <c r="BM105" s="117">
        <v>0</v>
      </c>
      <c r="BN105" s="117">
        <v>0</v>
      </c>
      <c r="BO105" s="119"/>
      <c r="BP105" s="86">
        <v>1121626867.95</v>
      </c>
      <c r="BQ105" s="86">
        <v>923087102.70000005</v>
      </c>
      <c r="BR105" s="87">
        <v>5022100</v>
      </c>
      <c r="BT105" s="114">
        <v>17418</v>
      </c>
      <c r="BU105" s="114">
        <v>3130</v>
      </c>
      <c r="BV105" s="114">
        <v>794</v>
      </c>
      <c r="BW105" s="114">
        <f t="shared" si="21"/>
        <v>21342</v>
      </c>
      <c r="BX105" s="86">
        <v>867232474</v>
      </c>
      <c r="BY105" s="82">
        <f t="shared" si="22"/>
        <v>106962858</v>
      </c>
      <c r="BZ105" s="82">
        <f t="shared" si="23"/>
        <v>22026412</v>
      </c>
      <c r="CA105" s="86">
        <f t="shared" si="24"/>
        <v>86643788</v>
      </c>
      <c r="CB105" s="86">
        <f t="shared" si="19"/>
        <v>1082865532</v>
      </c>
    </row>
    <row r="106" spans="1:80" x14ac:dyDescent="0.25">
      <c r="A106" s="91" t="s">
        <v>160</v>
      </c>
      <c r="B106" s="114">
        <v>2773017126</v>
      </c>
      <c r="C106" s="114">
        <v>351490584</v>
      </c>
      <c r="D106" s="114">
        <v>1219810696</v>
      </c>
      <c r="E106" s="114">
        <v>0</v>
      </c>
      <c r="F106" s="114">
        <v>107725443</v>
      </c>
      <c r="G106" s="114">
        <v>7996376</v>
      </c>
      <c r="H106" s="114">
        <v>17575800</v>
      </c>
      <c r="I106" s="114">
        <v>700502</v>
      </c>
      <c r="J106" s="114">
        <v>0</v>
      </c>
      <c r="K106" s="114">
        <v>0</v>
      </c>
      <c r="L106" s="114">
        <v>664430356</v>
      </c>
      <c r="M106" s="114">
        <v>277497233</v>
      </c>
      <c r="N106" s="114">
        <v>3365</v>
      </c>
      <c r="O106" s="114">
        <v>240</v>
      </c>
      <c r="P106" s="114">
        <v>107318440</v>
      </c>
      <c r="Q106" s="114">
        <v>649598</v>
      </c>
      <c r="R106" s="114">
        <v>31471185</v>
      </c>
      <c r="S106" s="114">
        <v>1210983</v>
      </c>
      <c r="T106" s="114">
        <v>828745</v>
      </c>
      <c r="U106" s="114">
        <v>59000</v>
      </c>
      <c r="V106" s="114">
        <v>107318440</v>
      </c>
      <c r="W106" s="114">
        <v>6392203</v>
      </c>
      <c r="X106" s="114">
        <v>31471185</v>
      </c>
      <c r="Y106" s="114">
        <v>1210983</v>
      </c>
      <c r="Z106" s="114">
        <v>6327453</v>
      </c>
      <c r="AA106" s="114">
        <v>59000</v>
      </c>
      <c r="AB106" s="114">
        <v>-1153986</v>
      </c>
      <c r="AC106" s="114">
        <v>-148284</v>
      </c>
      <c r="AD106" s="114">
        <v>0</v>
      </c>
      <c r="AE106" s="114">
        <v>0</v>
      </c>
      <c r="AF106" s="114">
        <v>0</v>
      </c>
      <c r="AG106" s="114">
        <v>148111.94330000001</v>
      </c>
      <c r="AH106" s="114">
        <v>0</v>
      </c>
      <c r="AI106" s="114">
        <v>641729.51</v>
      </c>
      <c r="AJ106" s="121">
        <v>0</v>
      </c>
      <c r="AK106" s="82">
        <v>491624527</v>
      </c>
      <c r="AL106" s="83">
        <v>6523322</v>
      </c>
      <c r="AM106" s="114">
        <v>0</v>
      </c>
      <c r="AN106" s="114">
        <v>101598116</v>
      </c>
      <c r="AO106" s="114">
        <v>17062615</v>
      </c>
      <c r="AP106" s="114">
        <v>480319159</v>
      </c>
      <c r="AQ106" s="114">
        <v>123195150</v>
      </c>
      <c r="AR106" s="114">
        <v>137717528</v>
      </c>
      <c r="AS106" s="114">
        <v>34707750</v>
      </c>
      <c r="AT106" s="114">
        <f>45591523+2009370251</f>
        <v>2054961774</v>
      </c>
      <c r="AU106" s="114">
        <v>0</v>
      </c>
      <c r="AV106" s="114">
        <v>38895</v>
      </c>
      <c r="AW106" s="114">
        <v>0</v>
      </c>
      <c r="AX106" s="114">
        <v>4611835</v>
      </c>
      <c r="AY106" s="114">
        <v>10847194</v>
      </c>
      <c r="BD106" s="82">
        <v>25143148.740000002</v>
      </c>
      <c r="BE106" s="82">
        <v>12823005.85</v>
      </c>
      <c r="BF106" s="117">
        <v>0</v>
      </c>
      <c r="BG106" s="118">
        <v>4796447</v>
      </c>
      <c r="BH106" s="118">
        <v>9592894</v>
      </c>
      <c r="BI106" s="117">
        <v>104434936</v>
      </c>
      <c r="BJ106" s="117">
        <v>104359710</v>
      </c>
      <c r="BK106" s="117">
        <v>94520529.400000006</v>
      </c>
      <c r="BL106" s="117">
        <v>87796342.400000006</v>
      </c>
      <c r="BM106" s="117">
        <v>0</v>
      </c>
      <c r="BN106" s="117">
        <v>0</v>
      </c>
      <c r="BO106" s="119"/>
      <c r="BP106" s="86">
        <v>5294739370.7600002</v>
      </c>
      <c r="BQ106" s="86">
        <v>4586816016.5100002</v>
      </c>
      <c r="BR106" s="87">
        <v>5859350</v>
      </c>
      <c r="BT106" s="114">
        <v>17806</v>
      </c>
      <c r="BU106" s="114">
        <v>3402</v>
      </c>
      <c r="BV106" s="114">
        <v>911</v>
      </c>
      <c r="BW106" s="114">
        <f t="shared" si="21"/>
        <v>22119</v>
      </c>
      <c r="BX106" s="86">
        <v>4344318406</v>
      </c>
      <c r="BY106" s="82">
        <f t="shared" si="22"/>
        <v>491624527</v>
      </c>
      <c r="BZ106" s="82">
        <f t="shared" si="23"/>
        <v>6523322</v>
      </c>
      <c r="CA106" s="86">
        <f t="shared" si="24"/>
        <v>276563631</v>
      </c>
      <c r="CB106" s="86">
        <f t="shared" si="19"/>
        <v>5119029886</v>
      </c>
    </row>
    <row r="107" spans="1:80" x14ac:dyDescent="0.25">
      <c r="A107" s="91" t="s">
        <v>161</v>
      </c>
      <c r="B107" s="114">
        <v>2097484899</v>
      </c>
      <c r="C107" s="114">
        <v>578352782</v>
      </c>
      <c r="D107" s="114">
        <v>591024887</v>
      </c>
      <c r="E107" s="114">
        <v>45563920</v>
      </c>
      <c r="F107" s="114">
        <v>100739915</v>
      </c>
      <c r="G107" s="114">
        <v>12394300</v>
      </c>
      <c r="H107" s="114">
        <v>23435828</v>
      </c>
      <c r="I107" s="114">
        <v>1979700</v>
      </c>
      <c r="J107" s="114">
        <v>75200</v>
      </c>
      <c r="K107" s="114">
        <v>0</v>
      </c>
      <c r="L107" s="114">
        <v>809848267</v>
      </c>
      <c r="M107" s="114">
        <v>397443030</v>
      </c>
      <c r="N107" s="114">
        <v>3324</v>
      </c>
      <c r="O107" s="114">
        <v>386</v>
      </c>
      <c r="P107" s="114">
        <v>60752440</v>
      </c>
      <c r="Q107" s="114">
        <v>19530740</v>
      </c>
      <c r="R107" s="114">
        <v>9543600</v>
      </c>
      <c r="S107" s="114">
        <v>5598786</v>
      </c>
      <c r="T107" s="114">
        <v>5164086</v>
      </c>
      <c r="U107" s="114">
        <v>5398149</v>
      </c>
      <c r="V107" s="114">
        <v>60752440</v>
      </c>
      <c r="W107" s="114">
        <v>19899740</v>
      </c>
      <c r="X107" s="114">
        <v>9543600</v>
      </c>
      <c r="Y107" s="114">
        <v>5598786</v>
      </c>
      <c r="Z107" s="114">
        <v>15532989</v>
      </c>
      <c r="AA107" s="114">
        <v>5398149</v>
      </c>
      <c r="AB107" s="114">
        <v>-10848235</v>
      </c>
      <c r="AC107" s="114">
        <v>-8425154</v>
      </c>
      <c r="AD107" s="114">
        <v>0</v>
      </c>
      <c r="AE107" s="114">
        <v>0</v>
      </c>
      <c r="AF107" s="114">
        <v>32275060</v>
      </c>
      <c r="AG107" s="114">
        <v>235551</v>
      </c>
      <c r="AH107" s="114">
        <v>0</v>
      </c>
      <c r="AI107" s="114">
        <v>0</v>
      </c>
      <c r="AJ107" s="121">
        <v>0</v>
      </c>
      <c r="AK107" s="82">
        <v>376232919</v>
      </c>
      <c r="AL107" s="83">
        <v>6754669</v>
      </c>
      <c r="AM107" s="114">
        <v>0</v>
      </c>
      <c r="AN107" s="114">
        <v>180703925</v>
      </c>
      <c r="AO107" s="114">
        <v>16699577</v>
      </c>
      <c r="AP107" s="114">
        <v>337496863</v>
      </c>
      <c r="AQ107" s="114">
        <v>116505002</v>
      </c>
      <c r="AR107" s="114">
        <v>132974595</v>
      </c>
      <c r="AS107" s="114">
        <v>39502472</v>
      </c>
      <c r="AT107" s="114">
        <f>7938710+6398</f>
        <v>7945108</v>
      </c>
      <c r="AU107" s="114">
        <v>0</v>
      </c>
      <c r="AV107" s="114">
        <v>0</v>
      </c>
      <c r="AW107" s="114">
        <v>17579682</v>
      </c>
      <c r="AX107" s="114">
        <v>1227604</v>
      </c>
      <c r="AY107" s="114">
        <v>559860</v>
      </c>
      <c r="BD107" s="82">
        <v>19245939.48</v>
      </c>
      <c r="BE107" s="82">
        <v>9815429.1399999987</v>
      </c>
      <c r="BF107" s="117">
        <v>0</v>
      </c>
      <c r="BG107" s="118">
        <v>5609226</v>
      </c>
      <c r="BH107" s="118">
        <v>11218452</v>
      </c>
      <c r="BI107" s="117">
        <v>78234442</v>
      </c>
      <c r="BJ107" s="117">
        <v>77357054</v>
      </c>
      <c r="BK107" s="117">
        <v>140014341.19999996</v>
      </c>
      <c r="BL107" s="117">
        <v>134805619.19999999</v>
      </c>
      <c r="BM107" s="117">
        <v>38171968</v>
      </c>
      <c r="BN107" s="117">
        <v>0</v>
      </c>
      <c r="BO107" s="119"/>
      <c r="BP107" s="86">
        <v>4229517956.3399997</v>
      </c>
      <c r="BQ107" s="86">
        <v>3580771072</v>
      </c>
      <c r="BR107" s="87">
        <v>2340564</v>
      </c>
      <c r="BT107" s="114">
        <v>15458</v>
      </c>
      <c r="BU107" s="114">
        <v>4417</v>
      </c>
      <c r="BV107" s="114">
        <v>1030</v>
      </c>
      <c r="BW107" s="114">
        <f t="shared" si="21"/>
        <v>20905</v>
      </c>
      <c r="BX107" s="86">
        <v>3266862568</v>
      </c>
      <c r="BY107" s="82">
        <f t="shared" si="22"/>
        <v>376232919</v>
      </c>
      <c r="BZ107" s="82">
        <f t="shared" si="23"/>
        <v>6754669</v>
      </c>
      <c r="CA107" s="86">
        <f t="shared" si="24"/>
        <v>353410976</v>
      </c>
      <c r="CB107" s="86">
        <f t="shared" si="19"/>
        <v>4003261132</v>
      </c>
    </row>
    <row r="108" spans="1:80" x14ac:dyDescent="0.25">
      <c r="A108" s="91" t="s">
        <v>162</v>
      </c>
      <c r="B108" s="114">
        <v>614457084</v>
      </c>
      <c r="C108" s="114">
        <v>213422100</v>
      </c>
      <c r="D108" s="114">
        <v>339847616</v>
      </c>
      <c r="E108" s="114">
        <v>9519956</v>
      </c>
      <c r="F108" s="114">
        <v>51970800</v>
      </c>
      <c r="G108" s="114">
        <v>4298200</v>
      </c>
      <c r="H108" s="114">
        <v>8120600</v>
      </c>
      <c r="I108" s="114">
        <v>376000</v>
      </c>
      <c r="J108" s="114">
        <v>112800</v>
      </c>
      <c r="K108" s="114">
        <v>0</v>
      </c>
      <c r="L108" s="114">
        <v>562331028</v>
      </c>
      <c r="M108" s="114">
        <v>97915200</v>
      </c>
      <c r="N108" s="114">
        <v>1627</v>
      </c>
      <c r="O108" s="114">
        <v>130</v>
      </c>
      <c r="P108" s="114">
        <v>13726469</v>
      </c>
      <c r="Q108" s="114">
        <v>2278500</v>
      </c>
      <c r="R108" s="114">
        <v>20353999</v>
      </c>
      <c r="S108" s="114">
        <v>3349916</v>
      </c>
      <c r="T108" s="114">
        <v>1734600</v>
      </c>
      <c r="U108" s="114">
        <v>5445582</v>
      </c>
      <c r="V108" s="114">
        <v>13726469</v>
      </c>
      <c r="W108" s="114">
        <v>2470900</v>
      </c>
      <c r="X108" s="114">
        <v>20353999</v>
      </c>
      <c r="Y108" s="114">
        <v>3349916</v>
      </c>
      <c r="Z108" s="114">
        <v>2519724</v>
      </c>
      <c r="AA108" s="114">
        <v>5445582</v>
      </c>
      <c r="AB108" s="114">
        <v>-2634700</v>
      </c>
      <c r="AC108" s="114">
        <v>-143168</v>
      </c>
      <c r="AD108" s="114">
        <v>0</v>
      </c>
      <c r="AE108" s="114">
        <v>0</v>
      </c>
      <c r="AF108" s="114">
        <v>0</v>
      </c>
      <c r="AG108" s="114">
        <v>132281</v>
      </c>
      <c r="AH108" s="114">
        <v>48057.38</v>
      </c>
      <c r="AI108" s="114">
        <v>334696.71999999997</v>
      </c>
      <c r="AJ108" s="121">
        <v>0</v>
      </c>
      <c r="AK108" s="82">
        <v>128694527</v>
      </c>
      <c r="AL108" s="83">
        <v>2678112</v>
      </c>
      <c r="AM108" s="114">
        <v>26500</v>
      </c>
      <c r="AN108" s="114">
        <v>53302070</v>
      </c>
      <c r="AO108" s="114">
        <v>8884234</v>
      </c>
      <c r="AP108" s="114">
        <v>216481388</v>
      </c>
      <c r="AQ108" s="114">
        <v>58782617</v>
      </c>
      <c r="AR108" s="114">
        <v>101201332</v>
      </c>
      <c r="AS108" s="114">
        <v>50853935</v>
      </c>
      <c r="AT108" s="114">
        <v>22774901</v>
      </c>
      <c r="AU108" s="114">
        <v>0</v>
      </c>
      <c r="AV108" s="114">
        <v>808433</v>
      </c>
      <c r="AW108" s="114">
        <v>5575670</v>
      </c>
      <c r="AX108" s="114">
        <v>414950</v>
      </c>
      <c r="AY108" s="114">
        <v>76500</v>
      </c>
      <c r="BD108" s="82">
        <v>6584170.2200000007</v>
      </c>
      <c r="BE108" s="82">
        <v>3357926.81</v>
      </c>
      <c r="BF108" s="117">
        <v>0</v>
      </c>
      <c r="BG108" s="118">
        <v>1085705</v>
      </c>
      <c r="BH108" s="118">
        <v>2171410</v>
      </c>
      <c r="BI108" s="117">
        <v>18067063</v>
      </c>
      <c r="BJ108" s="117">
        <v>18067063</v>
      </c>
      <c r="BK108" s="117">
        <v>22829901.599999998</v>
      </c>
      <c r="BL108" s="117">
        <v>20963313.599999998</v>
      </c>
      <c r="BM108" s="117">
        <v>7676</v>
      </c>
      <c r="BN108" s="117">
        <v>7936282</v>
      </c>
      <c r="BO108" s="119"/>
      <c r="BP108" s="86">
        <v>1471869080.51</v>
      </c>
      <c r="BQ108" s="86">
        <v>1289078475.1000001</v>
      </c>
      <c r="BR108" s="87">
        <v>1753478</v>
      </c>
      <c r="BT108" s="114">
        <v>7080</v>
      </c>
      <c r="BU108" s="114">
        <v>1818</v>
      </c>
      <c r="BV108" s="114">
        <v>631</v>
      </c>
      <c r="BW108" s="114">
        <f t="shared" si="21"/>
        <v>9529</v>
      </c>
      <c r="BX108" s="86">
        <v>1167726800</v>
      </c>
      <c r="BY108" s="82">
        <f t="shared" si="22"/>
        <v>128694527</v>
      </c>
      <c r="BZ108" s="82">
        <f t="shared" si="23"/>
        <v>2678112</v>
      </c>
      <c r="CA108" s="86">
        <f t="shared" si="24"/>
        <v>171822856</v>
      </c>
      <c r="CB108" s="86">
        <f t="shared" si="19"/>
        <v>1470922295</v>
      </c>
    </row>
    <row r="109" spans="1:80" x14ac:dyDescent="0.25">
      <c r="A109" s="91" t="s">
        <v>163</v>
      </c>
      <c r="B109" s="114">
        <v>967285959</v>
      </c>
      <c r="C109" s="114">
        <v>186919532</v>
      </c>
      <c r="D109" s="114">
        <v>56082888</v>
      </c>
      <c r="E109" s="114">
        <v>0</v>
      </c>
      <c r="F109" s="114">
        <v>42586825</v>
      </c>
      <c r="G109" s="114">
        <v>6933050</v>
      </c>
      <c r="H109" s="114">
        <v>11843150</v>
      </c>
      <c r="I109" s="114">
        <v>1294000</v>
      </c>
      <c r="J109" s="114">
        <v>137800</v>
      </c>
      <c r="K109" s="114">
        <v>0</v>
      </c>
      <c r="L109" s="114">
        <v>298625347</v>
      </c>
      <c r="M109" s="114">
        <v>142218926</v>
      </c>
      <c r="N109" s="114">
        <v>1471</v>
      </c>
      <c r="O109" s="114">
        <v>230</v>
      </c>
      <c r="P109" s="114">
        <v>32649662</v>
      </c>
      <c r="Q109" s="114">
        <v>3276655</v>
      </c>
      <c r="R109" s="114">
        <v>865200</v>
      </c>
      <c r="S109" s="114">
        <v>3104986</v>
      </c>
      <c r="T109" s="114">
        <v>471440</v>
      </c>
      <c r="U109" s="114">
        <v>539200</v>
      </c>
      <c r="V109" s="114">
        <v>32649662</v>
      </c>
      <c r="W109" s="114">
        <v>5445084</v>
      </c>
      <c r="X109" s="114">
        <v>865200</v>
      </c>
      <c r="Y109" s="114">
        <v>3104986</v>
      </c>
      <c r="Z109" s="114">
        <v>2237237</v>
      </c>
      <c r="AA109" s="114">
        <v>539200</v>
      </c>
      <c r="AB109" s="114">
        <v>492940</v>
      </c>
      <c r="AC109" s="114">
        <v>111596</v>
      </c>
      <c r="AD109" s="114">
        <v>5498</v>
      </c>
      <c r="AE109" s="114">
        <v>0</v>
      </c>
      <c r="AF109" s="114">
        <v>310301476</v>
      </c>
      <c r="AG109" s="114">
        <v>134521</v>
      </c>
      <c r="AH109" s="114">
        <v>0</v>
      </c>
      <c r="AI109" s="114">
        <v>0</v>
      </c>
      <c r="AJ109" s="121">
        <v>0</v>
      </c>
      <c r="AK109" s="82">
        <v>159774394</v>
      </c>
      <c r="AL109" s="83">
        <v>7776111</v>
      </c>
      <c r="AM109" s="114">
        <v>329000</v>
      </c>
      <c r="AN109" s="114">
        <v>7282612</v>
      </c>
      <c r="AO109" s="114">
        <v>169971</v>
      </c>
      <c r="AP109" s="114">
        <v>198364</v>
      </c>
      <c r="AQ109" s="114">
        <v>3312892</v>
      </c>
      <c r="AR109" s="114">
        <v>413091</v>
      </c>
      <c r="AS109" s="114">
        <v>0</v>
      </c>
      <c r="AT109" s="114">
        <v>934273</v>
      </c>
      <c r="AU109" s="114">
        <v>0</v>
      </c>
      <c r="AV109" s="114">
        <v>0</v>
      </c>
      <c r="AW109" s="114">
        <v>0</v>
      </c>
      <c r="AX109" s="114">
        <v>0</v>
      </c>
      <c r="AY109" s="114">
        <v>138300</v>
      </c>
      <c r="BD109" s="82">
        <v>8185020.1799999997</v>
      </c>
      <c r="BE109" s="82">
        <v>4174360.29</v>
      </c>
      <c r="BF109" s="117">
        <v>0</v>
      </c>
      <c r="BG109" s="118">
        <v>0</v>
      </c>
      <c r="BH109" s="118">
        <v>0</v>
      </c>
      <c r="BI109" s="117">
        <v>3557974</v>
      </c>
      <c r="BJ109" s="117">
        <v>3557974</v>
      </c>
      <c r="BK109" s="117">
        <v>20013489.599999998</v>
      </c>
      <c r="BL109" s="117">
        <v>19993887.599999998</v>
      </c>
      <c r="BM109" s="117">
        <v>0</v>
      </c>
      <c r="BN109" s="117">
        <v>0</v>
      </c>
      <c r="BO109" s="119"/>
      <c r="BP109" s="86">
        <v>1416330580.8899999</v>
      </c>
      <c r="BQ109" s="86">
        <v>1221053854</v>
      </c>
      <c r="BR109" s="87">
        <v>326479</v>
      </c>
      <c r="BT109" s="114">
        <v>6875</v>
      </c>
      <c r="BU109" s="114">
        <v>1990</v>
      </c>
      <c r="BV109" s="114">
        <v>230</v>
      </c>
      <c r="BW109" s="114">
        <f t="shared" si="21"/>
        <v>9095</v>
      </c>
      <c r="BX109" s="86">
        <v>1210288379</v>
      </c>
      <c r="BY109" s="82">
        <f t="shared" si="22"/>
        <v>159774394</v>
      </c>
      <c r="BZ109" s="82">
        <f t="shared" si="23"/>
        <v>7776111</v>
      </c>
      <c r="CA109" s="86">
        <f t="shared" si="24"/>
        <v>10765475</v>
      </c>
      <c r="CB109" s="86">
        <f t="shared" si="19"/>
        <v>1388604359</v>
      </c>
    </row>
    <row r="110" spans="1:80" x14ac:dyDescent="0.25">
      <c r="A110" s="91" t="s">
        <v>164</v>
      </c>
      <c r="B110" s="114">
        <v>618082425</v>
      </c>
      <c r="C110" s="114">
        <v>138035520</v>
      </c>
      <c r="D110" s="114">
        <v>286803762</v>
      </c>
      <c r="E110" s="114">
        <v>0</v>
      </c>
      <c r="F110" s="114">
        <v>75859725</v>
      </c>
      <c r="G110" s="114">
        <v>17236546</v>
      </c>
      <c r="H110" s="114">
        <v>15109205</v>
      </c>
      <c r="I110" s="114">
        <v>1759051</v>
      </c>
      <c r="J110" s="114">
        <v>137800</v>
      </c>
      <c r="K110" s="114">
        <v>37600</v>
      </c>
      <c r="L110" s="114">
        <v>275735876</v>
      </c>
      <c r="M110" s="114">
        <v>99720878</v>
      </c>
      <c r="N110" s="114">
        <v>2493</v>
      </c>
      <c r="O110" s="114">
        <v>558</v>
      </c>
      <c r="P110" s="114">
        <v>3743128</v>
      </c>
      <c r="Q110" s="114">
        <v>3022925</v>
      </c>
      <c r="R110" s="114">
        <v>8101929</v>
      </c>
      <c r="S110" s="114">
        <v>2911956</v>
      </c>
      <c r="T110" s="114">
        <v>631576</v>
      </c>
      <c r="U110" s="114">
        <v>966000</v>
      </c>
      <c r="V110" s="114">
        <v>3743128</v>
      </c>
      <c r="W110" s="114">
        <v>3683495</v>
      </c>
      <c r="X110" s="114">
        <v>8101929</v>
      </c>
      <c r="Y110" s="114">
        <v>2911956</v>
      </c>
      <c r="Z110" s="114">
        <v>1047086</v>
      </c>
      <c r="AA110" s="114">
        <v>966000</v>
      </c>
      <c r="AB110" s="114">
        <v>-2156525</v>
      </c>
      <c r="AC110" s="114">
        <v>-290887</v>
      </c>
      <c r="AD110" s="114">
        <v>0</v>
      </c>
      <c r="AE110" s="114">
        <v>0</v>
      </c>
      <c r="AF110" s="114">
        <v>0</v>
      </c>
      <c r="AG110" s="114">
        <v>0</v>
      </c>
      <c r="AH110" s="114">
        <v>0</v>
      </c>
      <c r="AI110" s="114">
        <v>0</v>
      </c>
      <c r="AJ110" s="121">
        <v>0</v>
      </c>
      <c r="AK110" s="82">
        <v>163359594</v>
      </c>
      <c r="AL110" s="83">
        <v>7237078</v>
      </c>
      <c r="AM110" s="114">
        <v>4960237</v>
      </c>
      <c r="AN110" s="114">
        <v>69788339</v>
      </c>
      <c r="AO110" s="114">
        <v>1306120</v>
      </c>
      <c r="AP110" s="114">
        <v>33018630</v>
      </c>
      <c r="AQ110" s="114">
        <v>42335220</v>
      </c>
      <c r="AR110" s="114">
        <v>37554280</v>
      </c>
      <c r="AS110" s="114">
        <v>64478740</v>
      </c>
      <c r="AT110" s="114">
        <v>785703</v>
      </c>
      <c r="AU110" s="114">
        <v>0</v>
      </c>
      <c r="AV110" s="114">
        <v>0</v>
      </c>
      <c r="AW110" s="114">
        <v>39533</v>
      </c>
      <c r="AX110" s="114">
        <v>10689</v>
      </c>
      <c r="AY110" s="114">
        <v>21000</v>
      </c>
      <c r="BD110" s="82">
        <v>8366959.2599999998</v>
      </c>
      <c r="BE110" s="82">
        <v>4267149.22</v>
      </c>
      <c r="BF110" s="117">
        <v>0</v>
      </c>
      <c r="BG110" s="118">
        <v>0</v>
      </c>
      <c r="BH110" s="118">
        <v>0</v>
      </c>
      <c r="BI110" s="117">
        <v>23951978</v>
      </c>
      <c r="BJ110" s="117">
        <v>23951978</v>
      </c>
      <c r="BK110" s="117">
        <v>86275810.799999982</v>
      </c>
      <c r="BL110" s="117">
        <v>85119296.799999982</v>
      </c>
      <c r="BM110" s="117">
        <v>0</v>
      </c>
      <c r="BN110" s="117">
        <v>0</v>
      </c>
      <c r="BO110" s="119"/>
      <c r="BP110" s="86">
        <v>1440286482.02</v>
      </c>
      <c r="BQ110" s="86">
        <v>1156351386</v>
      </c>
      <c r="BR110" s="87">
        <v>1441000</v>
      </c>
      <c r="BT110" s="114">
        <v>9463</v>
      </c>
      <c r="BU110" s="114">
        <v>2542</v>
      </c>
      <c r="BV110" s="114">
        <v>913</v>
      </c>
      <c r="BW110" s="114">
        <f t="shared" si="21"/>
        <v>12918</v>
      </c>
      <c r="BX110" s="86">
        <v>1042921707</v>
      </c>
      <c r="BY110" s="82">
        <f t="shared" si="22"/>
        <v>163359594</v>
      </c>
      <c r="BZ110" s="82">
        <f t="shared" si="23"/>
        <v>7237078</v>
      </c>
      <c r="CA110" s="86">
        <f t="shared" si="24"/>
        <v>177908419</v>
      </c>
      <c r="CB110" s="86">
        <f t="shared" si="19"/>
        <v>1391426798</v>
      </c>
    </row>
    <row r="111" spans="1:80" x14ac:dyDescent="0.25">
      <c r="A111" s="91" t="s">
        <v>165</v>
      </c>
      <c r="B111" s="114">
        <v>229316323</v>
      </c>
      <c r="C111" s="114">
        <v>168034150</v>
      </c>
      <c r="D111" s="114">
        <v>68979834</v>
      </c>
      <c r="E111" s="114">
        <v>0</v>
      </c>
      <c r="F111" s="114">
        <v>30280151</v>
      </c>
      <c r="G111" s="114">
        <v>4476975</v>
      </c>
      <c r="H111" s="114">
        <v>8361490</v>
      </c>
      <c r="I111" s="114">
        <v>368841</v>
      </c>
      <c r="J111" s="114">
        <v>0</v>
      </c>
      <c r="K111" s="114">
        <v>0</v>
      </c>
      <c r="L111" s="114">
        <v>576577467</v>
      </c>
      <c r="M111" s="114">
        <v>64916951</v>
      </c>
      <c r="N111" s="114">
        <v>1099</v>
      </c>
      <c r="O111" s="114">
        <v>152</v>
      </c>
      <c r="P111" s="114">
        <v>4254184</v>
      </c>
      <c r="Q111" s="114">
        <v>1666520</v>
      </c>
      <c r="R111" s="114">
        <v>110000</v>
      </c>
      <c r="S111" s="114">
        <v>1292592</v>
      </c>
      <c r="T111" s="114">
        <v>47040</v>
      </c>
      <c r="U111" s="114">
        <v>521960</v>
      </c>
      <c r="V111" s="114">
        <v>4254184</v>
      </c>
      <c r="W111" s="114">
        <v>1865520</v>
      </c>
      <c r="X111" s="114">
        <v>110000</v>
      </c>
      <c r="Y111" s="114">
        <v>1292592</v>
      </c>
      <c r="Z111" s="114">
        <v>195267</v>
      </c>
      <c r="AA111" s="114">
        <v>521960</v>
      </c>
      <c r="AB111" s="114">
        <v>-790996</v>
      </c>
      <c r="AC111" s="114">
        <v>58946</v>
      </c>
      <c r="AD111" s="114">
        <v>70084</v>
      </c>
      <c r="AE111" s="114">
        <v>48751</v>
      </c>
      <c r="AF111" s="114">
        <v>96528570</v>
      </c>
      <c r="AG111" s="114">
        <v>226534</v>
      </c>
      <c r="AH111" s="114">
        <v>33065.57</v>
      </c>
      <c r="AI111" s="114">
        <v>262139.34</v>
      </c>
      <c r="AJ111" s="121">
        <v>0</v>
      </c>
      <c r="AK111" s="82">
        <v>78341919</v>
      </c>
      <c r="AL111" s="83">
        <v>1297096</v>
      </c>
      <c r="AM111" s="114">
        <v>0</v>
      </c>
      <c r="AN111" s="114">
        <v>14016955</v>
      </c>
      <c r="AO111" s="114">
        <v>2666333</v>
      </c>
      <c r="AP111" s="114">
        <v>22815074</v>
      </c>
      <c r="AQ111" s="114">
        <v>20332594</v>
      </c>
      <c r="AR111" s="114">
        <v>14699282</v>
      </c>
      <c r="AS111" s="114">
        <v>192728</v>
      </c>
      <c r="AT111" s="114">
        <v>2865987</v>
      </c>
      <c r="AU111" s="114">
        <v>0</v>
      </c>
      <c r="AV111" s="114">
        <v>1857294</v>
      </c>
      <c r="AW111" s="114">
        <v>14361098</v>
      </c>
      <c r="AX111" s="114">
        <v>23344</v>
      </c>
      <c r="AY111" s="114">
        <v>102000</v>
      </c>
      <c r="BD111" s="82">
        <v>4007263.0500000003</v>
      </c>
      <c r="BE111" s="82">
        <v>2043704.15</v>
      </c>
      <c r="BF111" s="117">
        <v>0</v>
      </c>
      <c r="BG111" s="118">
        <v>1666797</v>
      </c>
      <c r="BH111" s="118">
        <v>3333594</v>
      </c>
      <c r="BI111" s="117">
        <v>11925067</v>
      </c>
      <c r="BJ111" s="117">
        <v>11925067</v>
      </c>
      <c r="BK111" s="117">
        <v>61534684.199999996</v>
      </c>
      <c r="BL111" s="117">
        <v>44639659.199999996</v>
      </c>
      <c r="BM111" s="117">
        <v>0</v>
      </c>
      <c r="BN111" s="117">
        <v>0</v>
      </c>
      <c r="BO111" s="119"/>
      <c r="BP111" s="86">
        <v>643555636.25999999</v>
      </c>
      <c r="BQ111" s="86">
        <v>503641393.90999997</v>
      </c>
      <c r="BR111" s="87">
        <v>915372</v>
      </c>
      <c r="BT111" s="114">
        <v>4819</v>
      </c>
      <c r="BU111" s="114">
        <v>2395</v>
      </c>
      <c r="BV111" s="114">
        <v>445</v>
      </c>
      <c r="BW111" s="114">
        <f t="shared" si="21"/>
        <v>7659</v>
      </c>
      <c r="BX111" s="86">
        <v>466330307</v>
      </c>
      <c r="BY111" s="82">
        <f t="shared" si="22"/>
        <v>78341919</v>
      </c>
      <c r="BZ111" s="82">
        <f t="shared" si="23"/>
        <v>1297096</v>
      </c>
      <c r="CA111" s="86">
        <f t="shared" si="24"/>
        <v>37208610</v>
      </c>
      <c r="CB111" s="86">
        <f t="shared" si="19"/>
        <v>583177932</v>
      </c>
    </row>
    <row r="112" spans="1:80" x14ac:dyDescent="0.25">
      <c r="A112" s="91" t="s">
        <v>166</v>
      </c>
      <c r="B112" s="114">
        <v>652969982</v>
      </c>
      <c r="C112" s="114">
        <v>103265938</v>
      </c>
      <c r="D112" s="114">
        <v>84020802</v>
      </c>
      <c r="E112" s="114">
        <v>0</v>
      </c>
      <c r="F112" s="114">
        <v>54142130</v>
      </c>
      <c r="G112" s="114">
        <v>8475755</v>
      </c>
      <c r="H112" s="114">
        <v>5731003</v>
      </c>
      <c r="I112" s="114">
        <v>772776</v>
      </c>
      <c r="J112" s="114">
        <v>225600</v>
      </c>
      <c r="K112" s="114">
        <v>37600</v>
      </c>
      <c r="L112" s="114">
        <v>651791403</v>
      </c>
      <c r="M112" s="114">
        <v>60346207</v>
      </c>
      <c r="N112" s="114">
        <v>1697</v>
      </c>
      <c r="O112" s="114">
        <v>277</v>
      </c>
      <c r="P112" s="114">
        <v>10874123</v>
      </c>
      <c r="Q112" s="114">
        <v>2730651</v>
      </c>
      <c r="R112" s="114">
        <v>1053970</v>
      </c>
      <c r="S112" s="114">
        <v>3386366</v>
      </c>
      <c r="T112" s="114">
        <v>443567</v>
      </c>
      <c r="U112" s="114">
        <v>1362000</v>
      </c>
      <c r="V112" s="114">
        <v>10874123</v>
      </c>
      <c r="W112" s="114">
        <v>5829630</v>
      </c>
      <c r="X112" s="114">
        <v>1053970</v>
      </c>
      <c r="Y112" s="114">
        <v>3386366</v>
      </c>
      <c r="Z112" s="114">
        <v>9422112</v>
      </c>
      <c r="AA112" s="114">
        <v>1362000</v>
      </c>
      <c r="AB112" s="114">
        <v>-2894209</v>
      </c>
      <c r="AC112" s="114">
        <v>-203987</v>
      </c>
      <c r="AD112" s="114">
        <v>66665</v>
      </c>
      <c r="AE112" s="114">
        <v>0</v>
      </c>
      <c r="AF112" s="114">
        <v>0</v>
      </c>
      <c r="AG112" s="114">
        <v>0</v>
      </c>
      <c r="AH112" s="114">
        <v>0</v>
      </c>
      <c r="AI112" s="114">
        <v>153516.39000000001</v>
      </c>
      <c r="AJ112" s="121">
        <v>0</v>
      </c>
      <c r="AK112" s="82">
        <v>108030441</v>
      </c>
      <c r="AL112" s="83">
        <v>14022862</v>
      </c>
      <c r="AM112" s="114">
        <v>1012825</v>
      </c>
      <c r="AN112" s="114">
        <v>11762852</v>
      </c>
      <c r="AO112" s="114">
        <v>870670</v>
      </c>
      <c r="AP112" s="114">
        <v>18100885</v>
      </c>
      <c r="AQ112" s="114">
        <v>13092342</v>
      </c>
      <c r="AR112" s="114">
        <v>11184396</v>
      </c>
      <c r="AS112" s="114">
        <v>250819</v>
      </c>
      <c r="AT112" s="114">
        <v>1196225</v>
      </c>
      <c r="AU112" s="114">
        <v>0</v>
      </c>
      <c r="AV112" s="114">
        <v>15757</v>
      </c>
      <c r="AW112" s="114">
        <v>142891521</v>
      </c>
      <c r="AX112" s="114">
        <v>8972</v>
      </c>
      <c r="AY112" s="114">
        <v>0</v>
      </c>
      <c r="BD112" s="82">
        <v>5555448.6200000001</v>
      </c>
      <c r="BE112" s="82">
        <v>2833278.79</v>
      </c>
      <c r="BF112" s="117">
        <v>27572021</v>
      </c>
      <c r="BG112" s="118">
        <v>0</v>
      </c>
      <c r="BH112" s="118">
        <v>0</v>
      </c>
      <c r="BI112" s="117">
        <v>4135169</v>
      </c>
      <c r="BJ112" s="117">
        <v>4135169</v>
      </c>
      <c r="BK112" s="117">
        <v>26137507.399999995</v>
      </c>
      <c r="BL112" s="117">
        <v>25771580.399999995</v>
      </c>
      <c r="BM112" s="117">
        <v>0</v>
      </c>
      <c r="BN112" s="117">
        <v>0</v>
      </c>
      <c r="BO112" s="119"/>
      <c r="BP112" s="86">
        <v>1020929433.5799999</v>
      </c>
      <c r="BQ112" s="86">
        <v>866136102.38999999</v>
      </c>
      <c r="BR112" s="87">
        <v>697280</v>
      </c>
      <c r="BT112" s="114">
        <v>16011</v>
      </c>
      <c r="BU112" s="114">
        <v>1909</v>
      </c>
      <c r="BV112" s="114">
        <v>488</v>
      </c>
      <c r="BW112" s="114">
        <f t="shared" si="21"/>
        <v>18408</v>
      </c>
      <c r="BX112" s="86">
        <v>840256722</v>
      </c>
      <c r="BY112" s="82">
        <f t="shared" si="22"/>
        <v>108030441</v>
      </c>
      <c r="BZ112" s="82">
        <f t="shared" si="23"/>
        <v>14022862</v>
      </c>
      <c r="CA112" s="86">
        <f t="shared" si="24"/>
        <v>25976683</v>
      </c>
      <c r="CB112" s="86">
        <f t="shared" si="19"/>
        <v>988286708</v>
      </c>
    </row>
    <row r="113" spans="1:110" x14ac:dyDescent="0.25">
      <c r="A113" s="91" t="s">
        <v>167</v>
      </c>
      <c r="B113" s="114">
        <v>210699800</v>
      </c>
      <c r="C113" s="114">
        <v>87622500</v>
      </c>
      <c r="D113" s="114">
        <v>23023400</v>
      </c>
      <c r="E113" s="114">
        <v>0</v>
      </c>
      <c r="F113" s="114">
        <v>22577500</v>
      </c>
      <c r="G113" s="114">
        <v>3798250</v>
      </c>
      <c r="H113" s="114">
        <v>8122100</v>
      </c>
      <c r="I113" s="114">
        <v>615500</v>
      </c>
      <c r="J113" s="114">
        <v>75200</v>
      </c>
      <c r="K113" s="114">
        <v>0</v>
      </c>
      <c r="L113" s="114">
        <v>157096000</v>
      </c>
      <c r="M113" s="114">
        <v>66251400</v>
      </c>
      <c r="N113" s="114">
        <v>861</v>
      </c>
      <c r="O113" s="114">
        <v>133</v>
      </c>
      <c r="P113" s="114">
        <v>4638200</v>
      </c>
      <c r="Q113" s="114">
        <v>1817700</v>
      </c>
      <c r="R113" s="114">
        <v>340900</v>
      </c>
      <c r="S113" s="114">
        <v>1136000</v>
      </c>
      <c r="T113" s="114">
        <v>1633100</v>
      </c>
      <c r="U113" s="114">
        <v>212900</v>
      </c>
      <c r="V113" s="114">
        <v>4638200</v>
      </c>
      <c r="W113" s="114">
        <v>1768900</v>
      </c>
      <c r="X113" s="114">
        <v>340900</v>
      </c>
      <c r="Y113" s="114">
        <v>1136000</v>
      </c>
      <c r="Z113" s="114">
        <v>2679000</v>
      </c>
      <c r="AA113" s="114">
        <v>212900</v>
      </c>
      <c r="AB113" s="114">
        <v>-947800</v>
      </c>
      <c r="AC113" s="114">
        <v>-4895</v>
      </c>
      <c r="AD113" s="114">
        <v>50272</v>
      </c>
      <c r="AE113" s="114">
        <v>8979</v>
      </c>
      <c r="AF113" s="114">
        <v>45830300</v>
      </c>
      <c r="AG113" s="114">
        <v>82119</v>
      </c>
      <c r="AH113" s="114">
        <v>0</v>
      </c>
      <c r="AI113" s="114">
        <v>0</v>
      </c>
      <c r="AJ113" s="121">
        <v>0</v>
      </c>
      <c r="AK113" s="82">
        <v>60734418</v>
      </c>
      <c r="AL113" s="83">
        <v>1598121</v>
      </c>
      <c r="AM113" s="114">
        <v>20000</v>
      </c>
      <c r="AN113" s="114">
        <v>10697875</v>
      </c>
      <c r="AO113" s="114">
        <v>68069</v>
      </c>
      <c r="AP113" s="114">
        <v>847758</v>
      </c>
      <c r="AQ113" s="114">
        <v>1585266</v>
      </c>
      <c r="AR113" s="114">
        <v>245101</v>
      </c>
      <c r="AS113" s="114">
        <v>0</v>
      </c>
      <c r="AT113" s="114">
        <f>168946+100</f>
        <v>169046</v>
      </c>
      <c r="AU113" s="114">
        <v>0</v>
      </c>
      <c r="AV113" s="114">
        <v>0</v>
      </c>
      <c r="AW113" s="114">
        <v>0</v>
      </c>
      <c r="AX113" s="114">
        <v>0</v>
      </c>
      <c r="AY113" s="114">
        <v>0</v>
      </c>
      <c r="BD113" s="82">
        <v>3108055.9</v>
      </c>
      <c r="BE113" s="82">
        <v>1585108.51</v>
      </c>
      <c r="BF113" s="117">
        <v>21326425</v>
      </c>
      <c r="BG113" s="118">
        <v>0</v>
      </c>
      <c r="BH113" s="118">
        <v>0</v>
      </c>
      <c r="BI113" s="117">
        <v>133711123</v>
      </c>
      <c r="BJ113" s="117">
        <v>133711123</v>
      </c>
      <c r="BK113" s="117">
        <v>56188184.000000007</v>
      </c>
      <c r="BL113" s="117">
        <v>55116040.000000007</v>
      </c>
      <c r="BM113" s="117">
        <v>0</v>
      </c>
      <c r="BN113" s="117">
        <v>0</v>
      </c>
      <c r="BO113" s="119"/>
      <c r="BP113" s="86">
        <v>586441720.50999999</v>
      </c>
      <c r="BQ113" s="86">
        <v>333696910</v>
      </c>
      <c r="BR113" s="87">
        <v>684400</v>
      </c>
      <c r="BT113" s="114">
        <v>3942</v>
      </c>
      <c r="BU113" s="114">
        <v>1606</v>
      </c>
      <c r="BV113" s="114">
        <v>170</v>
      </c>
      <c r="BW113" s="114">
        <f t="shared" si="21"/>
        <v>5718</v>
      </c>
      <c r="BX113" s="86">
        <v>321345700</v>
      </c>
      <c r="BY113" s="82">
        <f t="shared" si="22"/>
        <v>60734418</v>
      </c>
      <c r="BZ113" s="82">
        <f t="shared" si="23"/>
        <v>1598121</v>
      </c>
      <c r="CA113" s="86">
        <f t="shared" si="24"/>
        <v>12351210</v>
      </c>
      <c r="CB113" s="86">
        <f t="shared" si="19"/>
        <v>396029449</v>
      </c>
    </row>
    <row r="114" spans="1:110" x14ac:dyDescent="0.25">
      <c r="A114" s="91" t="s">
        <v>168</v>
      </c>
      <c r="B114" s="114">
        <v>286362660</v>
      </c>
      <c r="C114" s="114">
        <v>160269477</v>
      </c>
      <c r="D114" s="114">
        <v>106231354</v>
      </c>
      <c r="E114" s="114">
        <v>1310000</v>
      </c>
      <c r="F114" s="114">
        <v>42806100</v>
      </c>
      <c r="G114" s="114">
        <v>7100615</v>
      </c>
      <c r="H114" s="114">
        <v>6033290</v>
      </c>
      <c r="I114" s="114">
        <v>452910</v>
      </c>
      <c r="J114" s="114">
        <v>144300</v>
      </c>
      <c r="K114" s="114">
        <v>37600</v>
      </c>
      <c r="L114" s="114">
        <v>712399306</v>
      </c>
      <c r="M114" s="114">
        <v>51674398</v>
      </c>
      <c r="N114" s="114">
        <v>1374</v>
      </c>
      <c r="O114" s="114">
        <v>230</v>
      </c>
      <c r="P114" s="114">
        <v>1598035</v>
      </c>
      <c r="Q114" s="114">
        <v>1244781</v>
      </c>
      <c r="R114" s="114">
        <v>1334350</v>
      </c>
      <c r="S114" s="114">
        <v>443075</v>
      </c>
      <c r="T114" s="114">
        <v>0</v>
      </c>
      <c r="U114" s="114">
        <v>607425</v>
      </c>
      <c r="V114" s="114">
        <v>1598035</v>
      </c>
      <c r="W114" s="114">
        <v>1244781</v>
      </c>
      <c r="X114" s="114">
        <v>1334350</v>
      </c>
      <c r="Y114" s="114">
        <v>443075</v>
      </c>
      <c r="Z114" s="114">
        <v>0</v>
      </c>
      <c r="AA114" s="114">
        <v>607425</v>
      </c>
      <c r="AB114" s="114">
        <v>-939145</v>
      </c>
      <c r="AC114" s="114">
        <v>-1192365</v>
      </c>
      <c r="AD114" s="114">
        <v>7904</v>
      </c>
      <c r="AE114" s="114">
        <v>13264</v>
      </c>
      <c r="AF114" s="114">
        <v>41520316</v>
      </c>
      <c r="AG114" s="114">
        <v>194051</v>
      </c>
      <c r="AH114" s="114">
        <v>10643426.23</v>
      </c>
      <c r="AI114" s="114">
        <v>0</v>
      </c>
      <c r="AJ114" s="121">
        <v>63327827.869999997</v>
      </c>
      <c r="AK114" s="82">
        <v>121584308</v>
      </c>
      <c r="AL114" s="83">
        <v>4518831</v>
      </c>
      <c r="AM114" s="114">
        <v>88000</v>
      </c>
      <c r="AN114" s="114">
        <v>104688784</v>
      </c>
      <c r="AO114" s="114">
        <v>8445276</v>
      </c>
      <c r="AP114" s="114">
        <v>95607450</v>
      </c>
      <c r="AQ114" s="114">
        <v>37456896</v>
      </c>
      <c r="AR114" s="114">
        <v>12844116</v>
      </c>
      <c r="AS114" s="114">
        <v>27756649</v>
      </c>
      <c r="AT114" s="114">
        <v>2190242</v>
      </c>
      <c r="AU114" s="114">
        <v>0</v>
      </c>
      <c r="AV114" s="114">
        <v>47482</v>
      </c>
      <c r="AW114" s="114">
        <v>17473858</v>
      </c>
      <c r="AX114" s="114">
        <v>786448</v>
      </c>
      <c r="AY114" s="114">
        <v>422651</v>
      </c>
      <c r="BD114" s="82">
        <v>6225212.5</v>
      </c>
      <c r="BE114" s="82">
        <v>3174858.37</v>
      </c>
      <c r="BF114" s="117">
        <v>42348187</v>
      </c>
      <c r="BG114" s="118">
        <v>0</v>
      </c>
      <c r="BH114" s="118">
        <v>0</v>
      </c>
      <c r="BI114" s="117">
        <v>5597823</v>
      </c>
      <c r="BJ114" s="117">
        <v>5597823</v>
      </c>
      <c r="BK114" s="117">
        <v>33721322.399999999</v>
      </c>
      <c r="BL114" s="117">
        <v>33615888.399999999</v>
      </c>
      <c r="BM114" s="117">
        <v>0</v>
      </c>
      <c r="BN114" s="117">
        <v>0</v>
      </c>
      <c r="BO114" s="119"/>
      <c r="BP114" s="86">
        <v>945917409.87</v>
      </c>
      <c r="BQ114" s="86">
        <v>777425701.10000002</v>
      </c>
      <c r="BR114" s="87">
        <v>937821</v>
      </c>
      <c r="BT114" s="114">
        <v>5791</v>
      </c>
      <c r="BU114" s="114">
        <v>1819</v>
      </c>
      <c r="BV114" s="114">
        <v>579</v>
      </c>
      <c r="BW114" s="114">
        <f>SUM(BT114:BV114)</f>
        <v>8189</v>
      </c>
      <c r="BX114" s="86">
        <v>552863491</v>
      </c>
      <c r="BY114" s="82">
        <f t="shared" si="22"/>
        <v>121584308</v>
      </c>
      <c r="BZ114" s="82">
        <f t="shared" si="23"/>
        <v>4518831</v>
      </c>
      <c r="CA114" s="86">
        <f t="shared" si="24"/>
        <v>178347605</v>
      </c>
      <c r="CB114" s="86">
        <f t="shared" si="19"/>
        <v>857314235</v>
      </c>
    </row>
    <row r="115" spans="1:110" x14ac:dyDescent="0.25">
      <c r="A115" s="91" t="s">
        <v>169</v>
      </c>
      <c r="B115" s="114">
        <v>5351323711</v>
      </c>
      <c r="C115" s="114">
        <v>475908190</v>
      </c>
      <c r="D115" s="114">
        <v>3088559521</v>
      </c>
      <c r="E115" s="114">
        <v>80706568</v>
      </c>
      <c r="F115" s="114">
        <v>241869840</v>
      </c>
      <c r="G115" s="114">
        <v>20618580</v>
      </c>
      <c r="H115" s="114">
        <v>26074320</v>
      </c>
      <c r="I115" s="114">
        <v>1648850</v>
      </c>
      <c r="J115" s="114">
        <v>413600</v>
      </c>
      <c r="K115" s="114">
        <v>0</v>
      </c>
      <c r="L115" s="114">
        <v>957345920</v>
      </c>
      <c r="N115" s="114">
        <v>7230</v>
      </c>
      <c r="O115" s="114">
        <v>650</v>
      </c>
      <c r="P115" s="114">
        <v>155090490</v>
      </c>
      <c r="Q115" s="114">
        <v>8465810</v>
      </c>
      <c r="R115" s="114">
        <v>115748180</v>
      </c>
      <c r="S115" s="114">
        <v>570660</v>
      </c>
      <c r="T115" s="114">
        <v>605300</v>
      </c>
      <c r="U115" s="114">
        <v>6946300</v>
      </c>
      <c r="V115" s="114">
        <v>155090490</v>
      </c>
      <c r="W115" s="114">
        <v>8465810</v>
      </c>
      <c r="X115" s="114">
        <v>115748180</v>
      </c>
      <c r="Y115" s="114">
        <v>570660</v>
      </c>
      <c r="Z115" s="114">
        <v>605300</v>
      </c>
      <c r="AA115" s="114">
        <v>6946300</v>
      </c>
      <c r="AB115" s="114">
        <v>-16699623</v>
      </c>
      <c r="AC115" s="114">
        <v>-11185538</v>
      </c>
      <c r="AD115" s="114">
        <v>71193</v>
      </c>
      <c r="AH115" s="114">
        <v>3136704.92</v>
      </c>
      <c r="AI115" s="114">
        <v>1035057.38</v>
      </c>
      <c r="AJ115" s="121">
        <v>0</v>
      </c>
      <c r="AK115" s="82">
        <v>818613844</v>
      </c>
      <c r="AL115" s="83">
        <v>15897424</v>
      </c>
      <c r="AM115" s="114">
        <v>0</v>
      </c>
      <c r="AN115" s="114">
        <v>428674822</v>
      </c>
      <c r="AO115" s="114">
        <v>94832992</v>
      </c>
      <c r="AP115" s="114">
        <v>1447587229</v>
      </c>
      <c r="AQ115" s="114">
        <v>342387736</v>
      </c>
      <c r="AR115" s="114">
        <v>382275879</v>
      </c>
      <c r="AS115" s="114">
        <v>172512398</v>
      </c>
      <c r="AT115" s="114">
        <f>6476633+283990</f>
        <v>6760623</v>
      </c>
      <c r="AU115" s="114">
        <v>0</v>
      </c>
      <c r="AV115" s="114">
        <v>98232</v>
      </c>
      <c r="AW115" s="114">
        <v>197618193</v>
      </c>
      <c r="AX115" s="114">
        <v>6387269</v>
      </c>
      <c r="AY115" s="114">
        <v>16621513</v>
      </c>
      <c r="BD115" s="82">
        <v>41878538.82</v>
      </c>
      <c r="BE115" s="82">
        <v>21358054.800000001</v>
      </c>
      <c r="BF115" s="117">
        <v>0</v>
      </c>
      <c r="BG115" s="118">
        <v>3467808</v>
      </c>
      <c r="BH115" s="118">
        <v>6935616</v>
      </c>
      <c r="BI115" s="117">
        <v>59688076</v>
      </c>
      <c r="BJ115" s="117">
        <v>59688076</v>
      </c>
      <c r="BK115" s="117">
        <v>129556104.59999999</v>
      </c>
      <c r="BL115" s="117">
        <v>119855484.59999999</v>
      </c>
      <c r="BM115" s="117">
        <v>388733</v>
      </c>
      <c r="BN115" s="117">
        <v>28637397</v>
      </c>
      <c r="BO115" s="119"/>
      <c r="BP115" s="86">
        <v>10853765555.699999</v>
      </c>
      <c r="BQ115" s="86">
        <v>9785858734.2999992</v>
      </c>
      <c r="BR115" s="87">
        <v>4463300</v>
      </c>
      <c r="BT115" s="114">
        <v>39202</v>
      </c>
      <c r="BU115" s="114">
        <v>4858</v>
      </c>
      <c r="BV115" s="114">
        <v>3871</v>
      </c>
      <c r="BW115" s="114">
        <f t="shared" ref="BW115:BW121" si="25">SUM(BT115:BV115)</f>
        <v>47931</v>
      </c>
      <c r="BX115" s="86">
        <v>8915791422</v>
      </c>
      <c r="BY115" s="82">
        <f t="shared" si="22"/>
        <v>818613844</v>
      </c>
      <c r="BZ115" s="82">
        <f t="shared" si="23"/>
        <v>15897424</v>
      </c>
      <c r="CA115" s="86">
        <f t="shared" si="24"/>
        <v>1038407948</v>
      </c>
      <c r="CB115" s="86">
        <f t="shared" si="19"/>
        <v>10788710638</v>
      </c>
    </row>
    <row r="116" spans="1:110" x14ac:dyDescent="0.25">
      <c r="A116" s="91" t="s">
        <v>170</v>
      </c>
      <c r="B116" s="114">
        <v>263692616</v>
      </c>
      <c r="C116" s="114">
        <v>171381689</v>
      </c>
      <c r="D116" s="114">
        <v>90713826</v>
      </c>
      <c r="E116" s="114">
        <v>0</v>
      </c>
      <c r="F116" s="114">
        <v>32896100</v>
      </c>
      <c r="G116" s="114">
        <v>5129600</v>
      </c>
      <c r="H116" s="114">
        <v>15791700</v>
      </c>
      <c r="I116" s="114">
        <v>2269800</v>
      </c>
      <c r="J116" s="114">
        <v>37600</v>
      </c>
      <c r="K116" s="114">
        <v>0</v>
      </c>
      <c r="L116" s="114">
        <v>300379412</v>
      </c>
      <c r="M116" s="114">
        <v>12009240</v>
      </c>
      <c r="N116" s="114">
        <v>1334</v>
      </c>
      <c r="O116" s="114">
        <v>219</v>
      </c>
      <c r="P116" s="114">
        <v>3218355</v>
      </c>
      <c r="Q116" s="114">
        <v>2668910</v>
      </c>
      <c r="R116" s="114">
        <v>20000</v>
      </c>
      <c r="S116" s="114">
        <v>1737848</v>
      </c>
      <c r="T116" s="114">
        <v>950100</v>
      </c>
      <c r="U116" s="114">
        <v>115000</v>
      </c>
      <c r="V116" s="114">
        <v>3218355</v>
      </c>
      <c r="W116" s="114">
        <v>3058560</v>
      </c>
      <c r="X116" s="114">
        <v>20000</v>
      </c>
      <c r="Y116" s="114">
        <v>1716948</v>
      </c>
      <c r="Z116" s="114">
        <v>1056520</v>
      </c>
      <c r="AA116" s="114">
        <v>115000</v>
      </c>
      <c r="AB116" s="114">
        <v>-1077650</v>
      </c>
      <c r="AC116" s="114">
        <v>0</v>
      </c>
      <c r="AD116" s="114">
        <v>45037</v>
      </c>
      <c r="AG116" s="114">
        <v>179215</v>
      </c>
      <c r="AH116" s="114">
        <v>0</v>
      </c>
      <c r="AI116" s="114">
        <v>0</v>
      </c>
      <c r="AJ116" s="121">
        <v>0</v>
      </c>
      <c r="AK116" s="82">
        <v>81119231</v>
      </c>
      <c r="AL116" s="83">
        <v>1560913</v>
      </c>
      <c r="AM116" s="114">
        <v>0</v>
      </c>
      <c r="AN116" s="114">
        <v>23436561</v>
      </c>
      <c r="AO116" s="114">
        <v>468497</v>
      </c>
      <c r="AP116" s="114">
        <v>125727325</v>
      </c>
      <c r="AQ116" s="114">
        <v>23912958</v>
      </c>
      <c r="AR116" s="114">
        <v>28534674</v>
      </c>
      <c r="AS116" s="114">
        <v>1869802</v>
      </c>
      <c r="AT116" s="114">
        <v>165942</v>
      </c>
      <c r="AU116" s="114">
        <v>0</v>
      </c>
      <c r="AV116" s="114">
        <v>0</v>
      </c>
      <c r="AW116" s="114">
        <v>946889</v>
      </c>
      <c r="AX116" s="114">
        <v>7249</v>
      </c>
      <c r="AY116" s="114">
        <v>81950</v>
      </c>
      <c r="BD116" s="82">
        <v>4149852.02</v>
      </c>
      <c r="BE116" s="82">
        <v>2116424.5299999998</v>
      </c>
      <c r="BF116" s="117">
        <v>0</v>
      </c>
      <c r="BG116" s="118">
        <v>0</v>
      </c>
      <c r="BH116" s="118">
        <v>0</v>
      </c>
      <c r="BI116" s="117">
        <v>2047169</v>
      </c>
      <c r="BJ116" s="117">
        <v>2047169</v>
      </c>
      <c r="BK116" s="117">
        <v>26794383.999999996</v>
      </c>
      <c r="BL116" s="117">
        <v>26052561.999999996</v>
      </c>
      <c r="BM116" s="117">
        <v>0</v>
      </c>
      <c r="BN116" s="117">
        <v>0</v>
      </c>
      <c r="BO116" s="119"/>
      <c r="BP116" s="86">
        <v>686502446.52999997</v>
      </c>
      <c r="BQ116" s="86">
        <v>573606147</v>
      </c>
      <c r="BR116" s="87">
        <v>359500</v>
      </c>
      <c r="BT116" s="114">
        <v>3896</v>
      </c>
      <c r="BU116" s="114">
        <v>2712</v>
      </c>
      <c r="BV116" s="114">
        <v>292</v>
      </c>
      <c r="BW116" s="114">
        <f t="shared" si="25"/>
        <v>6900</v>
      </c>
      <c r="BX116" s="86">
        <v>525788131</v>
      </c>
      <c r="BY116" s="82">
        <f t="shared" si="22"/>
        <v>81119231</v>
      </c>
      <c r="BZ116" s="82">
        <f t="shared" si="23"/>
        <v>1560913</v>
      </c>
      <c r="CA116" s="86">
        <f t="shared" si="24"/>
        <v>49687818</v>
      </c>
      <c r="CB116" s="86">
        <f t="shared" si="19"/>
        <v>658156093</v>
      </c>
    </row>
    <row r="117" spans="1:110" x14ac:dyDescent="0.25">
      <c r="A117" s="91" t="s">
        <v>171</v>
      </c>
      <c r="B117" s="114">
        <v>483092590</v>
      </c>
      <c r="C117" s="114">
        <v>132353656</v>
      </c>
      <c r="D117" s="114">
        <v>116720102</v>
      </c>
      <c r="E117" s="114">
        <v>0</v>
      </c>
      <c r="F117" s="114">
        <v>62653733</v>
      </c>
      <c r="G117" s="114">
        <v>15267685</v>
      </c>
      <c r="H117" s="114">
        <v>16109706</v>
      </c>
      <c r="I117" s="114">
        <v>2031968</v>
      </c>
      <c r="J117" s="114">
        <v>217500</v>
      </c>
      <c r="K117" s="114">
        <v>25000</v>
      </c>
      <c r="L117" s="114">
        <v>287855724</v>
      </c>
      <c r="M117" s="114">
        <v>85172444</v>
      </c>
      <c r="N117" s="114">
        <v>2354</v>
      </c>
      <c r="O117" s="114">
        <v>580</v>
      </c>
      <c r="P117" s="114">
        <v>8336337</v>
      </c>
      <c r="Q117" s="114">
        <v>2142719</v>
      </c>
      <c r="R117" s="114">
        <v>4041246</v>
      </c>
      <c r="S117" s="114">
        <v>3352698</v>
      </c>
      <c r="T117" s="114">
        <v>302201</v>
      </c>
      <c r="U117" s="114">
        <v>2381629</v>
      </c>
      <c r="V117" s="114">
        <v>8336337</v>
      </c>
      <c r="W117" s="114">
        <v>2142719</v>
      </c>
      <c r="X117" s="114">
        <v>4041246</v>
      </c>
      <c r="Y117" s="114">
        <v>3352698</v>
      </c>
      <c r="Z117" s="114">
        <v>404880</v>
      </c>
      <c r="AA117" s="114">
        <v>2381629</v>
      </c>
      <c r="AB117" s="114">
        <v>-1672079</v>
      </c>
      <c r="AC117" s="114">
        <v>-1975592</v>
      </c>
      <c r="AD117" s="114">
        <v>175405</v>
      </c>
      <c r="AE117" s="114">
        <v>8230</v>
      </c>
      <c r="AF117" s="114">
        <v>10668517</v>
      </c>
      <c r="AG117" s="114">
        <v>244201</v>
      </c>
      <c r="AH117" s="114">
        <v>208737.7</v>
      </c>
      <c r="AI117" s="114">
        <v>122049.18</v>
      </c>
      <c r="AJ117" s="121">
        <v>0</v>
      </c>
      <c r="AK117" s="82">
        <v>108186800</v>
      </c>
      <c r="AL117" s="83">
        <v>13677229</v>
      </c>
      <c r="AM117" s="114">
        <v>13261733</v>
      </c>
      <c r="AN117" s="114">
        <v>24039430</v>
      </c>
      <c r="AO117" s="114">
        <v>505640</v>
      </c>
      <c r="AP117" s="114">
        <v>22450362</v>
      </c>
      <c r="AQ117" s="114">
        <v>19554086</v>
      </c>
      <c r="AR117" s="114">
        <v>18326584</v>
      </c>
      <c r="AS117" s="114">
        <v>0</v>
      </c>
      <c r="AT117" s="114">
        <v>9671629</v>
      </c>
      <c r="AU117" s="114">
        <v>0</v>
      </c>
      <c r="AV117" s="114">
        <v>0</v>
      </c>
      <c r="AW117" s="114">
        <v>0</v>
      </c>
      <c r="AX117" s="114">
        <v>0</v>
      </c>
      <c r="AY117" s="114">
        <v>38000</v>
      </c>
      <c r="BD117" s="82">
        <v>5562604.3200000003</v>
      </c>
      <c r="BE117" s="82">
        <v>2836928.21</v>
      </c>
      <c r="BF117" s="117">
        <v>0</v>
      </c>
      <c r="BG117" s="118">
        <v>0</v>
      </c>
      <c r="BH117" s="118">
        <v>0</v>
      </c>
      <c r="BI117" s="117">
        <v>1246304</v>
      </c>
      <c r="BJ117" s="117">
        <v>1246304</v>
      </c>
      <c r="BK117" s="117">
        <v>33259428.600000001</v>
      </c>
      <c r="BL117" s="117">
        <v>33100620.600000001</v>
      </c>
      <c r="BM117" s="117">
        <v>0</v>
      </c>
      <c r="BN117" s="117">
        <v>0</v>
      </c>
      <c r="BO117" s="119"/>
      <c r="BP117" s="86">
        <v>935644172.69000006</v>
      </c>
      <c r="BQ117" s="86">
        <v>776596290.88</v>
      </c>
      <c r="BR117" s="87">
        <v>798000</v>
      </c>
      <c r="BT117" s="114">
        <v>11264</v>
      </c>
      <c r="BU117" s="114">
        <v>3128</v>
      </c>
      <c r="BV117" s="114">
        <v>595</v>
      </c>
      <c r="BW117" s="114">
        <f t="shared" si="25"/>
        <v>14987</v>
      </c>
      <c r="BX117" s="86">
        <v>732166348</v>
      </c>
      <c r="BY117" s="82">
        <f t="shared" si="22"/>
        <v>108186800</v>
      </c>
      <c r="BZ117" s="82">
        <f t="shared" si="23"/>
        <v>13677229</v>
      </c>
      <c r="CA117" s="86">
        <f t="shared" si="24"/>
        <v>44099156</v>
      </c>
      <c r="CB117" s="86">
        <f t="shared" si="19"/>
        <v>898129533</v>
      </c>
    </row>
    <row r="118" spans="1:110" x14ac:dyDescent="0.25">
      <c r="A118" s="91" t="s">
        <v>172</v>
      </c>
      <c r="B118" s="114">
        <v>223430462</v>
      </c>
      <c r="C118" s="114">
        <v>163064418</v>
      </c>
      <c r="D118" s="114">
        <v>58739252</v>
      </c>
      <c r="E118" s="114">
        <v>15840000</v>
      </c>
      <c r="F118" s="114">
        <v>37251447</v>
      </c>
      <c r="G118" s="114">
        <v>6159000</v>
      </c>
      <c r="H118" s="114">
        <v>8669298</v>
      </c>
      <c r="I118" s="114">
        <v>583525</v>
      </c>
      <c r="J118" s="114">
        <v>42600</v>
      </c>
      <c r="K118" s="114">
        <v>12500</v>
      </c>
      <c r="L118" s="114">
        <v>466120910</v>
      </c>
      <c r="M118" s="114">
        <v>67743470</v>
      </c>
      <c r="N118" s="114">
        <v>1383</v>
      </c>
      <c r="O118" s="114">
        <v>234</v>
      </c>
      <c r="P118" s="114">
        <v>2474300</v>
      </c>
      <c r="Q118" s="114">
        <v>838200</v>
      </c>
      <c r="R118" s="114">
        <v>651000</v>
      </c>
      <c r="S118" s="114">
        <v>126500</v>
      </c>
      <c r="T118" s="114">
        <v>56100</v>
      </c>
      <c r="U118" s="114">
        <v>0</v>
      </c>
      <c r="V118" s="114">
        <v>2474300</v>
      </c>
      <c r="W118" s="114">
        <v>838200</v>
      </c>
      <c r="X118" s="114">
        <v>651000</v>
      </c>
      <c r="Y118" s="114">
        <v>126500</v>
      </c>
      <c r="Z118" s="114">
        <v>56100</v>
      </c>
      <c r="AA118" s="114">
        <v>0</v>
      </c>
      <c r="AB118" s="114">
        <v>-1112850</v>
      </c>
      <c r="AC118" s="114">
        <v>0</v>
      </c>
      <c r="AD118" s="114">
        <v>60332</v>
      </c>
      <c r="AE118" s="114">
        <v>11770</v>
      </c>
      <c r="AF118" s="114">
        <v>5348987</v>
      </c>
      <c r="AG118" s="114">
        <v>198245</v>
      </c>
      <c r="AH118" s="114">
        <v>7667221.3099999996</v>
      </c>
      <c r="AI118" s="114">
        <v>0</v>
      </c>
      <c r="AJ118" s="121">
        <v>16077868.85</v>
      </c>
      <c r="AK118" s="82">
        <v>105660987</v>
      </c>
      <c r="AL118" s="83">
        <v>3139368</v>
      </c>
      <c r="AM118" s="114">
        <v>35175</v>
      </c>
      <c r="AN118" s="114">
        <v>45141162</v>
      </c>
      <c r="AO118" s="114">
        <v>4330995</v>
      </c>
      <c r="AP118" s="114">
        <v>46291024</v>
      </c>
      <c r="AQ118" s="114">
        <v>12051639</v>
      </c>
      <c r="AR118" s="114">
        <v>9447041</v>
      </c>
      <c r="AS118" s="114">
        <v>0</v>
      </c>
      <c r="AT118" s="114">
        <v>3879271</v>
      </c>
      <c r="AU118" s="114">
        <v>0</v>
      </c>
      <c r="AV118" s="114">
        <v>0</v>
      </c>
      <c r="AW118" s="114">
        <v>3297721</v>
      </c>
      <c r="AX118" s="114">
        <v>1212803</v>
      </c>
      <c r="AY118" s="114">
        <v>67500</v>
      </c>
      <c r="BD118" s="82">
        <v>5408020.8799999999</v>
      </c>
      <c r="BE118" s="82">
        <v>2758090.65</v>
      </c>
      <c r="BF118" s="117">
        <v>2615026</v>
      </c>
      <c r="BG118" s="118">
        <v>1535583</v>
      </c>
      <c r="BH118" s="118">
        <v>3071166</v>
      </c>
      <c r="BI118" s="117">
        <v>27977669</v>
      </c>
      <c r="BJ118" s="117">
        <v>27806853</v>
      </c>
      <c r="BK118" s="117">
        <v>68016522.599999994</v>
      </c>
      <c r="BL118" s="117">
        <v>66417054.599999987</v>
      </c>
      <c r="BM118" s="117">
        <v>0</v>
      </c>
      <c r="BN118" s="117">
        <v>0</v>
      </c>
      <c r="BO118" s="119"/>
      <c r="BP118" s="86">
        <v>737820954.41000009</v>
      </c>
      <c r="BQ118" s="86">
        <v>530503018.16000003</v>
      </c>
      <c r="BR118" s="87">
        <v>836412</v>
      </c>
      <c r="BT118" s="114">
        <v>7344</v>
      </c>
      <c r="BU118" s="114">
        <v>2914</v>
      </c>
      <c r="BV118" s="114">
        <v>604</v>
      </c>
      <c r="BW118" s="114">
        <f t="shared" si="25"/>
        <v>10862</v>
      </c>
      <c r="BX118" s="86">
        <v>445234132</v>
      </c>
      <c r="BY118" s="82">
        <f t="shared" si="22"/>
        <v>105660987</v>
      </c>
      <c r="BZ118" s="82">
        <f t="shared" si="23"/>
        <v>3139368</v>
      </c>
      <c r="CA118" s="86">
        <f t="shared" si="24"/>
        <v>61523796</v>
      </c>
      <c r="CB118" s="86">
        <f t="shared" si="19"/>
        <v>615558283</v>
      </c>
    </row>
    <row r="119" spans="1:110" x14ac:dyDescent="0.25">
      <c r="A119" s="91" t="s">
        <v>173</v>
      </c>
      <c r="B119" s="114">
        <v>711398598</v>
      </c>
      <c r="C119" s="114">
        <v>144391435</v>
      </c>
      <c r="D119" s="114">
        <v>227004818</v>
      </c>
      <c r="E119" s="114">
        <v>2100000</v>
      </c>
      <c r="F119" s="114">
        <v>92450551</v>
      </c>
      <c r="G119" s="114">
        <v>31289942</v>
      </c>
      <c r="H119" s="114">
        <v>16668010</v>
      </c>
      <c r="I119" s="114">
        <v>3097837</v>
      </c>
      <c r="J119" s="114">
        <v>73600</v>
      </c>
      <c r="K119" s="114">
        <v>0</v>
      </c>
      <c r="L119" s="114">
        <v>515531130</v>
      </c>
      <c r="M119" s="114">
        <v>59587656</v>
      </c>
      <c r="N119" s="114">
        <v>3404</v>
      </c>
      <c r="O119" s="114">
        <v>1150</v>
      </c>
      <c r="P119" s="114">
        <v>5036134</v>
      </c>
      <c r="Q119" s="114">
        <v>1122500</v>
      </c>
      <c r="R119" s="114">
        <v>4043800</v>
      </c>
      <c r="S119" s="114">
        <v>5906526</v>
      </c>
      <c r="T119" s="114">
        <v>2100405</v>
      </c>
      <c r="U119" s="114">
        <v>5312888</v>
      </c>
      <c r="V119" s="114">
        <v>5036134</v>
      </c>
      <c r="W119" s="114">
        <v>37500</v>
      </c>
      <c r="X119" s="114">
        <v>4043800</v>
      </c>
      <c r="Y119" s="114">
        <v>5906526</v>
      </c>
      <c r="Z119" s="114">
        <v>1861340</v>
      </c>
      <c r="AA119" s="114">
        <v>5312888</v>
      </c>
      <c r="AB119" s="114">
        <v>-10209130</v>
      </c>
      <c r="AC119" s="114">
        <v>133555</v>
      </c>
      <c r="AD119" s="114">
        <v>201218</v>
      </c>
      <c r="AE119" s="114">
        <v>0</v>
      </c>
      <c r="AF119" s="114">
        <v>0</v>
      </c>
      <c r="AG119" s="114">
        <v>202847</v>
      </c>
      <c r="AH119" s="114">
        <v>2357975.41</v>
      </c>
      <c r="AI119" s="114">
        <v>4592352.46</v>
      </c>
      <c r="AJ119" s="121">
        <v>552868.85</v>
      </c>
      <c r="AK119" s="82">
        <v>217772151</v>
      </c>
      <c r="AL119" s="83">
        <v>6312293</v>
      </c>
      <c r="AM119" s="114">
        <v>2077405</v>
      </c>
      <c r="AN119" s="114">
        <v>62310112</v>
      </c>
      <c r="AO119" s="114">
        <v>3316557</v>
      </c>
      <c r="AP119" s="114">
        <v>61315958</v>
      </c>
      <c r="AQ119" s="114">
        <v>49122317</v>
      </c>
      <c r="AR119" s="114">
        <v>21023361</v>
      </c>
      <c r="AS119" s="114">
        <v>7849589</v>
      </c>
      <c r="AT119" s="114">
        <v>278890</v>
      </c>
      <c r="AU119" s="114">
        <v>0</v>
      </c>
      <c r="AV119" s="114">
        <v>0</v>
      </c>
      <c r="AW119" s="114">
        <v>0</v>
      </c>
      <c r="AX119" s="114">
        <v>30011</v>
      </c>
      <c r="AY119" s="114">
        <v>0</v>
      </c>
      <c r="BD119" s="82">
        <v>11145797.279999999</v>
      </c>
      <c r="BE119" s="82">
        <v>5684356.6100000003</v>
      </c>
      <c r="BF119" s="117">
        <v>0</v>
      </c>
      <c r="BG119" s="118">
        <v>14997426</v>
      </c>
      <c r="BH119" s="118">
        <v>29994851</v>
      </c>
      <c r="BI119" s="117">
        <v>50513596</v>
      </c>
      <c r="BJ119" s="117">
        <v>50513596</v>
      </c>
      <c r="BK119" s="117">
        <v>72667022.799999982</v>
      </c>
      <c r="BL119" s="117">
        <v>62946377.799999997</v>
      </c>
      <c r="BM119" s="117">
        <v>0</v>
      </c>
      <c r="BN119" s="117">
        <v>0</v>
      </c>
      <c r="BO119" s="119"/>
      <c r="BP119" s="86">
        <v>1563273234.1299999</v>
      </c>
      <c r="BQ119" s="86">
        <v>1205047033.72</v>
      </c>
      <c r="BR119" s="87">
        <v>1362180</v>
      </c>
      <c r="BT119" s="114">
        <v>18823</v>
      </c>
      <c r="BU119" s="114">
        <v>3561</v>
      </c>
      <c r="BV119" s="114">
        <v>951</v>
      </c>
      <c r="BW119" s="114">
        <f t="shared" si="25"/>
        <v>23335</v>
      </c>
      <c r="BX119" s="86">
        <v>1082794851</v>
      </c>
      <c r="BY119" s="82">
        <f t="shared" si="22"/>
        <v>217772151</v>
      </c>
      <c r="BZ119" s="82">
        <f t="shared" si="23"/>
        <v>6312293</v>
      </c>
      <c r="CA119" s="86">
        <f t="shared" si="24"/>
        <v>122598575</v>
      </c>
      <c r="CB119" s="86">
        <f t="shared" si="19"/>
        <v>1429477870</v>
      </c>
    </row>
    <row r="120" spans="1:110" x14ac:dyDescent="0.25">
      <c r="A120" s="111" t="s">
        <v>174</v>
      </c>
      <c r="B120" s="114">
        <v>64353950</v>
      </c>
      <c r="C120" s="114">
        <v>63697450</v>
      </c>
      <c r="D120" s="114">
        <v>37669900</v>
      </c>
      <c r="E120" s="114">
        <v>0</v>
      </c>
      <c r="F120" s="114">
        <v>12748900</v>
      </c>
      <c r="G120" s="114">
        <v>7618700</v>
      </c>
      <c r="H120" s="114">
        <v>10761100</v>
      </c>
      <c r="I120" s="114">
        <v>3601200</v>
      </c>
      <c r="J120" s="114">
        <v>37600</v>
      </c>
      <c r="K120" s="114">
        <v>0</v>
      </c>
      <c r="L120" s="114">
        <v>67262107</v>
      </c>
      <c r="N120" s="114">
        <v>739</v>
      </c>
      <c r="O120" s="114">
        <v>410</v>
      </c>
      <c r="P120" s="114">
        <v>2064500</v>
      </c>
      <c r="Q120" s="114">
        <v>1217700</v>
      </c>
      <c r="R120" s="114">
        <v>486000</v>
      </c>
      <c r="S120" s="114">
        <v>994800</v>
      </c>
      <c r="T120" s="114">
        <v>505500</v>
      </c>
      <c r="U120" s="114">
        <v>253500</v>
      </c>
      <c r="V120" s="114">
        <v>2064500</v>
      </c>
      <c r="W120" s="114">
        <v>755000</v>
      </c>
      <c r="X120" s="114">
        <v>486000</v>
      </c>
      <c r="Y120" s="114">
        <v>994800</v>
      </c>
      <c r="Z120" s="114">
        <v>685000</v>
      </c>
      <c r="AA120" s="114">
        <v>253500</v>
      </c>
      <c r="AB120" s="114">
        <v>-1542300</v>
      </c>
      <c r="AC120" s="114">
        <v>-979</v>
      </c>
      <c r="AD120" s="114">
        <v>87422</v>
      </c>
      <c r="AG120" s="114">
        <v>115670</v>
      </c>
      <c r="AH120" s="114">
        <v>5132942.62</v>
      </c>
      <c r="AI120" s="114">
        <v>0</v>
      </c>
      <c r="AJ120" s="121">
        <v>0</v>
      </c>
      <c r="AK120" s="82">
        <v>44906767</v>
      </c>
      <c r="AL120" s="83">
        <v>499315</v>
      </c>
      <c r="AM120" s="114">
        <v>0</v>
      </c>
      <c r="AN120" s="114">
        <v>4145148</v>
      </c>
      <c r="AO120" s="114">
        <v>62410</v>
      </c>
      <c r="AP120" s="114">
        <v>85445</v>
      </c>
      <c r="AQ120" s="114">
        <v>9351274</v>
      </c>
      <c r="AR120" s="114">
        <v>3471204</v>
      </c>
      <c r="AS120" s="114">
        <v>0</v>
      </c>
      <c r="AT120" s="114">
        <v>0</v>
      </c>
      <c r="AU120" s="114">
        <v>0</v>
      </c>
      <c r="AV120" s="114">
        <v>0</v>
      </c>
      <c r="AW120" s="114">
        <v>0</v>
      </c>
      <c r="AX120" s="114">
        <v>0</v>
      </c>
      <c r="AY120" s="114">
        <v>0</v>
      </c>
      <c r="BD120" s="82">
        <v>2296432.8600000003</v>
      </c>
      <c r="BE120" s="82">
        <v>1171180.76</v>
      </c>
      <c r="BF120" s="117">
        <v>0</v>
      </c>
      <c r="BG120" s="118">
        <v>0</v>
      </c>
      <c r="BH120" s="118">
        <v>0</v>
      </c>
      <c r="BI120" s="117">
        <v>554691</v>
      </c>
      <c r="BJ120" s="117">
        <v>554691</v>
      </c>
      <c r="BK120" s="117">
        <v>23719707.800000004</v>
      </c>
      <c r="BL120" s="117">
        <v>23709907.800000004</v>
      </c>
      <c r="BM120" s="117">
        <v>0</v>
      </c>
      <c r="BN120" s="117">
        <v>0</v>
      </c>
      <c r="BO120" s="119"/>
      <c r="BP120" s="86">
        <v>255254936.18000001</v>
      </c>
      <c r="BQ120" s="86">
        <v>184413074.62</v>
      </c>
      <c r="BR120" s="87">
        <v>362000</v>
      </c>
      <c r="BW120" s="114">
        <f t="shared" si="25"/>
        <v>0</v>
      </c>
      <c r="BX120" s="86">
        <v>165721300</v>
      </c>
      <c r="BY120" s="82">
        <f t="shared" si="22"/>
        <v>44906767</v>
      </c>
      <c r="BZ120" s="82">
        <f t="shared" si="23"/>
        <v>499315</v>
      </c>
      <c r="CA120" s="86">
        <f t="shared" si="24"/>
        <v>13558832</v>
      </c>
      <c r="CB120" s="86">
        <f t="shared" si="19"/>
        <v>224686214</v>
      </c>
    </row>
    <row r="121" spans="1:110" ht="15.75" thickBot="1" x14ac:dyDescent="0.3">
      <c r="A121" s="104" t="s">
        <v>175</v>
      </c>
      <c r="B121" s="124">
        <v>1444691120</v>
      </c>
      <c r="C121" s="124">
        <v>522909352</v>
      </c>
      <c r="D121" s="124">
        <v>314793995</v>
      </c>
      <c r="E121" s="124">
        <v>12166000</v>
      </c>
      <c r="F121" s="124">
        <v>81310700</v>
      </c>
      <c r="G121" s="124">
        <v>6993200</v>
      </c>
      <c r="H121" s="124">
        <v>10409800</v>
      </c>
      <c r="I121" s="124">
        <v>376000</v>
      </c>
      <c r="J121" s="124">
        <v>112800</v>
      </c>
      <c r="K121" s="124">
        <v>37600</v>
      </c>
      <c r="L121" s="124">
        <v>843811358</v>
      </c>
      <c r="M121" s="124">
        <v>266886700</v>
      </c>
      <c r="N121" s="124">
        <v>2457</v>
      </c>
      <c r="O121" s="124">
        <v>199</v>
      </c>
      <c r="P121" s="124">
        <v>18511200</v>
      </c>
      <c r="Q121" s="124">
        <v>6964100</v>
      </c>
      <c r="R121" s="124">
        <v>31450000</v>
      </c>
      <c r="S121" s="124">
        <v>0</v>
      </c>
      <c r="T121" s="124">
        <v>0</v>
      </c>
      <c r="U121" s="124">
        <v>7410200</v>
      </c>
      <c r="V121" s="124">
        <v>18511200</v>
      </c>
      <c r="W121" s="124">
        <v>6964100</v>
      </c>
      <c r="X121" s="124">
        <v>31450000</v>
      </c>
      <c r="Y121" s="124">
        <v>0</v>
      </c>
      <c r="Z121" s="124">
        <v>0</v>
      </c>
      <c r="AA121" s="124">
        <v>7410200</v>
      </c>
      <c r="AB121" s="124">
        <v>-2228000</v>
      </c>
      <c r="AC121" s="124">
        <v>-16334</v>
      </c>
      <c r="AD121" s="124">
        <v>0</v>
      </c>
      <c r="AE121" s="124">
        <v>0</v>
      </c>
      <c r="AF121" s="124">
        <v>0</v>
      </c>
      <c r="AG121" s="124">
        <v>106869</v>
      </c>
      <c r="AH121" s="124">
        <v>0</v>
      </c>
      <c r="AI121" s="124">
        <v>0</v>
      </c>
      <c r="AJ121" s="124">
        <v>0</v>
      </c>
      <c r="AK121" s="101">
        <v>225941017</v>
      </c>
      <c r="AL121" s="102">
        <v>5489070</v>
      </c>
      <c r="AM121" s="124">
        <v>12000</v>
      </c>
      <c r="AN121" s="124">
        <v>46359506</v>
      </c>
      <c r="AO121" s="124">
        <v>8899176</v>
      </c>
      <c r="AP121" s="124">
        <v>222212068</v>
      </c>
      <c r="AQ121" s="124">
        <v>30418142</v>
      </c>
      <c r="AR121" s="124">
        <v>45705566</v>
      </c>
      <c r="AS121" s="124">
        <v>53575646</v>
      </c>
      <c r="AT121" s="124">
        <v>230062297</v>
      </c>
      <c r="AU121" s="124">
        <v>0</v>
      </c>
      <c r="AV121" s="124">
        <v>0</v>
      </c>
      <c r="AW121" s="124">
        <v>2732849</v>
      </c>
      <c r="AX121" s="124">
        <v>815315</v>
      </c>
      <c r="AY121" s="124">
        <v>3800</v>
      </c>
      <c r="AZ121" s="124"/>
      <c r="BA121" s="124"/>
      <c r="BB121" s="124"/>
      <c r="BC121" s="124"/>
      <c r="BD121" s="101">
        <v>11561324.309999999</v>
      </c>
      <c r="BE121" s="101">
        <v>5896275.4000000004</v>
      </c>
      <c r="BF121" s="125">
        <v>0</v>
      </c>
      <c r="BG121" s="126">
        <v>1225917</v>
      </c>
      <c r="BH121" s="126">
        <v>2451834</v>
      </c>
      <c r="BI121" s="127">
        <v>18143073</v>
      </c>
      <c r="BJ121" s="125">
        <v>17734237</v>
      </c>
      <c r="BK121" s="125">
        <v>47941353.599999987</v>
      </c>
      <c r="BL121" s="125">
        <v>46850090.599999987</v>
      </c>
      <c r="BM121" s="125">
        <v>94610525</v>
      </c>
      <c r="BN121" s="125">
        <v>0</v>
      </c>
      <c r="BO121" s="128"/>
      <c r="BP121" s="106">
        <v>2765818423</v>
      </c>
      <c r="BQ121" s="106">
        <v>2368071291</v>
      </c>
      <c r="BR121" s="107">
        <v>1934445</v>
      </c>
      <c r="BS121" s="108"/>
      <c r="BT121" s="124">
        <v>9307</v>
      </c>
      <c r="BU121" s="124">
        <v>1497</v>
      </c>
      <c r="BV121" s="124">
        <v>554</v>
      </c>
      <c r="BW121" s="114">
        <f t="shared" si="25"/>
        <v>11358</v>
      </c>
      <c r="BX121" s="86">
        <v>2282394467</v>
      </c>
      <c r="BY121" s="82">
        <f t="shared" si="22"/>
        <v>225941017</v>
      </c>
      <c r="BZ121" s="82">
        <f t="shared" si="23"/>
        <v>5489070</v>
      </c>
      <c r="CA121" s="86">
        <f t="shared" si="24"/>
        <v>139252470</v>
      </c>
      <c r="CB121" s="86">
        <f t="shared" si="19"/>
        <v>2653077024</v>
      </c>
    </row>
    <row r="122" spans="1:110" ht="15.75" thickTop="1" x14ac:dyDescent="0.25">
      <c r="A122" s="129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109"/>
      <c r="BE122" s="109"/>
      <c r="BF122" s="56"/>
      <c r="BI122" s="110"/>
      <c r="BJ122" s="110"/>
      <c r="BK122" s="110"/>
      <c r="BL122" s="110"/>
      <c r="BM122" s="56"/>
      <c r="BN122" s="56"/>
    </row>
    <row r="123" spans="1:110" x14ac:dyDescent="0.25">
      <c r="A123" s="129" t="s">
        <v>332</v>
      </c>
      <c r="B123" s="4">
        <v>168274292863</v>
      </c>
      <c r="C123" s="114">
        <v>20788223616</v>
      </c>
      <c r="D123" s="4">
        <v>70201835675</v>
      </c>
      <c r="E123" s="4">
        <v>1497832590</v>
      </c>
      <c r="F123" s="4">
        <f t="shared" ref="F123:BC123" si="26">SUM(F2:F121)</f>
        <v>11609159036</v>
      </c>
      <c r="G123" s="4">
        <f t="shared" si="26"/>
        <v>2287163433</v>
      </c>
      <c r="H123" s="4">
        <f t="shared" si="26"/>
        <v>1655924933</v>
      </c>
      <c r="I123" s="4">
        <f t="shared" si="26"/>
        <v>295329194</v>
      </c>
      <c r="J123" s="4">
        <f t="shared" si="26"/>
        <v>25642730</v>
      </c>
      <c r="K123" s="4">
        <f t="shared" si="26"/>
        <v>3669902</v>
      </c>
      <c r="L123" s="4">
        <f t="shared" si="26"/>
        <v>39335842054</v>
      </c>
      <c r="M123" s="4">
        <f t="shared" si="26"/>
        <v>13241805848</v>
      </c>
      <c r="N123" s="4">
        <f t="shared" si="26"/>
        <v>370417</v>
      </c>
      <c r="O123" s="4">
        <f t="shared" si="26"/>
        <v>80925</v>
      </c>
      <c r="P123" s="4">
        <f t="shared" si="26"/>
        <v>2528334466</v>
      </c>
      <c r="Q123" s="4">
        <f t="shared" si="26"/>
        <v>363395554</v>
      </c>
      <c r="R123" s="4">
        <f t="shared" si="26"/>
        <v>2143268111</v>
      </c>
      <c r="S123" s="4">
        <f t="shared" si="26"/>
        <v>834966125</v>
      </c>
      <c r="T123" s="4">
        <f t="shared" si="26"/>
        <v>179131000</v>
      </c>
      <c r="U123" s="4">
        <f t="shared" si="26"/>
        <v>673428021</v>
      </c>
      <c r="V123" s="4">
        <f t="shared" si="26"/>
        <v>2527195234</v>
      </c>
      <c r="W123" s="4">
        <f t="shared" si="26"/>
        <v>460759477</v>
      </c>
      <c r="X123" s="4">
        <f t="shared" si="26"/>
        <v>2143268111</v>
      </c>
      <c r="Y123" s="4">
        <f t="shared" si="26"/>
        <v>834891351</v>
      </c>
      <c r="Z123" s="4">
        <f t="shared" si="26"/>
        <v>390849942</v>
      </c>
      <c r="AA123" s="4">
        <f t="shared" si="26"/>
        <v>672894846</v>
      </c>
      <c r="AB123" s="4">
        <f t="shared" si="26"/>
        <v>-466194775</v>
      </c>
      <c r="AC123" s="4">
        <f t="shared" si="26"/>
        <v>-360222163</v>
      </c>
      <c r="AD123" s="4">
        <f t="shared" si="26"/>
        <v>8096330</v>
      </c>
      <c r="AE123" s="4">
        <f t="shared" si="26"/>
        <v>18008714</v>
      </c>
      <c r="AF123" s="4">
        <f t="shared" si="26"/>
        <v>2335215796</v>
      </c>
      <c r="AG123" s="4">
        <f t="shared" si="26"/>
        <v>54267835.843199998</v>
      </c>
      <c r="AH123" s="4">
        <f t="shared" si="26"/>
        <v>181546418.04999992</v>
      </c>
      <c r="AI123" s="4">
        <f t="shared" si="26"/>
        <v>439599372.41999984</v>
      </c>
      <c r="AJ123" s="4">
        <f t="shared" si="26"/>
        <v>451276860.63999999</v>
      </c>
      <c r="AK123" s="4">
        <f t="shared" si="26"/>
        <v>31015847919</v>
      </c>
      <c r="AL123" s="4">
        <f t="shared" si="26"/>
        <v>822600995</v>
      </c>
      <c r="AM123" s="4">
        <f t="shared" si="26"/>
        <v>106809533</v>
      </c>
      <c r="AN123" s="4">
        <f t="shared" si="26"/>
        <v>10539092551</v>
      </c>
      <c r="AO123" s="4">
        <f t="shared" si="26"/>
        <v>1013298633</v>
      </c>
      <c r="AP123" s="4">
        <f t="shared" si="26"/>
        <v>21994331590</v>
      </c>
      <c r="AQ123" s="4">
        <f t="shared" si="26"/>
        <v>9432896359</v>
      </c>
      <c r="AR123" s="4">
        <f t="shared" si="26"/>
        <v>10888652156</v>
      </c>
      <c r="AS123" s="4">
        <f t="shared" si="26"/>
        <v>12200881216</v>
      </c>
      <c r="AT123" s="4">
        <f t="shared" si="26"/>
        <v>10156742447</v>
      </c>
      <c r="AU123" s="4">
        <f t="shared" si="26"/>
        <v>49251594</v>
      </c>
      <c r="AV123" s="4">
        <f t="shared" si="26"/>
        <v>32767494</v>
      </c>
      <c r="AW123" s="4">
        <f t="shared" si="26"/>
        <v>1045893994</v>
      </c>
      <c r="AX123" s="4">
        <f t="shared" si="26"/>
        <v>113543525</v>
      </c>
      <c r="AY123" s="4">
        <f t="shared" si="26"/>
        <v>322686265</v>
      </c>
      <c r="AZ123" s="4">
        <f t="shared" si="26"/>
        <v>0</v>
      </c>
      <c r="BA123" s="4">
        <f t="shared" si="26"/>
        <v>0</v>
      </c>
      <c r="BB123" s="4">
        <f t="shared" si="26"/>
        <v>0</v>
      </c>
      <c r="BC123" s="4">
        <f t="shared" si="26"/>
        <v>0</v>
      </c>
      <c r="BD123" s="4">
        <f>SUM(BD2:BD121)</f>
        <v>1571525675.9200001</v>
      </c>
      <c r="BE123" s="4">
        <f>SUM(BE2:BE121)</f>
        <v>801478094.6700002</v>
      </c>
      <c r="BF123" s="134">
        <f>SUM(BF2:BF122)</f>
        <v>979999999</v>
      </c>
      <c r="BG123" s="134">
        <f>SUM(BG2:BG121)</f>
        <v>330100824</v>
      </c>
      <c r="BH123" s="134">
        <f>SUM(BH2:BH121)</f>
        <v>660201641</v>
      </c>
      <c r="BI123" s="111">
        <f t="shared" ref="BI123:BO123" si="27">SUM(BI2:BI122)</f>
        <v>6327970152</v>
      </c>
      <c r="BJ123" s="111">
        <f t="shared" si="27"/>
        <v>6268198132</v>
      </c>
      <c r="BK123" s="111">
        <f t="shared" si="27"/>
        <v>11485903647.99999</v>
      </c>
      <c r="BL123" s="111">
        <f t="shared" si="27"/>
        <v>10495242728.999996</v>
      </c>
      <c r="BM123" s="134">
        <f t="shared" si="27"/>
        <v>1752920089</v>
      </c>
      <c r="BN123" s="134">
        <f t="shared" si="27"/>
        <v>164037782</v>
      </c>
      <c r="BO123" s="134">
        <f t="shared" si="27"/>
        <v>0</v>
      </c>
      <c r="BP123" s="112">
        <v>332972488912.77997</v>
      </c>
      <c r="BQ123" s="112">
        <v>281322062348.10992</v>
      </c>
      <c r="BR123" s="112">
        <f>SUM(BR2:BR121)</f>
        <v>415104776</v>
      </c>
      <c r="BS123" s="113"/>
      <c r="BT123" s="4">
        <f>SUM(BT2:BT122)</f>
        <v>1704711</v>
      </c>
      <c r="BU123" s="4">
        <f>SUM(BU2:BU122)</f>
        <v>320800</v>
      </c>
      <c r="BV123" s="4">
        <f>SUM(BV2:BV122)</f>
        <v>127555</v>
      </c>
      <c r="BW123" s="4">
        <f>SUM(BW2:BW121)</f>
        <v>2153066</v>
      </c>
    </row>
    <row r="124" spans="1:110" x14ac:dyDescent="0.25">
      <c r="BD124" s="131"/>
    </row>
    <row r="125" spans="1:110" x14ac:dyDescent="0.25">
      <c r="BD125" s="131"/>
    </row>
    <row r="126" spans="1:110" x14ac:dyDescent="0.25">
      <c r="BD126" s="131"/>
    </row>
    <row r="127" spans="1:110" s="114" customFormat="1" x14ac:dyDescent="0.25">
      <c r="A127" s="113"/>
      <c r="BP127" s="88"/>
      <c r="BQ127" s="88"/>
      <c r="BR127" s="88"/>
      <c r="BS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</row>
    <row r="128" spans="1:110" s="114" customFormat="1" x14ac:dyDescent="0.25">
      <c r="A128" s="113"/>
      <c r="B128" s="114">
        <v>266604972937.11002</v>
      </c>
      <c r="BP128" s="88"/>
      <c r="BQ128" s="88"/>
      <c r="BR128" s="88"/>
      <c r="BS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</row>
    <row r="129" spans="1:110" s="114" customFormat="1" x14ac:dyDescent="0.25">
      <c r="A129" s="113"/>
      <c r="B129" s="114">
        <v>92420626874.669998</v>
      </c>
      <c r="P129" s="114">
        <f>P123+Q123+R123-S123-T123-U123</f>
        <v>3347472985</v>
      </c>
      <c r="AI129" s="114">
        <f>AH123+AI123</f>
        <v>621145790.46999979</v>
      </c>
      <c r="BP129" s="88"/>
      <c r="BQ129" s="88"/>
      <c r="BR129" s="88"/>
      <c r="BS129" s="88"/>
      <c r="BX129" s="88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  <c r="CZ129" s="88"/>
      <c r="DA129" s="88"/>
      <c r="DB129" s="88"/>
      <c r="DC129" s="88"/>
      <c r="DD129" s="88"/>
      <c r="DE129" s="88"/>
      <c r="DF129" s="88"/>
    </row>
    <row r="130" spans="1:110" s="114" customFormat="1" x14ac:dyDescent="0.25">
      <c r="A130" s="113"/>
      <c r="B130" s="114">
        <v>31838448914</v>
      </c>
      <c r="BP130" s="88"/>
      <c r="BQ130" s="88"/>
      <c r="BR130" s="88"/>
      <c r="BS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</row>
    <row r="131" spans="1:110" s="114" customFormat="1" x14ac:dyDescent="0.25">
      <c r="A131" s="113"/>
      <c r="BP131" s="88"/>
      <c r="BQ131" s="88"/>
      <c r="BR131" s="88"/>
      <c r="BS131" s="88"/>
      <c r="BX131" s="88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88"/>
      <c r="CV131" s="88"/>
      <c r="CW131" s="88"/>
      <c r="CX131" s="88"/>
      <c r="CY131" s="88"/>
      <c r="CZ131" s="88"/>
      <c r="DA131" s="88"/>
      <c r="DB131" s="88"/>
      <c r="DC131" s="88"/>
      <c r="DD131" s="88"/>
      <c r="DE131" s="88"/>
      <c r="DF131" s="88"/>
    </row>
    <row r="132" spans="1:110" s="114" customFormat="1" x14ac:dyDescent="0.25">
      <c r="A132" s="113"/>
      <c r="BP132" s="88"/>
      <c r="BQ132" s="88"/>
      <c r="BR132" s="88"/>
      <c r="BS132" s="88"/>
      <c r="BX132" s="88"/>
      <c r="BY132" s="88"/>
      <c r="BZ132" s="88"/>
      <c r="CA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88"/>
      <c r="CV132" s="88"/>
      <c r="CW132" s="88"/>
      <c r="CX132" s="88"/>
      <c r="CY132" s="88"/>
      <c r="CZ132" s="88"/>
      <c r="DA132" s="88"/>
      <c r="DB132" s="88"/>
      <c r="DC132" s="88"/>
      <c r="DD132" s="88"/>
      <c r="DE132" s="88"/>
      <c r="DF132" s="88"/>
    </row>
    <row r="133" spans="1:110" s="114" customFormat="1" x14ac:dyDescent="0.25">
      <c r="A133" s="113"/>
      <c r="BP133" s="88"/>
      <c r="BQ133" s="88"/>
      <c r="BR133" s="88"/>
      <c r="BS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/>
      <c r="DD133" s="88"/>
      <c r="DE133" s="88"/>
      <c r="DF133" s="88"/>
    </row>
    <row r="134" spans="1:110" s="114" customFormat="1" x14ac:dyDescent="0.25">
      <c r="A134" s="113"/>
      <c r="BP134" s="88"/>
      <c r="BQ134" s="88"/>
      <c r="BR134" s="88"/>
      <c r="BS134" s="88"/>
      <c r="BX134" s="88"/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/>
      <c r="DD134" s="88"/>
      <c r="DE134" s="88"/>
      <c r="DF134" s="88"/>
    </row>
    <row r="135" spans="1:110" s="114" customFormat="1" x14ac:dyDescent="0.25">
      <c r="A135" s="113"/>
      <c r="BP135" s="88"/>
      <c r="BQ135" s="88"/>
      <c r="BR135" s="88"/>
      <c r="BS135" s="88"/>
      <c r="BX135" s="88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/>
      <c r="DD135" s="88"/>
      <c r="DE135" s="88"/>
      <c r="DF135" s="88"/>
    </row>
    <row r="136" spans="1:110" s="114" customFormat="1" x14ac:dyDescent="0.25">
      <c r="A136" s="113"/>
      <c r="BP136" s="88"/>
      <c r="BQ136" s="88"/>
      <c r="BR136" s="88"/>
      <c r="BS136" s="88"/>
      <c r="BX136" s="88"/>
      <c r="BY136" s="88"/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/>
      <c r="CM136" s="88"/>
      <c r="CN136" s="88"/>
      <c r="CO136" s="88"/>
      <c r="CP136" s="88"/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  <c r="DC136" s="88"/>
      <c r="DD136" s="88"/>
      <c r="DE136" s="88"/>
      <c r="DF136" s="88"/>
    </row>
    <row r="137" spans="1:110" s="114" customFormat="1" x14ac:dyDescent="0.25">
      <c r="A137" s="113"/>
      <c r="BP137" s="88"/>
      <c r="BQ137" s="88"/>
      <c r="BR137" s="88"/>
      <c r="BS137" s="88"/>
      <c r="BX137" s="88"/>
      <c r="BY137" s="88"/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CX137" s="88"/>
      <c r="CY137" s="88"/>
      <c r="CZ137" s="88"/>
      <c r="DA137" s="88"/>
      <c r="DB137" s="88"/>
      <c r="DC137" s="88"/>
      <c r="DD137" s="88"/>
      <c r="DE137" s="88"/>
      <c r="DF137" s="88"/>
    </row>
    <row r="138" spans="1:110" s="114" customFormat="1" x14ac:dyDescent="0.25">
      <c r="A138" s="113"/>
      <c r="BP138" s="88"/>
      <c r="BQ138" s="88"/>
      <c r="BR138" s="88"/>
      <c r="BS138" s="88"/>
      <c r="BX138" s="88"/>
      <c r="BY138" s="88"/>
      <c r="BZ138" s="88"/>
      <c r="CA138" s="88"/>
      <c r="CB138" s="88"/>
      <c r="CC138" s="88"/>
      <c r="CD138" s="88"/>
      <c r="CE138" s="88"/>
      <c r="CF138" s="88"/>
      <c r="CG138" s="88"/>
      <c r="CH138" s="88"/>
      <c r="CI138" s="88"/>
      <c r="CJ138" s="88"/>
      <c r="CK138" s="88"/>
      <c r="CL138" s="88"/>
      <c r="CM138" s="88"/>
      <c r="CN138" s="88"/>
      <c r="CO138" s="88"/>
      <c r="CP138" s="88"/>
      <c r="CQ138" s="88"/>
      <c r="CR138" s="88"/>
      <c r="CS138" s="88"/>
      <c r="CT138" s="88"/>
      <c r="CU138" s="88"/>
      <c r="CV138" s="88"/>
      <c r="CW138" s="88"/>
      <c r="CX138" s="88"/>
      <c r="CY138" s="88"/>
      <c r="CZ138" s="88"/>
      <c r="DA138" s="88"/>
      <c r="DB138" s="88"/>
      <c r="DC138" s="88"/>
      <c r="DD138" s="88"/>
      <c r="DE138" s="88"/>
      <c r="DF138" s="88"/>
    </row>
    <row r="139" spans="1:110" s="114" customFormat="1" x14ac:dyDescent="0.25">
      <c r="A139" s="113"/>
      <c r="BP139" s="88"/>
      <c r="BQ139" s="88"/>
      <c r="BR139" s="88"/>
      <c r="BS139" s="88"/>
      <c r="BX139" s="88"/>
      <c r="BY139" s="88"/>
      <c r="BZ139" s="88"/>
      <c r="CA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  <c r="CZ139" s="88"/>
      <c r="DA139" s="88"/>
      <c r="DB139" s="88"/>
      <c r="DC139" s="88"/>
      <c r="DD139" s="88"/>
      <c r="DE139" s="88"/>
      <c r="DF139" s="88"/>
    </row>
    <row r="140" spans="1:110" s="114" customFormat="1" x14ac:dyDescent="0.25">
      <c r="A140" s="113"/>
      <c r="BP140" s="88"/>
      <c r="BQ140" s="88"/>
      <c r="BR140" s="88"/>
      <c r="BS140" s="88"/>
      <c r="BX140" s="88"/>
      <c r="BY140" s="88"/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/>
      <c r="CM140" s="88"/>
      <c r="CN140" s="88"/>
      <c r="CO140" s="88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/>
      <c r="DC140" s="88"/>
      <c r="DD140" s="88"/>
      <c r="DE140" s="88"/>
      <c r="DF140" s="88"/>
    </row>
    <row r="141" spans="1:110" s="114" customFormat="1" x14ac:dyDescent="0.25">
      <c r="A141" s="113"/>
      <c r="BP141" s="88"/>
      <c r="BQ141" s="88"/>
      <c r="BR141" s="88"/>
      <c r="BS141" s="88"/>
      <c r="BX141" s="88"/>
      <c r="BY141" s="88"/>
      <c r="BZ141" s="88"/>
      <c r="CA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  <c r="CM141" s="88"/>
      <c r="CN141" s="88"/>
      <c r="CO141" s="88"/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  <c r="CZ141" s="88"/>
      <c r="DA141" s="88"/>
      <c r="DB141" s="88"/>
      <c r="DC141" s="88"/>
      <c r="DD141" s="88"/>
      <c r="DE141" s="88"/>
      <c r="DF141" s="88"/>
    </row>
    <row r="142" spans="1:110" s="114" customFormat="1" x14ac:dyDescent="0.25">
      <c r="A142" s="113"/>
      <c r="BP142" s="88"/>
      <c r="BQ142" s="88"/>
      <c r="BR142" s="88"/>
      <c r="BS142" s="88"/>
      <c r="BX142" s="88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88"/>
      <c r="CN142" s="88"/>
      <c r="CO142" s="88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  <c r="CZ142" s="88"/>
      <c r="DA142" s="88"/>
      <c r="DB142" s="88"/>
      <c r="DC142" s="88"/>
      <c r="DD142" s="88"/>
      <c r="DE142" s="88"/>
      <c r="DF142" s="88"/>
    </row>
    <row r="143" spans="1:110" s="114" customFormat="1" x14ac:dyDescent="0.25">
      <c r="A143" s="113"/>
      <c r="BP143" s="88"/>
      <c r="BQ143" s="88"/>
      <c r="BR143" s="88"/>
      <c r="BS143" s="88"/>
      <c r="BX143" s="88"/>
      <c r="BY143" s="88"/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/>
      <c r="CM143" s="88"/>
      <c r="CN143" s="88"/>
      <c r="CO143" s="88"/>
      <c r="CP143" s="88"/>
      <c r="CQ143" s="88"/>
      <c r="CR143" s="88"/>
      <c r="CS143" s="88"/>
      <c r="CT143" s="88"/>
      <c r="CU143" s="88"/>
      <c r="CV143" s="88"/>
      <c r="CW143" s="88"/>
      <c r="CX143" s="88"/>
      <c r="CY143" s="88"/>
      <c r="CZ143" s="88"/>
      <c r="DA143" s="88"/>
      <c r="DB143" s="88"/>
      <c r="DC143" s="88"/>
      <c r="DD143" s="88"/>
      <c r="DE143" s="88"/>
      <c r="DF143" s="88"/>
    </row>
    <row r="144" spans="1:110" s="114" customFormat="1" x14ac:dyDescent="0.25">
      <c r="A144" s="113"/>
      <c r="BP144" s="88"/>
      <c r="BQ144" s="88"/>
      <c r="BR144" s="88"/>
      <c r="BS144" s="88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  <c r="CZ144" s="88"/>
      <c r="DA144" s="88"/>
      <c r="DB144" s="88"/>
      <c r="DC144" s="88"/>
      <c r="DD144" s="88"/>
      <c r="DE144" s="88"/>
      <c r="DF144" s="88"/>
    </row>
  </sheetData>
  <pageMargins left="0.75" right="0.75" top="1" bottom="1" header="0.5" footer="0.5"/>
  <pageSetup orientation="landscape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Y14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4" sqref="A4"/>
      <selection pane="bottomRight" sqref="A1:XFD2"/>
    </sheetView>
  </sheetViews>
  <sheetFormatPr defaultColWidth="9.140625" defaultRowHeight="15" x14ac:dyDescent="0.25"/>
  <cols>
    <col min="1" max="1" width="15.42578125" style="113" customWidth="1"/>
    <col min="2" max="2" width="17.42578125" style="135" customWidth="1"/>
    <col min="3" max="3" width="16" style="135" customWidth="1"/>
    <col min="4" max="4" width="16.42578125" style="135" customWidth="1"/>
    <col min="5" max="5" width="14.85546875" style="135" customWidth="1"/>
    <col min="6" max="6" width="16.42578125" style="135" customWidth="1"/>
    <col min="7" max="8" width="13.85546875" style="135" customWidth="1"/>
    <col min="9" max="9" width="12.85546875" style="135" customWidth="1"/>
    <col min="10" max="11" width="14.28515625" style="135" customWidth="1"/>
    <col min="12" max="13" width="14.85546875" style="135" customWidth="1"/>
    <col min="14" max="14" width="13.28515625" style="135" bestFit="1" customWidth="1"/>
    <col min="15" max="15" width="13.7109375" style="135" customWidth="1"/>
    <col min="16" max="16" width="14.85546875" style="135" customWidth="1"/>
    <col min="17" max="17" width="13.85546875" style="135" customWidth="1"/>
    <col min="18" max="18" width="14.85546875" style="135" customWidth="1"/>
    <col min="19" max="20" width="13.85546875" style="135" customWidth="1"/>
    <col min="21" max="22" width="14.85546875" style="135" customWidth="1"/>
    <col min="23" max="23" width="13.85546875" style="135" customWidth="1"/>
    <col min="24" max="24" width="14.85546875" style="135" customWidth="1"/>
    <col min="25" max="25" width="18.7109375" style="135" bestFit="1" customWidth="1"/>
    <col min="26" max="26" width="13.85546875" style="135" customWidth="1"/>
    <col min="27" max="27" width="14.85546875" style="135" customWidth="1"/>
    <col min="28" max="28" width="16.5703125" style="135" customWidth="1"/>
    <col min="29" max="29" width="16.28515625" style="135" customWidth="1"/>
    <col min="30" max="30" width="11.28515625" style="135" customWidth="1"/>
    <col min="31" max="32" width="13.85546875" style="135" customWidth="1"/>
    <col min="33" max="33" width="12.28515625" style="135" bestFit="1" customWidth="1"/>
    <col min="34" max="34" width="13.85546875" style="135" customWidth="1"/>
    <col min="35" max="36" width="14.85546875" style="135" customWidth="1"/>
    <col min="37" max="37" width="16.42578125" style="135" customWidth="1"/>
    <col min="38" max="38" width="15.42578125" style="135" customWidth="1"/>
    <col min="39" max="39" width="15.140625" style="135" customWidth="1"/>
    <col min="40" max="40" width="16.42578125" style="135" customWidth="1"/>
    <col min="41" max="41" width="13.85546875" style="135" customWidth="1"/>
    <col min="42" max="42" width="16.85546875" style="135" customWidth="1"/>
    <col min="43" max="43" width="16.42578125" style="135" customWidth="1"/>
    <col min="44" max="44" width="14.85546875" style="135" customWidth="1"/>
    <col min="45" max="45" width="16.42578125" style="135" customWidth="1"/>
    <col min="46" max="46" width="14.85546875" style="135" customWidth="1"/>
    <col min="47" max="47" width="13.85546875" style="135" customWidth="1"/>
    <col min="48" max="48" width="12.85546875" style="135" customWidth="1"/>
    <col min="49" max="49" width="14.85546875" style="135" customWidth="1"/>
    <col min="50" max="50" width="13.85546875" style="135" customWidth="1"/>
    <col min="51" max="51" width="16.5703125" style="135" customWidth="1"/>
    <col min="52" max="52" width="18" style="135" hidden="1" customWidth="1"/>
    <col min="53" max="53" width="16.42578125" style="135" hidden="1" customWidth="1"/>
    <col min="54" max="55" width="14.85546875" style="135" hidden="1" customWidth="1"/>
    <col min="56" max="56" width="16.85546875" style="135" customWidth="1"/>
    <col min="57" max="57" width="14.85546875" style="135" customWidth="1"/>
    <col min="58" max="58" width="14.42578125" style="135" customWidth="1"/>
    <col min="59" max="59" width="15.5703125" style="135" customWidth="1"/>
    <col min="60" max="60" width="15.42578125" style="135" customWidth="1"/>
    <col min="61" max="61" width="17.85546875" style="135" customWidth="1"/>
    <col min="62" max="62" width="18.28515625" style="135" customWidth="1"/>
    <col min="63" max="63" width="18.42578125" style="135" customWidth="1"/>
    <col min="64" max="64" width="17.28515625" style="135" customWidth="1"/>
    <col min="65" max="65" width="14.85546875" style="135" customWidth="1"/>
    <col min="66" max="67" width="13.85546875" style="135" customWidth="1"/>
    <col min="68" max="68" width="16.28515625" style="88" customWidth="1"/>
    <col min="69" max="69" width="16.5703125" style="88" customWidth="1"/>
    <col min="70" max="70" width="12.140625" style="88" customWidth="1"/>
    <col min="71" max="71" width="9.140625" style="88"/>
    <col min="72" max="72" width="15" style="88" bestFit="1" customWidth="1"/>
    <col min="73" max="73" width="14.42578125" style="88" bestFit="1" customWidth="1"/>
    <col min="74" max="74" width="11.7109375" style="88" bestFit="1" customWidth="1"/>
    <col min="75" max="75" width="14" style="88" bestFit="1" customWidth="1"/>
    <col min="76" max="76" width="15" style="88" bestFit="1" customWidth="1"/>
    <col min="77" max="16384" width="9.140625" style="88"/>
  </cols>
  <sheetData>
    <row r="1" spans="1:76" s="115" customFormat="1" ht="64.5" thickBot="1" x14ac:dyDescent="0.25">
      <c r="A1" s="75" t="str">
        <f>'[4]CO CODE'!E1&amp;" "&amp;"COUNTY"</f>
        <v>2019 COUNTY</v>
      </c>
      <c r="B1" s="136" t="s">
        <v>0</v>
      </c>
      <c r="C1" s="136" t="s">
        <v>1</v>
      </c>
      <c r="D1" s="136" t="s">
        <v>2</v>
      </c>
      <c r="E1" s="136" t="s">
        <v>3</v>
      </c>
      <c r="F1" s="136" t="s">
        <v>4</v>
      </c>
      <c r="G1" s="136" t="s">
        <v>5</v>
      </c>
      <c r="H1" s="136" t="s">
        <v>6</v>
      </c>
      <c r="I1" s="137" t="s">
        <v>7</v>
      </c>
      <c r="J1" s="136" t="s">
        <v>8</v>
      </c>
      <c r="K1" s="136" t="s">
        <v>9</v>
      </c>
      <c r="L1" s="136" t="s">
        <v>10</v>
      </c>
      <c r="M1" s="136" t="s">
        <v>11</v>
      </c>
      <c r="N1" s="136" t="s">
        <v>12</v>
      </c>
      <c r="O1" s="136" t="s">
        <v>13</v>
      </c>
      <c r="P1" s="136" t="str">
        <f>'[4]CO CODE'!$E$1&amp;" "&amp;"RES ADD TAX"</f>
        <v>2019 RES ADD TAX</v>
      </c>
      <c r="Q1" s="136" t="str">
        <f>'[4]CO CODE'!$E$1&amp;" "&amp;"FARM ADD TAX"</f>
        <v>2019 FARM ADD TAX</v>
      </c>
      <c r="R1" s="136" t="str">
        <f>'[4]CO CODE'!$E$1&amp;" "&amp;"COMM ADD TAX"</f>
        <v>2019 COMM ADD TAX</v>
      </c>
      <c r="S1" s="136" t="str">
        <f>'[4]CO CODE'!$E$1-1&amp;" "&amp;"RES.DEL TAX"</f>
        <v>2018 RES.DEL TAX</v>
      </c>
      <c r="T1" s="136" t="str">
        <f>'[4]CO CODE'!$E$1-1&amp;" "&amp;"FARM DEL TAX"</f>
        <v>2018 FARM DEL TAX</v>
      </c>
      <c r="U1" s="136" t="str">
        <f>'[4]CO CODE'!$E$1-1&amp;" "&amp;"COMM.DEL. TAX"</f>
        <v>2018 COMM.DEL. TAX</v>
      </c>
      <c r="V1" s="136" t="str">
        <f>'[4]CO CODE'!$E$1&amp;" "&amp;"RES ADD FAIR CASH"</f>
        <v>2019 RES ADD FAIR CASH</v>
      </c>
      <c r="W1" s="136" t="str">
        <f>'[4]CO CODE'!$E$1&amp;" "&amp;"FARM ADD FAIR CASH"</f>
        <v>2019 FARM ADD FAIR CASH</v>
      </c>
      <c r="X1" s="136" t="str">
        <f>'[4]CO CODE'!$E$1&amp;" "&amp;"COMM ADD FAIR CASH"</f>
        <v>2019 COMM ADD FAIR CASH</v>
      </c>
      <c r="Y1" s="136" t="str">
        <f>'[4]CO CODE'!$E$1-1&amp;" "&amp;"RES DEL FAIR CASH"</f>
        <v>2018 RES DEL FAIR CASH</v>
      </c>
      <c r="Z1" s="136" t="str">
        <f>'[4]CO CODE'!$E$1-1&amp;" "&amp;"FARM DEL FAIR CASH"</f>
        <v>2018 FARM DEL FAIR CASH</v>
      </c>
      <c r="AA1" s="136" t="str">
        <f>'[4]CO CODE'!$E$1-1&amp;" "&amp;"COMM DEL FAIR CASH"</f>
        <v>2018 COMM DEL FAIR CASH</v>
      </c>
      <c r="AB1" s="136" t="str">
        <f>'[4]CO CODE'!$E$1-1&amp;" "&amp;"AMT. REAL EXONERATIONS"</f>
        <v>2018 AMT. REAL EXONERATIONS</v>
      </c>
      <c r="AC1" s="136" t="str">
        <f>'[4]CO CODE'!$E$1-1&amp;" "&amp;"AMT. TANG. EXONERATIONS"</f>
        <v>2018 AMT. TANG. EXONERATIONS</v>
      </c>
      <c r="AD1" s="136" t="s">
        <v>14</v>
      </c>
      <c r="AE1" s="136" t="s">
        <v>15</v>
      </c>
      <c r="AF1" s="136" t="s">
        <v>16</v>
      </c>
      <c r="AG1" s="136" t="s">
        <v>17</v>
      </c>
      <c r="AH1" s="136" t="s">
        <v>18</v>
      </c>
      <c r="AI1" s="136" t="s">
        <v>19</v>
      </c>
      <c r="AJ1" s="136" t="str">
        <f>'[4]CO CODE'!$E$1&amp;" "&amp;"TOTAL UNMINED C0AL"</f>
        <v>2019 TOTAL UNMINED C0AL</v>
      </c>
      <c r="AK1" s="136" t="s">
        <v>21</v>
      </c>
      <c r="AL1" s="136" t="s">
        <v>22</v>
      </c>
      <c r="AM1" s="136" t="s">
        <v>23</v>
      </c>
      <c r="AN1" s="136" t="s">
        <v>24</v>
      </c>
      <c r="AO1" s="136" t="s">
        <v>25</v>
      </c>
      <c r="AP1" s="136" t="s">
        <v>26</v>
      </c>
      <c r="AQ1" s="136" t="s">
        <v>27</v>
      </c>
      <c r="AR1" s="136" t="s">
        <v>28</v>
      </c>
      <c r="AS1" s="136" t="s">
        <v>29</v>
      </c>
      <c r="AT1" s="136" t="s">
        <v>30</v>
      </c>
      <c r="AU1" s="136" t="s">
        <v>31</v>
      </c>
      <c r="AV1" s="136" t="s">
        <v>32</v>
      </c>
      <c r="AW1" s="136" t="s">
        <v>33</v>
      </c>
      <c r="AX1" s="136" t="s">
        <v>34</v>
      </c>
      <c r="AY1" s="136" t="s">
        <v>35</v>
      </c>
      <c r="AZ1" s="136" t="s">
        <v>36</v>
      </c>
      <c r="BA1" s="136" t="s">
        <v>37</v>
      </c>
      <c r="BB1" s="136" t="s">
        <v>38</v>
      </c>
      <c r="BC1" s="136" t="s">
        <v>39</v>
      </c>
      <c r="BD1" s="136" t="s">
        <v>40</v>
      </c>
      <c r="BE1" s="136" t="s">
        <v>41</v>
      </c>
      <c r="BF1" s="136" t="s">
        <v>42</v>
      </c>
      <c r="BG1" s="136" t="s">
        <v>336</v>
      </c>
      <c r="BH1" s="136" t="s">
        <v>43</v>
      </c>
      <c r="BI1" s="136" t="s">
        <v>44</v>
      </c>
      <c r="BJ1" s="136" t="s">
        <v>337</v>
      </c>
      <c r="BK1" s="136" t="s">
        <v>45</v>
      </c>
      <c r="BL1" s="136" t="s">
        <v>338</v>
      </c>
      <c r="BM1" s="136" t="s">
        <v>46</v>
      </c>
      <c r="BN1" s="136" t="s">
        <v>47</v>
      </c>
      <c r="BO1" s="136" t="s">
        <v>48</v>
      </c>
      <c r="BP1" s="76" t="s">
        <v>49</v>
      </c>
      <c r="BQ1" s="76" t="s">
        <v>50</v>
      </c>
      <c r="BR1" s="76" t="s">
        <v>51</v>
      </c>
      <c r="BS1" s="76"/>
      <c r="BT1" s="76" t="s">
        <v>326</v>
      </c>
      <c r="BU1" s="133" t="s">
        <v>327</v>
      </c>
      <c r="BV1" s="133" t="s">
        <v>328</v>
      </c>
      <c r="BW1" s="133" t="s">
        <v>329</v>
      </c>
      <c r="BX1" s="133" t="s">
        <v>330</v>
      </c>
    </row>
    <row r="2" spans="1:76" x14ac:dyDescent="0.25">
      <c r="A2" s="79" t="s">
        <v>56</v>
      </c>
      <c r="B2" s="135">
        <v>309680750</v>
      </c>
      <c r="C2" s="135">
        <v>159028500</v>
      </c>
      <c r="D2" s="135">
        <v>124741290</v>
      </c>
      <c r="E2" s="135">
        <v>0</v>
      </c>
      <c r="F2" s="135">
        <v>47598900</v>
      </c>
      <c r="G2" s="135">
        <v>13138100</v>
      </c>
      <c r="H2" s="135">
        <v>23291000</v>
      </c>
      <c r="I2" s="135">
        <v>2871500</v>
      </c>
      <c r="J2" s="135">
        <v>0</v>
      </c>
      <c r="K2" s="135">
        <v>39300</v>
      </c>
      <c r="L2" s="135">
        <v>378153010</v>
      </c>
      <c r="M2" s="135">
        <v>64638725</v>
      </c>
      <c r="N2" s="135">
        <v>1933</v>
      </c>
      <c r="O2" s="135">
        <v>505</v>
      </c>
      <c r="P2" s="135">
        <v>3434000</v>
      </c>
      <c r="Q2" s="135">
        <v>2593000</v>
      </c>
      <c r="R2" s="135">
        <v>3412700</v>
      </c>
      <c r="S2" s="135">
        <v>703300</v>
      </c>
      <c r="T2" s="135">
        <v>145500</v>
      </c>
      <c r="U2" s="135">
        <v>254000</v>
      </c>
      <c r="V2" s="135">
        <v>3434000</v>
      </c>
      <c r="W2" s="135">
        <v>2573000</v>
      </c>
      <c r="X2" s="135">
        <v>3412700</v>
      </c>
      <c r="Y2" s="135">
        <v>703300</v>
      </c>
      <c r="Z2" s="135">
        <v>126000</v>
      </c>
      <c r="AA2" s="135">
        <v>254000</v>
      </c>
      <c r="AB2" s="135">
        <v>-2167900</v>
      </c>
      <c r="AC2" s="135">
        <v>-1061782</v>
      </c>
      <c r="AD2" s="135">
        <v>109354</v>
      </c>
      <c r="AE2" s="135">
        <v>0</v>
      </c>
      <c r="AF2" s="135">
        <v>0</v>
      </c>
      <c r="AG2" s="135">
        <v>223753</v>
      </c>
      <c r="AH2" s="135">
        <v>1683327.87</v>
      </c>
      <c r="AI2" s="135">
        <v>309795.08</v>
      </c>
      <c r="AJ2" s="135">
        <v>0</v>
      </c>
      <c r="AK2" s="82">
        <v>111803861</v>
      </c>
      <c r="AL2" s="82">
        <v>3494819</v>
      </c>
      <c r="AM2" s="135">
        <v>852721</v>
      </c>
      <c r="AN2" s="135">
        <v>17379136</v>
      </c>
      <c r="AO2" s="135">
        <v>597724</v>
      </c>
      <c r="AP2" s="135">
        <v>13169690</v>
      </c>
      <c r="AQ2" s="135">
        <v>19607442</v>
      </c>
      <c r="AR2" s="135">
        <v>62802473</v>
      </c>
      <c r="AS2" s="135">
        <v>2924</v>
      </c>
      <c r="AT2" s="135">
        <v>1399904</v>
      </c>
      <c r="AU2" s="135">
        <v>0</v>
      </c>
      <c r="AV2" s="135">
        <v>0</v>
      </c>
      <c r="AW2" s="135">
        <v>0</v>
      </c>
      <c r="AX2" s="135">
        <v>436539</v>
      </c>
      <c r="AY2" s="135">
        <v>311300</v>
      </c>
      <c r="BD2" s="82">
        <v>6712648.6500000004</v>
      </c>
      <c r="BE2" s="82">
        <v>3356324.33</v>
      </c>
      <c r="BF2" s="117">
        <v>0</v>
      </c>
      <c r="BG2" s="118">
        <v>0</v>
      </c>
      <c r="BH2" s="118">
        <v>0</v>
      </c>
      <c r="BI2" s="117">
        <v>16272268</v>
      </c>
      <c r="BJ2" s="117">
        <v>16272268</v>
      </c>
      <c r="BK2" s="117">
        <v>37293162</v>
      </c>
      <c r="BL2" s="117">
        <v>37144941</v>
      </c>
      <c r="BM2" s="117">
        <v>0</v>
      </c>
      <c r="BN2" s="117">
        <v>0</v>
      </c>
      <c r="BO2" s="138"/>
      <c r="BP2" s="86">
        <v>805100178.28000009</v>
      </c>
      <c r="BQ2" s="86">
        <v>633027964.95000005</v>
      </c>
      <c r="BR2" s="87">
        <v>272500</v>
      </c>
      <c r="BT2" s="86">
        <v>593450540</v>
      </c>
      <c r="BU2" s="82">
        <f t="shared" ref="BU2:BU33" si="0">AK2</f>
        <v>111803861</v>
      </c>
      <c r="BV2" s="82">
        <f t="shared" ref="BV2:BV33" si="1">AL2</f>
        <v>3494819</v>
      </c>
      <c r="BW2" s="86">
        <f t="shared" ref="BW2:BW33" si="2">AN2+AO2+AQ2+AS2</f>
        <v>37587226</v>
      </c>
      <c r="BX2" s="86">
        <f>SUM(BT2:BW2)</f>
        <v>746336446</v>
      </c>
    </row>
    <row r="3" spans="1:76" x14ac:dyDescent="0.25">
      <c r="A3" s="91" t="s">
        <v>57</v>
      </c>
      <c r="B3" s="135">
        <v>515704452</v>
      </c>
      <c r="C3" s="135">
        <v>208772035</v>
      </c>
      <c r="D3" s="135">
        <v>129401136</v>
      </c>
      <c r="E3" s="135">
        <v>0</v>
      </c>
      <c r="F3" s="135">
        <v>50363166</v>
      </c>
      <c r="G3" s="135">
        <v>16079248</v>
      </c>
      <c r="H3" s="135">
        <v>19923192</v>
      </c>
      <c r="I3" s="135">
        <v>2822962</v>
      </c>
      <c r="J3" s="135">
        <v>117900</v>
      </c>
      <c r="K3" s="135">
        <v>0</v>
      </c>
      <c r="L3" s="135">
        <v>290201645</v>
      </c>
      <c r="M3" s="135">
        <v>129188539</v>
      </c>
      <c r="N3" s="135">
        <v>1866</v>
      </c>
      <c r="O3" s="135">
        <v>535</v>
      </c>
      <c r="P3" s="135">
        <v>9961653</v>
      </c>
      <c r="Q3" s="135">
        <v>5721805</v>
      </c>
      <c r="R3" s="135">
        <v>4100903</v>
      </c>
      <c r="S3" s="135">
        <v>9758434</v>
      </c>
      <c r="T3" s="135">
        <v>4221972</v>
      </c>
      <c r="U3" s="135">
        <v>744514</v>
      </c>
      <c r="V3" s="135">
        <v>9961653</v>
      </c>
      <c r="W3" s="135">
        <v>6262900</v>
      </c>
      <c r="X3" s="135">
        <v>4100903</v>
      </c>
      <c r="Y3" s="135">
        <v>9758434</v>
      </c>
      <c r="Z3" s="135">
        <v>5031256</v>
      </c>
      <c r="AA3" s="135">
        <v>744514</v>
      </c>
      <c r="AB3" s="135">
        <v>-1703760</v>
      </c>
      <c r="AC3" s="135">
        <v>0</v>
      </c>
      <c r="AD3" s="135">
        <v>78129</v>
      </c>
      <c r="AG3" s="135">
        <v>45920</v>
      </c>
      <c r="AH3" s="135">
        <v>272106.55</v>
      </c>
      <c r="AI3" s="135">
        <v>271327.87</v>
      </c>
      <c r="AJ3" s="139">
        <v>0</v>
      </c>
      <c r="AK3" s="82">
        <v>129683394</v>
      </c>
      <c r="AL3" s="82">
        <v>6827911</v>
      </c>
      <c r="AM3" s="135">
        <v>0</v>
      </c>
      <c r="AN3" s="135">
        <v>26410984</v>
      </c>
      <c r="AO3" s="135">
        <v>2408601</v>
      </c>
      <c r="AP3" s="135">
        <v>138378258</v>
      </c>
      <c r="AQ3" s="135">
        <v>47903663</v>
      </c>
      <c r="AR3" s="135">
        <v>40859240</v>
      </c>
      <c r="AS3" s="135">
        <v>26314431</v>
      </c>
      <c r="AT3" s="135">
        <v>0</v>
      </c>
      <c r="AU3" s="135">
        <v>0</v>
      </c>
      <c r="AV3" s="135">
        <v>0</v>
      </c>
      <c r="AW3" s="135">
        <v>0</v>
      </c>
      <c r="AX3" s="135">
        <v>19552</v>
      </c>
      <c r="AY3" s="135">
        <v>0</v>
      </c>
      <c r="BD3" s="82">
        <v>7786127.2000000002</v>
      </c>
      <c r="BE3" s="82">
        <v>3893063.6</v>
      </c>
      <c r="BF3" s="117">
        <v>0</v>
      </c>
      <c r="BG3" s="118">
        <v>0</v>
      </c>
      <c r="BH3" s="118">
        <v>0</v>
      </c>
      <c r="BI3" s="117">
        <v>20642427</v>
      </c>
      <c r="BJ3" s="117">
        <v>20642427</v>
      </c>
      <c r="BK3" s="117">
        <v>47984664</v>
      </c>
      <c r="BL3" s="117">
        <v>47951112</v>
      </c>
      <c r="BM3" s="117">
        <v>0</v>
      </c>
      <c r="BN3" s="117">
        <v>0</v>
      </c>
      <c r="BO3" s="138"/>
      <c r="BP3" s="86">
        <v>1140142213.02</v>
      </c>
      <c r="BQ3" s="86">
        <v>931144305.41999996</v>
      </c>
      <c r="BR3" s="87">
        <v>1298043</v>
      </c>
      <c r="BT3" s="86">
        <v>853877623</v>
      </c>
      <c r="BU3" s="82">
        <f t="shared" si="0"/>
        <v>129683394</v>
      </c>
      <c r="BV3" s="82">
        <f t="shared" si="1"/>
        <v>6827911</v>
      </c>
      <c r="BW3" s="86">
        <f t="shared" si="2"/>
        <v>103037679</v>
      </c>
      <c r="BX3" s="86">
        <f t="shared" ref="BX3:BX66" si="3">SUM(BT3:BW3)</f>
        <v>1093426607</v>
      </c>
    </row>
    <row r="4" spans="1:76" x14ac:dyDescent="0.25">
      <c r="A4" s="91" t="s">
        <v>58</v>
      </c>
      <c r="B4" s="135">
        <v>938637931</v>
      </c>
      <c r="C4" s="135">
        <v>207766880</v>
      </c>
      <c r="D4" s="135">
        <v>239990061</v>
      </c>
      <c r="E4" s="135">
        <v>0</v>
      </c>
      <c r="F4" s="135">
        <v>69873600</v>
      </c>
      <c r="G4" s="135">
        <v>8286300</v>
      </c>
      <c r="H4" s="135">
        <v>13817000</v>
      </c>
      <c r="I4" s="135">
        <v>1449800</v>
      </c>
      <c r="J4" s="135">
        <v>275100</v>
      </c>
      <c r="K4" s="135">
        <v>0</v>
      </c>
      <c r="L4" s="135">
        <v>165094133</v>
      </c>
      <c r="M4" s="135">
        <v>137317735</v>
      </c>
      <c r="N4" s="135">
        <v>2169</v>
      </c>
      <c r="O4" s="135">
        <v>261</v>
      </c>
      <c r="P4" s="135">
        <v>10427800</v>
      </c>
      <c r="Q4" s="135">
        <v>1324000</v>
      </c>
      <c r="R4" s="135">
        <v>1480000</v>
      </c>
      <c r="S4" s="135">
        <v>2644415</v>
      </c>
      <c r="T4" s="135">
        <v>197090</v>
      </c>
      <c r="U4" s="135">
        <v>1058450</v>
      </c>
      <c r="V4" s="135">
        <v>10427800</v>
      </c>
      <c r="W4" s="135">
        <v>1318000</v>
      </c>
      <c r="X4" s="135">
        <v>1480000</v>
      </c>
      <c r="Y4" s="135">
        <v>2644415</v>
      </c>
      <c r="Z4" s="135">
        <v>329590</v>
      </c>
      <c r="AA4" s="135">
        <v>1058450</v>
      </c>
      <c r="AB4" s="135">
        <v>-4585800</v>
      </c>
      <c r="AC4" s="135">
        <v>0</v>
      </c>
      <c r="AD4" s="135">
        <v>0</v>
      </c>
      <c r="AE4" s="135">
        <v>0</v>
      </c>
      <c r="AF4" s="135">
        <v>0</v>
      </c>
      <c r="AG4" s="135">
        <v>110074</v>
      </c>
      <c r="AH4" s="135">
        <v>0</v>
      </c>
      <c r="AI4" s="135">
        <v>65893.440000000002</v>
      </c>
      <c r="AJ4" s="139">
        <v>0</v>
      </c>
      <c r="AK4" s="82">
        <v>181358043</v>
      </c>
      <c r="AL4" s="82">
        <v>4894208</v>
      </c>
      <c r="AM4" s="135">
        <v>0</v>
      </c>
      <c r="AN4" s="135">
        <v>24783339</v>
      </c>
      <c r="AO4" s="135">
        <v>7042858</v>
      </c>
      <c r="AP4" s="135">
        <v>142280734</v>
      </c>
      <c r="AQ4" s="135">
        <v>40112873</v>
      </c>
      <c r="AR4" s="135">
        <v>30763831</v>
      </c>
      <c r="AS4" s="135">
        <v>29138981</v>
      </c>
      <c r="AT4" s="135">
        <v>208388</v>
      </c>
      <c r="AU4" s="135">
        <v>0</v>
      </c>
      <c r="AV4" s="135">
        <v>0</v>
      </c>
      <c r="AW4" s="135">
        <v>12151519</v>
      </c>
      <c r="AX4" s="135">
        <v>0</v>
      </c>
      <c r="AY4" s="135">
        <v>32500</v>
      </c>
      <c r="BD4" s="82">
        <v>10888647.710000001</v>
      </c>
      <c r="BE4" s="82">
        <v>5444323.8600000003</v>
      </c>
      <c r="BF4" s="117">
        <v>0</v>
      </c>
      <c r="BG4" s="118">
        <v>1711125</v>
      </c>
      <c r="BH4" s="118">
        <v>3422251</v>
      </c>
      <c r="BI4" s="117">
        <v>19616903</v>
      </c>
      <c r="BJ4" s="117">
        <v>19616903</v>
      </c>
      <c r="BK4" s="117">
        <v>40750472</v>
      </c>
      <c r="BL4" s="117">
        <v>39104964</v>
      </c>
      <c r="BM4" s="117">
        <v>148735275</v>
      </c>
      <c r="BN4" s="117">
        <v>0</v>
      </c>
      <c r="BO4" s="138"/>
      <c r="BP4" s="86">
        <v>1859264677.3</v>
      </c>
      <c r="BQ4" s="86">
        <v>1458399835.4400001</v>
      </c>
      <c r="BR4" s="87">
        <v>973848</v>
      </c>
      <c r="BT4" s="86">
        <v>1386394872</v>
      </c>
      <c r="BU4" s="82">
        <f t="shared" si="0"/>
        <v>181358043</v>
      </c>
      <c r="BV4" s="82">
        <f t="shared" si="1"/>
        <v>4894208</v>
      </c>
      <c r="BW4" s="86">
        <f t="shared" si="2"/>
        <v>101078051</v>
      </c>
      <c r="BX4" s="86">
        <f t="shared" si="3"/>
        <v>1673725174</v>
      </c>
    </row>
    <row r="5" spans="1:76" x14ac:dyDescent="0.25">
      <c r="A5" s="91" t="s">
        <v>59</v>
      </c>
      <c r="B5" s="135">
        <v>177563433</v>
      </c>
      <c r="C5" s="135">
        <v>157013367</v>
      </c>
      <c r="D5" s="135">
        <v>67831104</v>
      </c>
      <c r="E5" s="135">
        <v>0</v>
      </c>
      <c r="F5" s="135">
        <v>27347980</v>
      </c>
      <c r="G5" s="135">
        <v>6536367</v>
      </c>
      <c r="H5" s="135">
        <v>7176898</v>
      </c>
      <c r="I5" s="135">
        <v>903900</v>
      </c>
      <c r="J5" s="135">
        <v>15000</v>
      </c>
      <c r="K5" s="135">
        <v>39300</v>
      </c>
      <c r="L5" s="135">
        <v>310517705</v>
      </c>
      <c r="M5" s="135">
        <v>46270713</v>
      </c>
      <c r="N5" s="135">
        <v>923</v>
      </c>
      <c r="O5" s="135">
        <v>214</v>
      </c>
      <c r="P5" s="135">
        <v>2519500</v>
      </c>
      <c r="Q5" s="135">
        <v>1791490</v>
      </c>
      <c r="R5" s="135">
        <v>208250</v>
      </c>
      <c r="S5" s="135">
        <v>456200</v>
      </c>
      <c r="T5" s="135">
        <v>309196</v>
      </c>
      <c r="U5" s="135">
        <v>582060</v>
      </c>
      <c r="V5" s="135">
        <v>2519500</v>
      </c>
      <c r="W5" s="135">
        <v>1700869</v>
      </c>
      <c r="X5" s="135">
        <v>208250</v>
      </c>
      <c r="Y5" s="135">
        <v>456200</v>
      </c>
      <c r="Z5" s="135">
        <v>610420</v>
      </c>
      <c r="AA5" s="135">
        <v>582060</v>
      </c>
      <c r="AB5" s="135">
        <v>-828900</v>
      </c>
      <c r="AC5" s="135">
        <v>1353231</v>
      </c>
      <c r="AD5" s="135">
        <v>32579</v>
      </c>
      <c r="AE5" s="135">
        <v>4077</v>
      </c>
      <c r="AF5" s="135">
        <v>2152</v>
      </c>
      <c r="AG5" s="135">
        <v>141628</v>
      </c>
      <c r="AH5" s="135">
        <v>0</v>
      </c>
      <c r="AI5" s="135">
        <v>10139.34</v>
      </c>
      <c r="AJ5" s="139">
        <v>0</v>
      </c>
      <c r="AK5" s="82">
        <v>72643921</v>
      </c>
      <c r="AL5" s="82">
        <v>2710038</v>
      </c>
      <c r="AM5" s="135">
        <v>0</v>
      </c>
      <c r="AN5" s="135">
        <v>32817910</v>
      </c>
      <c r="AO5" s="135">
        <v>5780644</v>
      </c>
      <c r="AP5" s="135">
        <v>75936311</v>
      </c>
      <c r="AQ5" s="135">
        <v>9041898</v>
      </c>
      <c r="AR5" s="135">
        <v>3553986</v>
      </c>
      <c r="AS5" s="135">
        <v>947442</v>
      </c>
      <c r="AT5" s="135">
        <v>330619</v>
      </c>
      <c r="AU5" s="135">
        <v>0</v>
      </c>
      <c r="AV5" s="135">
        <v>0</v>
      </c>
      <c r="AW5" s="135">
        <v>6922595</v>
      </c>
      <c r="AX5" s="135">
        <v>0</v>
      </c>
      <c r="AY5" s="135">
        <v>0</v>
      </c>
      <c r="BD5" s="82">
        <v>4361505.29</v>
      </c>
      <c r="BE5" s="82">
        <v>2180752.65</v>
      </c>
      <c r="BF5" s="117">
        <v>33512953.367875647</v>
      </c>
      <c r="BG5" s="118">
        <v>1017849</v>
      </c>
      <c r="BH5" s="118">
        <v>2035698</v>
      </c>
      <c r="BI5" s="117">
        <v>26694044</v>
      </c>
      <c r="BJ5" s="117">
        <v>26694044</v>
      </c>
      <c r="BK5" s="117">
        <v>68345863</v>
      </c>
      <c r="BL5" s="117">
        <v>59848575</v>
      </c>
      <c r="BM5" s="117">
        <v>0</v>
      </c>
      <c r="BN5" s="117">
        <v>0</v>
      </c>
      <c r="BO5" s="138"/>
      <c r="BP5" s="86">
        <v>615153674.99000001</v>
      </c>
      <c r="BQ5" s="86">
        <v>450058495.33999997</v>
      </c>
      <c r="BR5" s="87">
        <v>2194973</v>
      </c>
      <c r="BT5" s="86">
        <v>402407904</v>
      </c>
      <c r="BU5" s="82">
        <f t="shared" si="0"/>
        <v>72643921</v>
      </c>
      <c r="BV5" s="82">
        <f t="shared" si="1"/>
        <v>2710038</v>
      </c>
      <c r="BW5" s="86">
        <f t="shared" si="2"/>
        <v>48587894</v>
      </c>
      <c r="BX5" s="86">
        <f t="shared" si="3"/>
        <v>526349757</v>
      </c>
    </row>
    <row r="6" spans="1:76" x14ac:dyDescent="0.25">
      <c r="A6" s="91" t="s">
        <v>60</v>
      </c>
      <c r="B6" s="135">
        <v>1199350747</v>
      </c>
      <c r="C6" s="135">
        <v>315332091</v>
      </c>
      <c r="D6" s="135">
        <v>521475057</v>
      </c>
      <c r="E6" s="135">
        <v>48500</v>
      </c>
      <c r="F6" s="135">
        <v>128134290</v>
      </c>
      <c r="G6" s="135">
        <v>19168899</v>
      </c>
      <c r="H6" s="135">
        <v>28732105</v>
      </c>
      <c r="I6" s="135">
        <v>2034400</v>
      </c>
      <c r="J6" s="135">
        <v>274800</v>
      </c>
      <c r="K6" s="135">
        <v>39300</v>
      </c>
      <c r="L6" s="135">
        <v>489541989</v>
      </c>
      <c r="M6" s="135">
        <v>238625300</v>
      </c>
      <c r="N6" s="135">
        <v>4096</v>
      </c>
      <c r="O6" s="135">
        <v>591</v>
      </c>
      <c r="P6" s="135">
        <v>26985200</v>
      </c>
      <c r="Q6" s="135">
        <v>7184900</v>
      </c>
      <c r="R6" s="135">
        <v>24005900</v>
      </c>
      <c r="S6" s="135">
        <v>17363950</v>
      </c>
      <c r="T6" s="135">
        <v>3584300</v>
      </c>
      <c r="U6" s="135">
        <v>6504720</v>
      </c>
      <c r="V6" s="135">
        <v>26985200</v>
      </c>
      <c r="W6" s="135">
        <v>11505900</v>
      </c>
      <c r="X6" s="135">
        <v>24005900</v>
      </c>
      <c r="Y6" s="135">
        <v>17363950</v>
      </c>
      <c r="Z6" s="135">
        <v>6208700</v>
      </c>
      <c r="AA6" s="135">
        <v>6504720</v>
      </c>
      <c r="AB6" s="135">
        <v>-4273100</v>
      </c>
      <c r="AC6" s="135">
        <v>-140937</v>
      </c>
      <c r="AD6" s="135">
        <v>47</v>
      </c>
      <c r="AG6" s="135">
        <v>267352</v>
      </c>
      <c r="AH6" s="135">
        <v>146540.98000000001</v>
      </c>
      <c r="AI6" s="139">
        <v>420811.48</v>
      </c>
      <c r="AJ6" s="139">
        <v>0</v>
      </c>
      <c r="AK6" s="82">
        <v>308115212</v>
      </c>
      <c r="AL6" s="82">
        <v>12170135</v>
      </c>
      <c r="AM6" s="135">
        <v>2153804</v>
      </c>
      <c r="AN6" s="135">
        <v>99014251</v>
      </c>
      <c r="AO6" s="135">
        <v>21845009</v>
      </c>
      <c r="AP6" s="135">
        <v>298893378</v>
      </c>
      <c r="AQ6" s="135">
        <v>118746349</v>
      </c>
      <c r="AR6" s="135">
        <v>74290085</v>
      </c>
      <c r="AS6" s="135">
        <v>101009593</v>
      </c>
      <c r="AT6" s="135">
        <v>11293654</v>
      </c>
      <c r="AU6" s="135">
        <v>0</v>
      </c>
      <c r="AV6" s="135">
        <v>265510</v>
      </c>
      <c r="AW6" s="135">
        <v>48364</v>
      </c>
      <c r="AX6" s="135">
        <v>11670182</v>
      </c>
      <c r="AY6" s="135">
        <v>697770</v>
      </c>
      <c r="BD6" s="82">
        <v>18499085.789999999</v>
      </c>
      <c r="BE6" s="82">
        <v>9249542.9000000004</v>
      </c>
      <c r="BF6" s="117">
        <v>0</v>
      </c>
      <c r="BG6" s="118">
        <v>2030716</v>
      </c>
      <c r="BH6" s="118">
        <v>4061432</v>
      </c>
      <c r="BI6" s="117">
        <v>41298004</v>
      </c>
      <c r="BJ6" s="117">
        <v>40849964</v>
      </c>
      <c r="BK6" s="117">
        <v>100633200</v>
      </c>
      <c r="BL6" s="117">
        <v>98145563</v>
      </c>
      <c r="BM6" s="117">
        <v>0</v>
      </c>
      <c r="BN6" s="117">
        <v>17474644</v>
      </c>
      <c r="BO6" s="138"/>
      <c r="BP6" s="86">
        <v>2764366633.3600001</v>
      </c>
      <c r="BQ6" s="86">
        <v>2276330856.46</v>
      </c>
      <c r="BR6" s="87">
        <v>4144722</v>
      </c>
      <c r="BT6" s="86">
        <v>2036157895</v>
      </c>
      <c r="BU6" s="82">
        <f t="shared" si="0"/>
        <v>308115212</v>
      </c>
      <c r="BV6" s="82">
        <f t="shared" si="1"/>
        <v>12170135</v>
      </c>
      <c r="BW6" s="86">
        <f t="shared" si="2"/>
        <v>340615202</v>
      </c>
      <c r="BX6" s="86">
        <f t="shared" si="3"/>
        <v>2697058444</v>
      </c>
    </row>
    <row r="7" spans="1:76" x14ac:dyDescent="0.25">
      <c r="A7" s="91" t="s">
        <v>61</v>
      </c>
      <c r="B7" s="135">
        <v>177826131</v>
      </c>
      <c r="C7" s="135">
        <v>86692050</v>
      </c>
      <c r="D7" s="135">
        <v>44559000</v>
      </c>
      <c r="E7" s="135">
        <v>9675167</v>
      </c>
      <c r="F7" s="135">
        <v>31439620</v>
      </c>
      <c r="G7" s="135">
        <v>14105400</v>
      </c>
      <c r="H7" s="135">
        <v>9349150</v>
      </c>
      <c r="I7" s="135">
        <v>2536200</v>
      </c>
      <c r="J7" s="135">
        <v>0</v>
      </c>
      <c r="K7" s="135">
        <v>39300</v>
      </c>
      <c r="L7" s="135">
        <v>162840605</v>
      </c>
      <c r="M7" s="135">
        <v>56344020</v>
      </c>
      <c r="N7" s="135">
        <v>1113</v>
      </c>
      <c r="O7" s="135">
        <v>505</v>
      </c>
      <c r="P7" s="135">
        <v>3069775</v>
      </c>
      <c r="Q7" s="135">
        <v>1160700</v>
      </c>
      <c r="R7" s="135">
        <v>2226334</v>
      </c>
      <c r="S7" s="135">
        <v>1103700</v>
      </c>
      <c r="T7" s="135">
        <v>299200</v>
      </c>
      <c r="U7" s="135">
        <v>6000</v>
      </c>
      <c r="V7" s="135">
        <v>3069775</v>
      </c>
      <c r="W7" s="135">
        <v>1591600</v>
      </c>
      <c r="X7" s="135">
        <v>2226334</v>
      </c>
      <c r="Y7" s="135">
        <v>1103700</v>
      </c>
      <c r="Z7" s="135">
        <v>401450</v>
      </c>
      <c r="AA7" s="135">
        <v>6000</v>
      </c>
      <c r="AB7" s="135">
        <v>-1971050</v>
      </c>
      <c r="AC7" s="135">
        <v>0</v>
      </c>
      <c r="AD7" s="135">
        <v>133</v>
      </c>
      <c r="AE7" s="135">
        <v>10185</v>
      </c>
      <c r="AF7" s="135">
        <v>11512050</v>
      </c>
      <c r="AG7" s="135">
        <v>155536</v>
      </c>
      <c r="AI7" s="139"/>
      <c r="AJ7" s="139"/>
      <c r="AK7" s="82">
        <v>72385734</v>
      </c>
      <c r="AL7" s="82">
        <v>1426816</v>
      </c>
      <c r="AM7" s="135">
        <v>0</v>
      </c>
      <c r="AN7" s="135">
        <v>14635853</v>
      </c>
      <c r="AO7" s="135">
        <v>876958</v>
      </c>
      <c r="AP7" s="135">
        <v>18801097</v>
      </c>
      <c r="AQ7" s="135">
        <v>3180348</v>
      </c>
      <c r="AR7" s="135">
        <v>6111331</v>
      </c>
      <c r="AS7" s="135">
        <v>5837558</v>
      </c>
      <c r="AT7" s="135">
        <f>744666</f>
        <v>744666</v>
      </c>
      <c r="AU7" s="135">
        <v>0</v>
      </c>
      <c r="AV7" s="135">
        <v>0</v>
      </c>
      <c r="AW7" s="135">
        <v>2079020</v>
      </c>
      <c r="AX7" s="135">
        <v>1243</v>
      </c>
      <c r="AY7" s="135">
        <v>92500</v>
      </c>
      <c r="BD7" s="82">
        <v>4346003.87</v>
      </c>
      <c r="BE7" s="82">
        <v>2173001.94</v>
      </c>
      <c r="BF7" s="117">
        <v>0</v>
      </c>
      <c r="BG7" s="118">
        <v>0</v>
      </c>
      <c r="BH7" s="118">
        <v>0</v>
      </c>
      <c r="BI7" s="117">
        <v>36310759</v>
      </c>
      <c r="BJ7" s="117">
        <v>36310759</v>
      </c>
      <c r="BK7" s="117">
        <v>114497160</v>
      </c>
      <c r="BL7" s="117">
        <v>114497160</v>
      </c>
      <c r="BM7" s="117">
        <v>0</v>
      </c>
      <c r="BN7" s="117">
        <v>0</v>
      </c>
      <c r="BO7" s="138"/>
      <c r="BP7" s="86">
        <v>554563810.94000006</v>
      </c>
      <c r="BQ7" s="86">
        <v>327770340</v>
      </c>
      <c r="BR7" s="87">
        <v>853000</v>
      </c>
      <c r="BT7" s="86">
        <v>309077181</v>
      </c>
      <c r="BU7" s="82">
        <f t="shared" si="0"/>
        <v>72385734</v>
      </c>
      <c r="BV7" s="82">
        <f t="shared" si="1"/>
        <v>1426816</v>
      </c>
      <c r="BW7" s="86">
        <f t="shared" si="2"/>
        <v>24530717</v>
      </c>
      <c r="BX7" s="86">
        <f t="shared" si="3"/>
        <v>407420448</v>
      </c>
    </row>
    <row r="8" spans="1:76" x14ac:dyDescent="0.25">
      <c r="A8" s="91" t="s">
        <v>62</v>
      </c>
      <c r="B8" s="135">
        <v>438948500</v>
      </c>
      <c r="C8" s="135">
        <v>28143500</v>
      </c>
      <c r="D8" s="135">
        <v>191647554</v>
      </c>
      <c r="E8" s="135">
        <v>0</v>
      </c>
      <c r="F8" s="135">
        <v>79391500</v>
      </c>
      <c r="G8" s="135">
        <v>22522700</v>
      </c>
      <c r="H8" s="135">
        <v>4692800</v>
      </c>
      <c r="I8" s="135">
        <v>918100</v>
      </c>
      <c r="J8" s="135">
        <v>117900</v>
      </c>
      <c r="K8" s="135">
        <v>0</v>
      </c>
      <c r="L8" s="135">
        <v>37318950</v>
      </c>
      <c r="N8" s="135">
        <v>2586</v>
      </c>
      <c r="O8" s="135">
        <v>782</v>
      </c>
      <c r="P8" s="135">
        <v>2100300</v>
      </c>
      <c r="Q8" s="135">
        <v>0</v>
      </c>
      <c r="R8" s="135">
        <v>0</v>
      </c>
      <c r="S8" s="135">
        <v>4236800</v>
      </c>
      <c r="T8" s="135">
        <v>77800</v>
      </c>
      <c r="U8" s="135">
        <v>2339500</v>
      </c>
      <c r="V8" s="135">
        <v>2100300</v>
      </c>
      <c r="W8" s="135">
        <v>0</v>
      </c>
      <c r="X8" s="135">
        <v>0</v>
      </c>
      <c r="Y8" s="135">
        <v>4236800</v>
      </c>
      <c r="Z8" s="135">
        <v>77800</v>
      </c>
      <c r="AA8" s="135">
        <v>2339500</v>
      </c>
      <c r="AB8" s="135">
        <v>-3291066</v>
      </c>
      <c r="AC8" s="135">
        <v>-15366</v>
      </c>
      <c r="AD8" s="135">
        <v>0</v>
      </c>
      <c r="AE8" s="135">
        <v>0</v>
      </c>
      <c r="AF8" s="135">
        <v>0</v>
      </c>
      <c r="AG8" s="135">
        <v>0</v>
      </c>
      <c r="AH8" s="135">
        <v>-5312115.97</v>
      </c>
      <c r="AI8" s="139">
        <v>10417663.93</v>
      </c>
      <c r="AJ8" s="139">
        <v>14867467.210000001</v>
      </c>
      <c r="AK8" s="82">
        <v>131015230</v>
      </c>
      <c r="AL8" s="82">
        <v>1050337</v>
      </c>
      <c r="AM8" s="135">
        <v>0</v>
      </c>
      <c r="AN8" s="135">
        <v>40144117</v>
      </c>
      <c r="AO8" s="135">
        <v>1577144</v>
      </c>
      <c r="AP8" s="135">
        <v>37257052</v>
      </c>
      <c r="AQ8" s="135">
        <v>39887939</v>
      </c>
      <c r="AR8" s="135">
        <v>27194090</v>
      </c>
      <c r="AS8" s="135">
        <v>925</v>
      </c>
      <c r="AT8" s="135">
        <v>0</v>
      </c>
      <c r="AU8" s="135">
        <v>0</v>
      </c>
      <c r="AV8" s="135">
        <v>0</v>
      </c>
      <c r="AW8" s="135">
        <v>0</v>
      </c>
      <c r="AX8" s="135">
        <v>26121</v>
      </c>
      <c r="AY8" s="135">
        <v>612000</v>
      </c>
      <c r="BD8" s="82">
        <v>7866089.9699999997</v>
      </c>
      <c r="BE8" s="82">
        <v>3933044.99</v>
      </c>
      <c r="BF8" s="117">
        <v>0</v>
      </c>
      <c r="BG8" s="118">
        <v>8233190</v>
      </c>
      <c r="BH8" s="118">
        <v>16466380</v>
      </c>
      <c r="BI8" s="117">
        <v>62889662</v>
      </c>
      <c r="BJ8" s="117">
        <v>62889662</v>
      </c>
      <c r="BK8" s="117">
        <v>88099919</v>
      </c>
      <c r="BL8" s="117">
        <v>83339673</v>
      </c>
      <c r="BM8" s="117">
        <v>0</v>
      </c>
      <c r="BN8" s="117">
        <v>0</v>
      </c>
      <c r="BO8" s="138"/>
      <c r="BP8" s="86">
        <v>1050782906.16</v>
      </c>
      <c r="BQ8" s="86">
        <v>760321769.16999996</v>
      </c>
      <c r="BR8" s="87">
        <v>2481300</v>
      </c>
      <c r="BT8" s="86">
        <v>658739554</v>
      </c>
      <c r="BU8" s="82">
        <f t="shared" si="0"/>
        <v>131015230</v>
      </c>
      <c r="BV8" s="82">
        <f t="shared" si="1"/>
        <v>1050337</v>
      </c>
      <c r="BW8" s="86">
        <f t="shared" si="2"/>
        <v>81610125</v>
      </c>
      <c r="BX8" s="86">
        <f t="shared" si="3"/>
        <v>872415246</v>
      </c>
    </row>
    <row r="9" spans="1:76" x14ac:dyDescent="0.25">
      <c r="A9" s="91" t="s">
        <v>63</v>
      </c>
      <c r="B9" s="135">
        <v>7152303840</v>
      </c>
      <c r="C9" s="135">
        <v>293153979</v>
      </c>
      <c r="D9" s="135">
        <v>4624962896</v>
      </c>
      <c r="E9" s="135">
        <v>113155979</v>
      </c>
      <c r="F9" s="135">
        <v>322229060</v>
      </c>
      <c r="G9" s="135">
        <v>23075460</v>
      </c>
      <c r="H9" s="135">
        <v>17066320</v>
      </c>
      <c r="I9" s="135">
        <v>432300</v>
      </c>
      <c r="J9" s="135">
        <v>550200</v>
      </c>
      <c r="K9" s="135">
        <v>0</v>
      </c>
      <c r="L9" s="135">
        <v>748176681</v>
      </c>
      <c r="M9" s="135">
        <v>0</v>
      </c>
      <c r="N9" s="135">
        <v>8773</v>
      </c>
      <c r="O9" s="135">
        <v>621</v>
      </c>
      <c r="P9" s="135">
        <v>182886240</v>
      </c>
      <c r="Q9" s="135">
        <v>7130540</v>
      </c>
      <c r="R9" s="135">
        <v>151557150</v>
      </c>
      <c r="S9" s="135">
        <v>16808246</v>
      </c>
      <c r="T9" s="135">
        <v>8646188</v>
      </c>
      <c r="U9" s="135">
        <v>38100180</v>
      </c>
      <c r="V9" s="135">
        <v>182886240</v>
      </c>
      <c r="W9" s="135">
        <v>8506400</v>
      </c>
      <c r="X9" s="135">
        <v>151557150</v>
      </c>
      <c r="Y9" s="135">
        <v>16808246</v>
      </c>
      <c r="Z9" s="135">
        <v>39046547</v>
      </c>
      <c r="AA9" s="135">
        <v>38100180</v>
      </c>
      <c r="AB9" s="135">
        <v>-15730400</v>
      </c>
      <c r="AC9" s="135">
        <v>-118171184</v>
      </c>
      <c r="AD9" s="135">
        <v>0</v>
      </c>
      <c r="AE9" s="135">
        <v>0</v>
      </c>
      <c r="AF9" s="135">
        <v>0</v>
      </c>
      <c r="AG9" s="135">
        <v>0</v>
      </c>
      <c r="AH9" s="135">
        <v>0</v>
      </c>
      <c r="AI9" s="139">
        <v>201229.51</v>
      </c>
      <c r="AJ9" s="139">
        <v>0</v>
      </c>
      <c r="AK9" s="82">
        <v>1233266742</v>
      </c>
      <c r="AL9" s="82">
        <v>19799308</v>
      </c>
      <c r="AM9" s="135">
        <v>44200</v>
      </c>
      <c r="AN9" s="135">
        <v>911022214</v>
      </c>
      <c r="AO9" s="135">
        <v>40649404</v>
      </c>
      <c r="AP9" s="135">
        <v>1228777343</v>
      </c>
      <c r="AQ9" s="135">
        <v>673128742</v>
      </c>
      <c r="AR9" s="135">
        <v>520065370</v>
      </c>
      <c r="AS9" s="135">
        <v>1727735890</v>
      </c>
      <c r="AT9" s="135">
        <f>1896569+712922608</f>
        <v>714819177</v>
      </c>
      <c r="AU9" s="135">
        <v>0</v>
      </c>
      <c r="AV9" s="135">
        <v>190412</v>
      </c>
      <c r="AW9" s="135">
        <v>9380632</v>
      </c>
      <c r="AX9" s="135">
        <v>9380020</v>
      </c>
      <c r="AY9" s="135">
        <v>6828066</v>
      </c>
      <c r="BD9" s="82">
        <v>74044728.650000006</v>
      </c>
      <c r="BE9" s="82">
        <v>37022364.329999998</v>
      </c>
      <c r="BF9" s="117">
        <v>44683937.823834203</v>
      </c>
      <c r="BG9" s="118">
        <v>1237790</v>
      </c>
      <c r="BH9" s="118">
        <v>2475580</v>
      </c>
      <c r="BI9" s="117">
        <v>196632383</v>
      </c>
      <c r="BJ9" s="117">
        <v>196632383</v>
      </c>
      <c r="BK9" s="117">
        <v>1006250778</v>
      </c>
      <c r="BL9" s="117">
        <v>618222944</v>
      </c>
      <c r="BM9" s="117">
        <v>304025</v>
      </c>
      <c r="BN9" s="117">
        <v>0</v>
      </c>
      <c r="BO9" s="138"/>
      <c r="BP9" s="86">
        <v>15801907860.84</v>
      </c>
      <c r="BQ9" s="86">
        <v>13695422304.51</v>
      </c>
      <c r="BR9" s="87">
        <v>4524670</v>
      </c>
      <c r="BT9" s="86">
        <v>12070420715</v>
      </c>
      <c r="BU9" s="82">
        <f t="shared" si="0"/>
        <v>1233266742</v>
      </c>
      <c r="BV9" s="82">
        <f t="shared" si="1"/>
        <v>19799308</v>
      </c>
      <c r="BW9" s="86">
        <f t="shared" si="2"/>
        <v>3352536250</v>
      </c>
      <c r="BX9" s="86">
        <f t="shared" si="3"/>
        <v>16676023015</v>
      </c>
    </row>
    <row r="10" spans="1:76" x14ac:dyDescent="0.25">
      <c r="A10" s="91" t="s">
        <v>64</v>
      </c>
      <c r="B10" s="135">
        <v>636834852</v>
      </c>
      <c r="C10" s="135">
        <v>368912445</v>
      </c>
      <c r="D10" s="135">
        <v>191711985</v>
      </c>
      <c r="E10" s="135">
        <v>0</v>
      </c>
      <c r="F10" s="135">
        <v>56670490</v>
      </c>
      <c r="G10" s="135">
        <v>5753700</v>
      </c>
      <c r="H10" s="135">
        <v>13536452</v>
      </c>
      <c r="I10" s="135">
        <v>550200</v>
      </c>
      <c r="J10" s="135">
        <v>99600</v>
      </c>
      <c r="K10" s="135">
        <v>0</v>
      </c>
      <c r="L10" s="135">
        <v>867259329</v>
      </c>
      <c r="M10" s="135">
        <v>220759007</v>
      </c>
      <c r="N10" s="135">
        <v>1819</v>
      </c>
      <c r="O10" s="135">
        <v>168</v>
      </c>
      <c r="P10" s="135">
        <v>12004357</v>
      </c>
      <c r="Q10" s="135">
        <v>2385474</v>
      </c>
      <c r="R10" s="135">
        <v>1462060</v>
      </c>
      <c r="S10" s="135">
        <v>1833671</v>
      </c>
      <c r="T10" s="135">
        <v>149971</v>
      </c>
      <c r="U10" s="135">
        <v>573800</v>
      </c>
      <c r="V10" s="135">
        <v>12004357</v>
      </c>
      <c r="W10" s="135">
        <v>3547550</v>
      </c>
      <c r="X10" s="135">
        <v>1462060</v>
      </c>
      <c r="Y10" s="135">
        <v>1833671</v>
      </c>
      <c r="Z10" s="135">
        <v>1082970</v>
      </c>
      <c r="AA10" s="135">
        <v>573800</v>
      </c>
      <c r="AB10" s="135">
        <v>-4340595</v>
      </c>
      <c r="AC10" s="135">
        <v>-19332440</v>
      </c>
      <c r="AG10" s="135">
        <v>175469</v>
      </c>
      <c r="AH10" s="135">
        <v>0</v>
      </c>
      <c r="AI10" s="135">
        <v>392737.7</v>
      </c>
      <c r="AJ10" s="139">
        <v>0</v>
      </c>
      <c r="AK10" s="82">
        <v>174261436</v>
      </c>
      <c r="AL10" s="82">
        <v>3194523</v>
      </c>
      <c r="AM10" s="135">
        <v>0</v>
      </c>
      <c r="AN10" s="135">
        <f>43056008+1296640+289772</f>
        <v>44642420</v>
      </c>
      <c r="AO10" s="135">
        <f>23183192+52888+6030</f>
        <v>23242110</v>
      </c>
      <c r="AP10" s="135">
        <v>126469566</v>
      </c>
      <c r="AQ10" s="135">
        <f>42863274+560310+148085</f>
        <v>43571669</v>
      </c>
      <c r="AR10" s="135">
        <f>37828176+65633797+18346801</f>
        <v>121808774</v>
      </c>
      <c r="AS10" s="135">
        <v>35847710</v>
      </c>
      <c r="AT10" s="135">
        <f>115760981</f>
        <v>115760981</v>
      </c>
      <c r="AU10" s="135">
        <v>0</v>
      </c>
      <c r="AV10" s="135">
        <v>39057</v>
      </c>
      <c r="AW10" s="135">
        <v>3308783</v>
      </c>
      <c r="AX10" s="135">
        <v>6088</v>
      </c>
      <c r="AY10" s="135">
        <v>423015</v>
      </c>
      <c r="BD10" s="82">
        <v>10462570.91</v>
      </c>
      <c r="BE10" s="82">
        <v>5231285.46</v>
      </c>
      <c r="BF10" s="117">
        <v>0</v>
      </c>
      <c r="BG10" s="118">
        <v>2390166</v>
      </c>
      <c r="BH10" s="118">
        <v>4780332</v>
      </c>
      <c r="BI10" s="117">
        <v>28374919</v>
      </c>
      <c r="BJ10" s="117">
        <v>28374919</v>
      </c>
      <c r="BK10" s="117">
        <v>55231871</v>
      </c>
      <c r="BL10" s="117">
        <v>52164659</v>
      </c>
      <c r="BM10" s="117">
        <v>6306</v>
      </c>
      <c r="BN10" s="117">
        <v>0</v>
      </c>
      <c r="BO10" s="138"/>
      <c r="BP10" s="86">
        <v>1574931513.1600001</v>
      </c>
      <c r="BQ10" s="86">
        <v>1309308218.7</v>
      </c>
      <c r="BR10" s="87"/>
      <c r="BT10" s="86">
        <v>1197459282</v>
      </c>
      <c r="BU10" s="82">
        <f t="shared" si="0"/>
        <v>174261436</v>
      </c>
      <c r="BV10" s="82">
        <f t="shared" si="1"/>
        <v>3194523</v>
      </c>
      <c r="BW10" s="86">
        <f t="shared" si="2"/>
        <v>147303909</v>
      </c>
      <c r="BX10" s="86">
        <f t="shared" si="3"/>
        <v>1522219150</v>
      </c>
    </row>
    <row r="11" spans="1:76" x14ac:dyDescent="0.25">
      <c r="A11" s="91" t="s">
        <v>65</v>
      </c>
      <c r="B11" s="135">
        <v>1229188321</v>
      </c>
      <c r="C11" s="135">
        <v>96584851</v>
      </c>
      <c r="D11" s="135">
        <v>686731862</v>
      </c>
      <c r="E11" s="135">
        <v>1000000</v>
      </c>
      <c r="F11" s="135">
        <v>148954220</v>
      </c>
      <c r="G11" s="135">
        <v>52072520</v>
      </c>
      <c r="H11" s="135">
        <v>9293200</v>
      </c>
      <c r="I11" s="135">
        <v>2596400</v>
      </c>
      <c r="J11" s="135">
        <v>568100</v>
      </c>
      <c r="K11" s="135">
        <v>196500</v>
      </c>
      <c r="L11" s="135">
        <v>64866182</v>
      </c>
      <c r="M11" s="135">
        <v>83496321</v>
      </c>
      <c r="N11" s="135">
        <v>4277</v>
      </c>
      <c r="O11" s="135">
        <v>1538</v>
      </c>
      <c r="P11" s="135">
        <v>5029600</v>
      </c>
      <c r="Q11" s="135">
        <v>2349211</v>
      </c>
      <c r="R11" s="135">
        <v>4023500</v>
      </c>
      <c r="S11" s="135">
        <v>5984756</v>
      </c>
      <c r="T11" s="135">
        <v>218402</v>
      </c>
      <c r="U11" s="135">
        <v>4631900</v>
      </c>
      <c r="V11" s="135">
        <v>5029600</v>
      </c>
      <c r="W11" s="135">
        <v>2326980</v>
      </c>
      <c r="X11" s="135">
        <v>4023500</v>
      </c>
      <c r="Y11" s="135">
        <v>5984756</v>
      </c>
      <c r="Z11" s="135">
        <v>518129</v>
      </c>
      <c r="AA11" s="135">
        <v>4631900</v>
      </c>
      <c r="AB11" s="135">
        <v>-9009450</v>
      </c>
      <c r="AC11" s="135">
        <v>-79079</v>
      </c>
      <c r="AD11" s="135">
        <v>47648</v>
      </c>
      <c r="AE11" s="135">
        <v>0</v>
      </c>
      <c r="AF11" s="135">
        <v>0</v>
      </c>
      <c r="AG11" s="135">
        <v>59863.469100000002</v>
      </c>
      <c r="AH11" s="135">
        <v>20967.21</v>
      </c>
      <c r="AI11" s="139">
        <v>1667352.46</v>
      </c>
      <c r="AJ11" s="139">
        <v>301000</v>
      </c>
      <c r="AK11" s="82">
        <v>334771990</v>
      </c>
      <c r="AL11" s="82">
        <v>8712426</v>
      </c>
      <c r="AM11" s="135">
        <v>911936</v>
      </c>
      <c r="AN11" s="135">
        <v>115400135</v>
      </c>
      <c r="AO11" s="135">
        <v>11435209</v>
      </c>
      <c r="AP11" s="135">
        <v>304365086</v>
      </c>
      <c r="AQ11" s="135">
        <v>108323165</v>
      </c>
      <c r="AR11" s="135">
        <v>122554866</v>
      </c>
      <c r="AS11" s="135">
        <v>4141964</v>
      </c>
      <c r="AT11" s="135">
        <f>1106500+1545167051</f>
        <v>1546273551</v>
      </c>
      <c r="AU11" s="135">
        <v>0</v>
      </c>
      <c r="AV11" s="135">
        <v>0</v>
      </c>
      <c r="AW11" s="135">
        <v>0</v>
      </c>
      <c r="AX11" s="135">
        <v>3711621</v>
      </c>
      <c r="AY11" s="135">
        <v>8500</v>
      </c>
      <c r="BD11" s="82">
        <v>20099545.629999999</v>
      </c>
      <c r="BE11" s="82">
        <v>10049772.82</v>
      </c>
      <c r="BF11" s="117">
        <v>25077720.207253885</v>
      </c>
      <c r="BG11" s="118">
        <v>6728481</v>
      </c>
      <c r="BH11" s="118">
        <v>13456963</v>
      </c>
      <c r="BI11" s="117">
        <v>81339387</v>
      </c>
      <c r="BJ11" s="117">
        <v>81339387</v>
      </c>
      <c r="BK11" s="117">
        <v>205516181</v>
      </c>
      <c r="BL11" s="117">
        <v>202458377</v>
      </c>
      <c r="BM11" s="117">
        <v>0</v>
      </c>
      <c r="BN11" s="117">
        <v>0</v>
      </c>
      <c r="BO11" s="138"/>
      <c r="BP11" s="86">
        <v>2893713296.4900002</v>
      </c>
      <c r="BQ11" s="86">
        <v>2249652862.6700001</v>
      </c>
      <c r="BR11" s="87">
        <v>6846843</v>
      </c>
      <c r="BT11" s="86">
        <v>2012505034</v>
      </c>
      <c r="BU11" s="82">
        <f t="shared" si="0"/>
        <v>334771990</v>
      </c>
      <c r="BV11" s="82">
        <f t="shared" si="1"/>
        <v>8712426</v>
      </c>
      <c r="BW11" s="86">
        <f t="shared" si="2"/>
        <v>239300473</v>
      </c>
      <c r="BX11" s="86">
        <f t="shared" si="3"/>
        <v>2595289923</v>
      </c>
    </row>
    <row r="12" spans="1:76" x14ac:dyDescent="0.25">
      <c r="A12" s="91" t="s">
        <v>66</v>
      </c>
      <c r="B12" s="135">
        <v>1042556850</v>
      </c>
      <c r="C12" s="135">
        <v>185447050</v>
      </c>
      <c r="D12" s="135">
        <v>466577050</v>
      </c>
      <c r="E12" s="135">
        <v>0</v>
      </c>
      <c r="F12" s="135">
        <v>107425600</v>
      </c>
      <c r="G12" s="135">
        <v>9404900</v>
      </c>
      <c r="H12" s="135">
        <v>13580700</v>
      </c>
      <c r="I12" s="135">
        <v>1073800</v>
      </c>
      <c r="J12" s="135">
        <v>196500</v>
      </c>
      <c r="K12" s="135">
        <v>0</v>
      </c>
      <c r="L12" s="135">
        <v>271032280</v>
      </c>
      <c r="M12" s="135">
        <v>158948500</v>
      </c>
      <c r="N12" s="135">
        <v>3176</v>
      </c>
      <c r="O12" s="135">
        <v>293</v>
      </c>
      <c r="P12" s="135">
        <v>4231600</v>
      </c>
      <c r="Q12" s="135">
        <v>2212500</v>
      </c>
      <c r="R12" s="135">
        <v>14268000</v>
      </c>
      <c r="S12" s="135">
        <v>4278750</v>
      </c>
      <c r="T12" s="135">
        <v>237000</v>
      </c>
      <c r="U12" s="135">
        <v>16848500</v>
      </c>
      <c r="V12" s="135">
        <v>4231600</v>
      </c>
      <c r="W12" s="135">
        <v>2290000</v>
      </c>
      <c r="X12" s="135">
        <v>14268000</v>
      </c>
      <c r="Y12" s="135">
        <v>4278750</v>
      </c>
      <c r="Z12" s="135">
        <v>1405000</v>
      </c>
      <c r="AA12" s="135">
        <v>16848500</v>
      </c>
      <c r="AB12" s="135">
        <v>-17650800</v>
      </c>
      <c r="AC12" s="135">
        <v>74915</v>
      </c>
      <c r="AD12" s="135">
        <v>15056</v>
      </c>
      <c r="AE12" s="135">
        <v>0</v>
      </c>
      <c r="AF12" s="135">
        <v>0</v>
      </c>
      <c r="AG12" s="135">
        <v>97454</v>
      </c>
      <c r="AI12" s="139"/>
      <c r="AJ12" s="139"/>
      <c r="AK12" s="82">
        <v>197795753</v>
      </c>
      <c r="AL12" s="82">
        <v>4977990</v>
      </c>
      <c r="AM12" s="135">
        <v>1800</v>
      </c>
      <c r="AN12" s="135">
        <v>92532510</v>
      </c>
      <c r="AO12" s="135">
        <v>8455764</v>
      </c>
      <c r="AP12" s="135">
        <v>186200885</v>
      </c>
      <c r="AQ12" s="135">
        <v>70581737</v>
      </c>
      <c r="AR12" s="135">
        <v>137349630</v>
      </c>
      <c r="AS12" s="135">
        <v>229353235</v>
      </c>
      <c r="AT12" s="135">
        <v>1149774</v>
      </c>
      <c r="AU12" s="135">
        <v>0</v>
      </c>
      <c r="AV12" s="135">
        <v>437842</v>
      </c>
      <c r="AW12" s="135">
        <v>640340</v>
      </c>
      <c r="AX12" s="135">
        <v>196895</v>
      </c>
      <c r="AY12" s="135">
        <v>15986852</v>
      </c>
      <c r="BD12" s="82">
        <v>11875559.73</v>
      </c>
      <c r="BE12" s="82">
        <v>5937779.8700000001</v>
      </c>
      <c r="BF12" s="117">
        <v>0</v>
      </c>
      <c r="BG12" s="118">
        <v>3440046</v>
      </c>
      <c r="BH12" s="118">
        <v>6880091</v>
      </c>
      <c r="BI12" s="117">
        <v>60729218</v>
      </c>
      <c r="BJ12" s="117">
        <v>60729218</v>
      </c>
      <c r="BK12" s="117">
        <v>67676718</v>
      </c>
      <c r="BL12" s="117">
        <v>62740615</v>
      </c>
      <c r="BM12" s="117">
        <v>1502067</v>
      </c>
      <c r="BN12" s="117">
        <v>0</v>
      </c>
      <c r="BO12" s="138"/>
      <c r="BP12" s="86">
        <v>2203274429.8699999</v>
      </c>
      <c r="BQ12" s="86">
        <v>1866150961</v>
      </c>
      <c r="BR12" s="87">
        <v>2550000</v>
      </c>
      <c r="BT12" s="86">
        <v>1694580950</v>
      </c>
      <c r="BU12" s="82">
        <f t="shared" si="0"/>
        <v>197795753</v>
      </c>
      <c r="BV12" s="82">
        <f t="shared" si="1"/>
        <v>4977990</v>
      </c>
      <c r="BW12" s="86">
        <f t="shared" si="2"/>
        <v>400923246</v>
      </c>
      <c r="BX12" s="86">
        <f t="shared" si="3"/>
        <v>2298277939</v>
      </c>
    </row>
    <row r="13" spans="1:76" x14ac:dyDescent="0.25">
      <c r="A13" s="91" t="s">
        <v>67</v>
      </c>
      <c r="B13" s="135">
        <v>144594715</v>
      </c>
      <c r="C13" s="135">
        <v>105963950</v>
      </c>
      <c r="D13" s="135">
        <v>29117465</v>
      </c>
      <c r="E13" s="135">
        <v>0</v>
      </c>
      <c r="F13" s="135">
        <v>23022250</v>
      </c>
      <c r="G13" s="135">
        <v>3865240</v>
      </c>
      <c r="H13" s="135">
        <v>10287400</v>
      </c>
      <c r="I13" s="135">
        <v>872950</v>
      </c>
      <c r="J13" s="135">
        <v>0</v>
      </c>
      <c r="K13" s="135">
        <v>0</v>
      </c>
      <c r="L13" s="135">
        <v>109493225</v>
      </c>
      <c r="M13" s="135">
        <v>63922075</v>
      </c>
      <c r="N13" s="135">
        <v>916</v>
      </c>
      <c r="O13" s="135">
        <v>140</v>
      </c>
      <c r="P13" s="135">
        <v>1904600</v>
      </c>
      <c r="Q13" s="135">
        <v>1900100</v>
      </c>
      <c r="R13" s="135">
        <v>791500</v>
      </c>
      <c r="S13" s="135">
        <v>1707570</v>
      </c>
      <c r="T13" s="135">
        <v>796590</v>
      </c>
      <c r="U13" s="135">
        <v>1785500</v>
      </c>
      <c r="V13" s="135">
        <v>1904600</v>
      </c>
      <c r="W13" s="135">
        <v>2106200</v>
      </c>
      <c r="X13" s="135">
        <v>791500</v>
      </c>
      <c r="Y13" s="135">
        <v>1707570</v>
      </c>
      <c r="Z13" s="135">
        <v>579000</v>
      </c>
      <c r="AA13" s="135">
        <v>1785500</v>
      </c>
      <c r="AB13" s="135">
        <v>-606000</v>
      </c>
      <c r="AC13" s="135">
        <v>0</v>
      </c>
      <c r="AG13" s="135">
        <v>1187</v>
      </c>
      <c r="AJ13" s="139"/>
      <c r="AK13" s="82">
        <v>59576024</v>
      </c>
      <c r="AL13" s="82">
        <v>905400</v>
      </c>
      <c r="AM13" s="135">
        <v>0</v>
      </c>
      <c r="AN13" s="135">
        <v>3733747</v>
      </c>
      <c r="AO13" s="135">
        <v>35749</v>
      </c>
      <c r="AP13" s="135">
        <v>29459406</v>
      </c>
      <c r="AQ13" s="135">
        <v>2543532</v>
      </c>
      <c r="AR13" s="135">
        <v>4184711</v>
      </c>
      <c r="AS13" s="135">
        <v>6444641</v>
      </c>
      <c r="AT13" s="135">
        <v>783740</v>
      </c>
      <c r="AU13" s="135">
        <v>0</v>
      </c>
      <c r="AV13" s="135">
        <v>0</v>
      </c>
      <c r="AW13" s="135">
        <v>0</v>
      </c>
      <c r="AX13" s="135">
        <v>0</v>
      </c>
      <c r="AY13" s="135">
        <v>0</v>
      </c>
      <c r="BD13" s="82">
        <v>3576915.18</v>
      </c>
      <c r="BE13" s="82">
        <v>1788457.59</v>
      </c>
      <c r="BF13" s="117">
        <v>22000000.000000004</v>
      </c>
      <c r="BG13" s="118">
        <v>1551686</v>
      </c>
      <c r="BH13" s="118">
        <v>3103372</v>
      </c>
      <c r="BI13" s="117">
        <v>130801957</v>
      </c>
      <c r="BJ13" s="117">
        <v>130801957</v>
      </c>
      <c r="BK13" s="117">
        <v>89694424</v>
      </c>
      <c r="BL13" s="117">
        <v>85609516</v>
      </c>
      <c r="BM13" s="117">
        <v>0</v>
      </c>
      <c r="BN13" s="117">
        <v>0</v>
      </c>
      <c r="BO13" s="138"/>
      <c r="BP13" s="86">
        <v>566222198.58999991</v>
      </c>
      <c r="BQ13" s="86">
        <v>285989158</v>
      </c>
      <c r="BR13" s="87"/>
      <c r="BT13" s="86">
        <v>279676130</v>
      </c>
      <c r="BU13" s="82">
        <f t="shared" si="0"/>
        <v>59576024</v>
      </c>
      <c r="BV13" s="82">
        <f t="shared" si="1"/>
        <v>905400</v>
      </c>
      <c r="BW13" s="86">
        <f t="shared" si="2"/>
        <v>12757669</v>
      </c>
      <c r="BX13" s="86">
        <f t="shared" si="3"/>
        <v>352915223</v>
      </c>
    </row>
    <row r="14" spans="1:76" x14ac:dyDescent="0.25">
      <c r="A14" s="91" t="s">
        <v>68</v>
      </c>
      <c r="B14" s="135">
        <v>138741993</v>
      </c>
      <c r="C14" s="135">
        <v>79743919</v>
      </c>
      <c r="D14" s="135">
        <v>79961314</v>
      </c>
      <c r="E14" s="135">
        <v>0</v>
      </c>
      <c r="F14" s="135">
        <v>23218790</v>
      </c>
      <c r="G14" s="135">
        <v>36690010</v>
      </c>
      <c r="H14" s="135">
        <v>11386252</v>
      </c>
      <c r="I14" s="135">
        <v>12416695</v>
      </c>
      <c r="J14" s="135">
        <v>235800</v>
      </c>
      <c r="K14" s="135">
        <v>157200</v>
      </c>
      <c r="L14" s="135">
        <v>74430300</v>
      </c>
      <c r="M14" s="135">
        <v>48982210</v>
      </c>
      <c r="N14" s="135">
        <v>1005</v>
      </c>
      <c r="O14" s="135">
        <v>1531</v>
      </c>
      <c r="P14" s="135">
        <v>2454075</v>
      </c>
      <c r="Q14" s="135">
        <v>303800</v>
      </c>
      <c r="R14" s="135">
        <v>273000</v>
      </c>
      <c r="S14" s="135">
        <v>4270291</v>
      </c>
      <c r="T14" s="135">
        <v>1274115</v>
      </c>
      <c r="U14" s="135">
        <v>5309300</v>
      </c>
      <c r="V14" s="135">
        <v>2454075</v>
      </c>
      <c r="W14" s="135">
        <v>333000</v>
      </c>
      <c r="X14" s="135">
        <v>273000</v>
      </c>
      <c r="Y14" s="135">
        <v>4270291</v>
      </c>
      <c r="Z14" s="135">
        <v>750500</v>
      </c>
      <c r="AA14" s="135">
        <v>5309300</v>
      </c>
      <c r="AB14" s="135">
        <v>-3396667</v>
      </c>
      <c r="AC14" s="135">
        <v>0</v>
      </c>
      <c r="AD14" s="135">
        <v>259293</v>
      </c>
      <c r="AG14" s="135">
        <v>278354</v>
      </c>
      <c r="AH14" s="135">
        <v>507245.9</v>
      </c>
      <c r="AI14" s="135">
        <v>1506795.08</v>
      </c>
      <c r="AJ14" s="139">
        <v>7780663.9299999997</v>
      </c>
      <c r="AK14" s="82">
        <v>65934267</v>
      </c>
      <c r="AL14" s="82">
        <v>1175050</v>
      </c>
      <c r="AM14" s="135">
        <v>0</v>
      </c>
      <c r="AN14" s="135">
        <v>11135367</v>
      </c>
      <c r="AO14" s="135">
        <v>270947</v>
      </c>
      <c r="AP14" s="135">
        <v>1771439</v>
      </c>
      <c r="AQ14" s="135">
        <v>11279038</v>
      </c>
      <c r="AR14" s="135">
        <v>2673325</v>
      </c>
      <c r="AS14" s="135">
        <v>0</v>
      </c>
      <c r="AT14" s="135">
        <f>279452+336</f>
        <v>279788</v>
      </c>
      <c r="AU14" s="135">
        <v>0</v>
      </c>
      <c r="AV14" s="135">
        <v>0</v>
      </c>
      <c r="AW14" s="135">
        <v>0</v>
      </c>
      <c r="AX14" s="135">
        <v>0</v>
      </c>
      <c r="AY14" s="135">
        <v>0</v>
      </c>
      <c r="BD14" s="82">
        <v>3958660.96</v>
      </c>
      <c r="BE14" s="82">
        <v>1979330.48</v>
      </c>
      <c r="BF14" s="117">
        <v>0</v>
      </c>
      <c r="BG14" s="118">
        <v>2587330</v>
      </c>
      <c r="BH14" s="118">
        <v>5174660</v>
      </c>
      <c r="BI14" s="117">
        <v>14265601</v>
      </c>
      <c r="BJ14" s="117">
        <v>14265601</v>
      </c>
      <c r="BK14" s="117">
        <v>48432877</v>
      </c>
      <c r="BL14" s="117">
        <v>43014314</v>
      </c>
      <c r="BM14" s="117">
        <v>0</v>
      </c>
      <c r="BN14" s="117">
        <v>0</v>
      </c>
      <c r="BO14" s="138"/>
      <c r="BP14" s="86">
        <v>459883175.38999999</v>
      </c>
      <c r="BQ14" s="86">
        <v>330927282.90999997</v>
      </c>
      <c r="BR14" s="87">
        <v>1458077</v>
      </c>
      <c r="BT14" s="86">
        <v>298447226</v>
      </c>
      <c r="BU14" s="82">
        <f t="shared" si="0"/>
        <v>65934267</v>
      </c>
      <c r="BV14" s="82">
        <f t="shared" si="1"/>
        <v>1175050</v>
      </c>
      <c r="BW14" s="86">
        <f t="shared" si="2"/>
        <v>22685352</v>
      </c>
      <c r="BX14" s="86">
        <f t="shared" si="3"/>
        <v>388241895</v>
      </c>
    </row>
    <row r="15" spans="1:76" x14ac:dyDescent="0.25">
      <c r="A15" s="91" t="s">
        <v>69</v>
      </c>
      <c r="B15" s="135">
        <v>604881161</v>
      </c>
      <c r="C15" s="135">
        <v>239172241</v>
      </c>
      <c r="D15" s="135">
        <v>88836725</v>
      </c>
      <c r="E15" s="135">
        <v>0</v>
      </c>
      <c r="F15" s="135">
        <v>59792611</v>
      </c>
      <c r="G15" s="135">
        <v>10680375</v>
      </c>
      <c r="H15" s="135">
        <v>22933644</v>
      </c>
      <c r="I15" s="135">
        <v>1987105</v>
      </c>
      <c r="J15" s="135">
        <v>78600</v>
      </c>
      <c r="K15" s="135">
        <v>60000</v>
      </c>
      <c r="L15" s="135">
        <v>450886867</v>
      </c>
      <c r="M15" s="135">
        <v>140342500</v>
      </c>
      <c r="N15" s="135">
        <v>2265</v>
      </c>
      <c r="O15" s="135">
        <v>400</v>
      </c>
      <c r="P15" s="135">
        <v>9631000</v>
      </c>
      <c r="Q15" s="135">
        <v>4510850</v>
      </c>
      <c r="R15" s="135">
        <v>793000</v>
      </c>
      <c r="S15" s="135">
        <v>4078745</v>
      </c>
      <c r="T15" s="135">
        <v>611500</v>
      </c>
      <c r="U15" s="135">
        <v>470600</v>
      </c>
      <c r="V15" s="135">
        <v>9631000</v>
      </c>
      <c r="W15" s="135">
        <v>4979600</v>
      </c>
      <c r="X15" s="135">
        <v>793000</v>
      </c>
      <c r="Y15" s="135">
        <v>4078745</v>
      </c>
      <c r="Z15" s="135">
        <v>651900</v>
      </c>
      <c r="AA15" s="135">
        <v>470600</v>
      </c>
      <c r="AB15" s="135">
        <v>-1463700</v>
      </c>
      <c r="AC15" s="135">
        <v>-26344</v>
      </c>
      <c r="AD15" s="135">
        <v>148282</v>
      </c>
      <c r="AE15" s="135">
        <v>0</v>
      </c>
      <c r="AF15" s="135">
        <v>0</v>
      </c>
      <c r="AG15" s="135">
        <v>345663</v>
      </c>
      <c r="AH15" s="135">
        <v>1299368.8500000001</v>
      </c>
      <c r="AI15" s="135">
        <v>735852.46</v>
      </c>
      <c r="AJ15" s="139">
        <v>0</v>
      </c>
      <c r="AK15" s="82">
        <v>140598216</v>
      </c>
      <c r="AL15" s="82">
        <v>20273917</v>
      </c>
      <c r="AM15" s="135">
        <v>407500</v>
      </c>
      <c r="AN15" s="135">
        <v>19956404</v>
      </c>
      <c r="AO15" s="135">
        <v>268136</v>
      </c>
      <c r="AP15" s="135">
        <v>17830763</v>
      </c>
      <c r="AQ15" s="135">
        <v>18292880</v>
      </c>
      <c r="AR15" s="135">
        <v>19217215</v>
      </c>
      <c r="AS15" s="135">
        <v>0</v>
      </c>
      <c r="AT15" s="135">
        <v>2059293</v>
      </c>
      <c r="AU15" s="135">
        <v>0</v>
      </c>
      <c r="AV15" s="135">
        <v>0</v>
      </c>
      <c r="AW15" s="135">
        <v>859995</v>
      </c>
      <c r="AX15" s="135">
        <v>0</v>
      </c>
      <c r="AY15" s="135">
        <v>125190</v>
      </c>
      <c r="BD15" s="82">
        <v>8441447.7400000002</v>
      </c>
      <c r="BE15" s="82">
        <v>4220723.87</v>
      </c>
      <c r="BF15" s="117">
        <v>25761658.031088084</v>
      </c>
      <c r="BG15" s="118">
        <v>2113283</v>
      </c>
      <c r="BH15" s="118">
        <v>4226565</v>
      </c>
      <c r="BI15" s="117">
        <v>48507631</v>
      </c>
      <c r="BJ15" s="117">
        <v>48507631</v>
      </c>
      <c r="BK15" s="117">
        <v>107725712</v>
      </c>
      <c r="BL15" s="117">
        <v>105469084</v>
      </c>
      <c r="BM15" s="117">
        <v>0</v>
      </c>
      <c r="BN15" s="117">
        <v>0</v>
      </c>
      <c r="BO15" s="138"/>
      <c r="BP15" s="86">
        <v>1294625623.1799998</v>
      </c>
      <c r="BQ15" s="86">
        <v>973442768.31000006</v>
      </c>
      <c r="BR15" s="87">
        <v>1937700</v>
      </c>
      <c r="BT15" s="86">
        <v>932890127</v>
      </c>
      <c r="BU15" s="82">
        <f t="shared" si="0"/>
        <v>140598216</v>
      </c>
      <c r="BV15" s="82">
        <f t="shared" si="1"/>
        <v>20273917</v>
      </c>
      <c r="BW15" s="86">
        <f t="shared" si="2"/>
        <v>38517420</v>
      </c>
      <c r="BX15" s="86">
        <f t="shared" si="3"/>
        <v>1132279680</v>
      </c>
    </row>
    <row r="16" spans="1:76" x14ac:dyDescent="0.25">
      <c r="A16" s="91" t="s">
        <v>70</v>
      </c>
      <c r="B16" s="135">
        <v>4200268783</v>
      </c>
      <c r="C16" s="135">
        <v>266981661</v>
      </c>
      <c r="D16" s="135">
        <v>1281416091</v>
      </c>
      <c r="E16" s="135">
        <v>29974897</v>
      </c>
      <c r="F16" s="135">
        <v>237505912</v>
      </c>
      <c r="G16" s="135">
        <v>41337136</v>
      </c>
      <c r="H16" s="135">
        <v>19905003</v>
      </c>
      <c r="I16" s="135">
        <v>2649102</v>
      </c>
      <c r="J16" s="135">
        <v>353700</v>
      </c>
      <c r="K16" s="135">
        <v>0</v>
      </c>
      <c r="L16" s="135">
        <v>334708030</v>
      </c>
      <c r="M16" s="135">
        <v>177057457</v>
      </c>
      <c r="N16" s="135">
        <v>6685</v>
      </c>
      <c r="O16" s="135">
        <v>1197</v>
      </c>
      <c r="P16" s="135">
        <v>121173397</v>
      </c>
      <c r="Q16" s="135">
        <v>8764396</v>
      </c>
      <c r="R16" s="135">
        <v>118103614</v>
      </c>
      <c r="S16" s="135">
        <v>12592735</v>
      </c>
      <c r="T16" s="135">
        <v>8648761</v>
      </c>
      <c r="U16" s="135">
        <v>1275783</v>
      </c>
      <c r="V16" s="135">
        <v>121173397</v>
      </c>
      <c r="W16" s="135">
        <v>10672116</v>
      </c>
      <c r="X16" s="135">
        <v>118103614</v>
      </c>
      <c r="Y16" s="135">
        <v>12592735</v>
      </c>
      <c r="Z16" s="135">
        <v>13143380</v>
      </c>
      <c r="AA16" s="135">
        <v>1275783</v>
      </c>
      <c r="AB16" s="135">
        <v>49626134</v>
      </c>
      <c r="AC16" s="135">
        <v>-11966451</v>
      </c>
      <c r="AD16" s="135">
        <v>24621</v>
      </c>
      <c r="AE16" s="135">
        <v>552</v>
      </c>
      <c r="AF16" s="135">
        <v>16089644</v>
      </c>
      <c r="AG16" s="135">
        <v>85772</v>
      </c>
      <c r="AH16" s="135">
        <v>0</v>
      </c>
      <c r="AI16" s="135">
        <v>1097393.44</v>
      </c>
      <c r="AJ16" s="139">
        <v>0</v>
      </c>
      <c r="AK16" s="82">
        <v>294668020</v>
      </c>
      <c r="AL16" s="82">
        <v>20830434</v>
      </c>
      <c r="AM16" s="135">
        <v>6000</v>
      </c>
      <c r="AN16" s="135">
        <v>222539972</v>
      </c>
      <c r="AO16" s="135">
        <v>6296973</v>
      </c>
      <c r="AP16" s="135">
        <v>223648700</v>
      </c>
      <c r="AQ16" s="135">
        <v>404794966</v>
      </c>
      <c r="AR16" s="135">
        <v>3014259078</v>
      </c>
      <c r="AS16" s="135">
        <v>5439036750</v>
      </c>
      <c r="AT16" s="135">
        <f>677497+13631081</f>
        <v>14308578</v>
      </c>
      <c r="AU16" s="135">
        <v>0</v>
      </c>
      <c r="AV16" s="135">
        <v>0</v>
      </c>
      <c r="AW16" s="135">
        <v>7645333</v>
      </c>
      <c r="AX16" s="135">
        <v>1431132</v>
      </c>
      <c r="AY16" s="135">
        <v>132100</v>
      </c>
      <c r="BD16" s="82">
        <v>35703575.450000003</v>
      </c>
      <c r="BE16" s="82">
        <v>17851787.73</v>
      </c>
      <c r="BF16" s="117">
        <v>0</v>
      </c>
      <c r="BG16" s="118">
        <v>3228646</v>
      </c>
      <c r="BH16" s="118">
        <v>6457292</v>
      </c>
      <c r="BI16" s="117">
        <v>34926093</v>
      </c>
      <c r="BJ16" s="117">
        <v>34704084</v>
      </c>
      <c r="BK16" s="117">
        <v>81866389</v>
      </c>
      <c r="BL16" s="117">
        <v>78562931</v>
      </c>
      <c r="BM16" s="117">
        <v>266973949</v>
      </c>
      <c r="BN16" s="117">
        <v>0</v>
      </c>
      <c r="BO16" s="138"/>
      <c r="BP16" s="86">
        <v>7100215691.1699991</v>
      </c>
      <c r="BQ16" s="86">
        <v>6383395839.4399996</v>
      </c>
      <c r="BR16" s="87">
        <v>6784350</v>
      </c>
      <c r="BT16" s="86">
        <v>5748666535</v>
      </c>
      <c r="BU16" s="82">
        <f t="shared" si="0"/>
        <v>294668020</v>
      </c>
      <c r="BV16" s="82">
        <f t="shared" si="1"/>
        <v>20830434</v>
      </c>
      <c r="BW16" s="86">
        <f t="shared" si="2"/>
        <v>6072668661</v>
      </c>
      <c r="BX16" s="86">
        <f t="shared" si="3"/>
        <v>12136833650</v>
      </c>
    </row>
    <row r="17" spans="1:76" x14ac:dyDescent="0.25">
      <c r="A17" s="91" t="s">
        <v>71</v>
      </c>
      <c r="B17" s="135">
        <v>199906500</v>
      </c>
      <c r="C17" s="135">
        <v>155184340</v>
      </c>
      <c r="D17" s="135">
        <v>67916560</v>
      </c>
      <c r="E17" s="135">
        <v>0</v>
      </c>
      <c r="F17" s="135">
        <v>25095750</v>
      </c>
      <c r="G17" s="135">
        <v>10104800</v>
      </c>
      <c r="H17" s="135">
        <v>13818300</v>
      </c>
      <c r="I17" s="135">
        <v>3629900</v>
      </c>
      <c r="J17" s="135">
        <v>0</v>
      </c>
      <c r="K17" s="135">
        <v>0</v>
      </c>
      <c r="L17" s="135">
        <v>247836604</v>
      </c>
      <c r="M17" s="135">
        <v>88246600</v>
      </c>
      <c r="N17" s="135">
        <v>1073</v>
      </c>
      <c r="O17" s="135">
        <v>413</v>
      </c>
      <c r="P17" s="135">
        <v>3205310</v>
      </c>
      <c r="Q17" s="135">
        <v>1865400</v>
      </c>
      <c r="R17" s="135">
        <v>268700</v>
      </c>
      <c r="S17" s="135">
        <v>303000</v>
      </c>
      <c r="T17" s="135">
        <v>150470</v>
      </c>
      <c r="U17" s="135">
        <v>19000</v>
      </c>
      <c r="V17" s="135">
        <v>3205310</v>
      </c>
      <c r="W17" s="135">
        <v>1819190</v>
      </c>
      <c r="X17" s="135">
        <v>268700</v>
      </c>
      <c r="Y17" s="135">
        <v>303000</v>
      </c>
      <c r="Z17" s="135">
        <v>22500</v>
      </c>
      <c r="AA17" s="135">
        <v>19000</v>
      </c>
      <c r="AB17" s="135">
        <v>-896400</v>
      </c>
      <c r="AC17" s="135">
        <v>0</v>
      </c>
      <c r="AD17" s="135">
        <v>151542</v>
      </c>
      <c r="AE17" s="135">
        <v>0</v>
      </c>
      <c r="AF17" s="135">
        <v>23059150</v>
      </c>
      <c r="AG17" s="135">
        <v>255110</v>
      </c>
      <c r="AH17" s="135">
        <v>147778.69</v>
      </c>
      <c r="AI17" s="135">
        <v>146057.37</v>
      </c>
      <c r="AJ17" s="139">
        <v>0</v>
      </c>
      <c r="AK17" s="82">
        <v>92248172</v>
      </c>
      <c r="AL17" s="82">
        <v>2459560</v>
      </c>
      <c r="AM17" s="135">
        <v>0</v>
      </c>
      <c r="AN17" s="135">
        <v>18071708</v>
      </c>
      <c r="AO17" s="135">
        <v>2160133</v>
      </c>
      <c r="AP17" s="135">
        <v>35264500</v>
      </c>
      <c r="AQ17" s="135">
        <v>8516335</v>
      </c>
      <c r="AR17" s="135">
        <v>31978479</v>
      </c>
      <c r="AS17" s="135">
        <v>848971</v>
      </c>
      <c r="AT17" s="135">
        <v>1688619</v>
      </c>
      <c r="AU17" s="135">
        <v>0</v>
      </c>
      <c r="AV17" s="135">
        <v>0</v>
      </c>
      <c r="AW17" s="135">
        <v>0</v>
      </c>
      <c r="AX17" s="135">
        <v>0</v>
      </c>
      <c r="AY17" s="135">
        <v>0</v>
      </c>
      <c r="BD17" s="82">
        <v>5538534.8799999999</v>
      </c>
      <c r="BE17" s="82">
        <v>2769267.44</v>
      </c>
      <c r="BF17" s="117">
        <v>0</v>
      </c>
      <c r="BG17" s="118">
        <v>0</v>
      </c>
      <c r="BH17" s="118">
        <v>0</v>
      </c>
      <c r="BI17" s="117">
        <v>2619654</v>
      </c>
      <c r="BJ17" s="117">
        <v>2619654</v>
      </c>
      <c r="BK17" s="117">
        <v>22966433</v>
      </c>
      <c r="BL17" s="117">
        <v>22966433</v>
      </c>
      <c r="BM17" s="117">
        <v>0</v>
      </c>
      <c r="BN17" s="117">
        <v>0</v>
      </c>
      <c r="BO17" s="138"/>
      <c r="BP17" s="86">
        <v>575112498.5</v>
      </c>
      <c r="BQ17" s="86">
        <v>452049412.06</v>
      </c>
      <c r="BR17" s="87">
        <v>1184600</v>
      </c>
      <c r="BT17" s="86">
        <v>423007400</v>
      </c>
      <c r="BU17" s="82">
        <f t="shared" si="0"/>
        <v>92248172</v>
      </c>
      <c r="BV17" s="82">
        <f t="shared" si="1"/>
        <v>2459560</v>
      </c>
      <c r="BW17" s="86">
        <f t="shared" si="2"/>
        <v>29597147</v>
      </c>
      <c r="BX17" s="86">
        <f t="shared" si="3"/>
        <v>547312279</v>
      </c>
    </row>
    <row r="18" spans="1:76" x14ac:dyDescent="0.25">
      <c r="A18" s="91" t="s">
        <v>72</v>
      </c>
      <c r="B18" s="135">
        <v>245046753</v>
      </c>
      <c r="C18" s="135">
        <v>125450167</v>
      </c>
      <c r="D18" s="135">
        <v>102638463</v>
      </c>
      <c r="E18" s="135">
        <v>3700000</v>
      </c>
      <c r="F18" s="135">
        <v>39537559</v>
      </c>
      <c r="G18" s="135">
        <v>11337270</v>
      </c>
      <c r="H18" s="135">
        <v>11145774</v>
      </c>
      <c r="I18" s="135">
        <v>1890387</v>
      </c>
      <c r="J18" s="135">
        <v>80100</v>
      </c>
      <c r="K18" s="135">
        <v>36900</v>
      </c>
      <c r="L18" s="135">
        <v>292676021</v>
      </c>
      <c r="M18" s="135">
        <v>67781466</v>
      </c>
      <c r="N18" s="135">
        <v>1365</v>
      </c>
      <c r="O18" s="135">
        <v>386</v>
      </c>
      <c r="P18" s="135">
        <v>2030673</v>
      </c>
      <c r="Q18" s="135">
        <v>1681500</v>
      </c>
      <c r="R18" s="135">
        <v>263000</v>
      </c>
      <c r="S18" s="135">
        <v>1357812</v>
      </c>
      <c r="T18" s="135">
        <v>77698</v>
      </c>
      <c r="U18" s="135">
        <v>727500</v>
      </c>
      <c r="V18" s="135">
        <v>2030673</v>
      </c>
      <c r="W18" s="135">
        <v>1713500</v>
      </c>
      <c r="X18" s="135">
        <v>263000</v>
      </c>
      <c r="Y18" s="135">
        <v>1357812</v>
      </c>
      <c r="Z18" s="135">
        <v>1880660</v>
      </c>
      <c r="AA18" s="135">
        <v>727500</v>
      </c>
      <c r="AB18" s="135">
        <v>-2863970</v>
      </c>
      <c r="AC18" s="135">
        <v>0</v>
      </c>
      <c r="AD18" s="135">
        <v>24721</v>
      </c>
      <c r="AE18" s="135">
        <v>46641</v>
      </c>
      <c r="AF18" s="135">
        <v>32440160</v>
      </c>
      <c r="AG18" s="135">
        <v>199863</v>
      </c>
      <c r="AH18" s="135">
        <v>1122.95</v>
      </c>
      <c r="AI18" s="135">
        <v>179786.89</v>
      </c>
      <c r="AJ18" s="139">
        <v>0</v>
      </c>
      <c r="AK18" s="82">
        <v>95797694</v>
      </c>
      <c r="AL18" s="82">
        <v>2798642</v>
      </c>
      <c r="AM18" s="135">
        <v>0</v>
      </c>
      <c r="AN18" s="135">
        <v>23763270</v>
      </c>
      <c r="AO18" s="135">
        <v>9970639</v>
      </c>
      <c r="AP18" s="135">
        <v>104793159</v>
      </c>
      <c r="AQ18" s="135">
        <v>29114950</v>
      </c>
      <c r="AR18" s="135">
        <v>51506067</v>
      </c>
      <c r="AS18" s="135">
        <v>28725172</v>
      </c>
      <c r="AT18" s="135">
        <v>2263995</v>
      </c>
      <c r="AU18" s="135">
        <v>17885</v>
      </c>
      <c r="AV18" s="135">
        <v>0</v>
      </c>
      <c r="AW18" s="135">
        <v>0</v>
      </c>
      <c r="AX18" s="135">
        <v>92919</v>
      </c>
      <c r="AY18" s="135">
        <v>982900</v>
      </c>
      <c r="BD18" s="82">
        <v>5751646.4299999997</v>
      </c>
      <c r="BE18" s="82">
        <v>2875823.22</v>
      </c>
      <c r="BF18" s="117">
        <v>0</v>
      </c>
      <c r="BG18" s="118">
        <v>1571616</v>
      </c>
      <c r="BH18" s="118">
        <v>3143232</v>
      </c>
      <c r="BI18" s="117">
        <v>26869503</v>
      </c>
      <c r="BJ18" s="117">
        <v>22899642</v>
      </c>
      <c r="BK18" s="117">
        <v>27364042</v>
      </c>
      <c r="BL18" s="117">
        <v>25371634</v>
      </c>
      <c r="BM18" s="117">
        <v>0</v>
      </c>
      <c r="BN18" s="117">
        <v>13628537</v>
      </c>
      <c r="BO18" s="138"/>
      <c r="BP18" s="86">
        <v>701108740.05999994</v>
      </c>
      <c r="BQ18" s="86">
        <v>536165151.83999997</v>
      </c>
      <c r="BR18" s="87">
        <v>399000</v>
      </c>
      <c r="BT18" s="86">
        <v>473135383</v>
      </c>
      <c r="BU18" s="82">
        <f t="shared" si="0"/>
        <v>95797694</v>
      </c>
      <c r="BV18" s="82">
        <f t="shared" si="1"/>
        <v>2798642</v>
      </c>
      <c r="BW18" s="86">
        <f t="shared" si="2"/>
        <v>91574031</v>
      </c>
      <c r="BX18" s="86">
        <f t="shared" si="3"/>
        <v>663305750</v>
      </c>
    </row>
    <row r="19" spans="1:76" ht="12.75" customHeight="1" x14ac:dyDescent="0.25">
      <c r="A19" s="91" t="s">
        <v>73</v>
      </c>
      <c r="B19" s="135">
        <v>1402402073</v>
      </c>
      <c r="C19" s="135">
        <v>260195797</v>
      </c>
      <c r="D19" s="135">
        <v>414284523</v>
      </c>
      <c r="E19" s="135">
        <v>0</v>
      </c>
      <c r="F19" s="135">
        <v>115022350</v>
      </c>
      <c r="G19" s="135">
        <v>10439361</v>
      </c>
      <c r="H19" s="135">
        <v>18742100</v>
      </c>
      <c r="I19" s="135">
        <v>951600</v>
      </c>
      <c r="J19" s="135">
        <v>157200</v>
      </c>
      <c r="K19" s="135">
        <v>78600</v>
      </c>
      <c r="L19" s="135">
        <v>638447681</v>
      </c>
      <c r="M19" s="135">
        <v>158938703</v>
      </c>
      <c r="N19" s="135">
        <v>3566</v>
      </c>
      <c r="O19" s="135">
        <v>339</v>
      </c>
      <c r="P19" s="135">
        <v>14177719</v>
      </c>
      <c r="Q19" s="135">
        <v>190000</v>
      </c>
      <c r="R19" s="135">
        <v>9630000</v>
      </c>
      <c r="S19" s="135">
        <v>6637212</v>
      </c>
      <c r="T19" s="135">
        <v>354000</v>
      </c>
      <c r="U19" s="135">
        <v>2126636</v>
      </c>
      <c r="V19" s="135">
        <v>14177719</v>
      </c>
      <c r="W19" s="135">
        <v>606000</v>
      </c>
      <c r="X19" s="135">
        <v>9630000</v>
      </c>
      <c r="Y19" s="135">
        <v>6637212</v>
      </c>
      <c r="Z19" s="135">
        <v>875000</v>
      </c>
      <c r="AA19" s="135">
        <v>2126636</v>
      </c>
      <c r="AB19" s="135">
        <v>-6983850</v>
      </c>
      <c r="AC19" s="135">
        <v>-113774</v>
      </c>
      <c r="AD19" s="135">
        <v>66704</v>
      </c>
      <c r="AE19" s="135">
        <v>4681</v>
      </c>
      <c r="AF19" s="135">
        <v>2340500</v>
      </c>
      <c r="AG19" s="135">
        <v>202315</v>
      </c>
      <c r="AH19" s="135">
        <v>0</v>
      </c>
      <c r="AI19" s="135">
        <v>40172.129999999997</v>
      </c>
      <c r="AJ19" s="139">
        <v>0</v>
      </c>
      <c r="AK19" s="82">
        <v>278896658</v>
      </c>
      <c r="AL19" s="82">
        <v>13602807</v>
      </c>
      <c r="AM19" s="135">
        <v>2150917</v>
      </c>
      <c r="AN19" s="135">
        <v>59518372</v>
      </c>
      <c r="AO19" s="135">
        <v>6226419</v>
      </c>
      <c r="AP19" s="135">
        <v>145270840</v>
      </c>
      <c r="AQ19" s="135">
        <v>58606661</v>
      </c>
      <c r="AR19" s="135">
        <v>83756518</v>
      </c>
      <c r="AS19" s="135">
        <v>76748725</v>
      </c>
      <c r="AT19" s="135">
        <v>5335180</v>
      </c>
      <c r="AU19" s="135">
        <v>0</v>
      </c>
      <c r="AV19" s="135">
        <v>0</v>
      </c>
      <c r="AW19" s="135">
        <v>367640</v>
      </c>
      <c r="AX19" s="135">
        <v>12114993</v>
      </c>
      <c r="AY19" s="135">
        <v>237000</v>
      </c>
      <c r="BD19" s="82">
        <v>16744818.18</v>
      </c>
      <c r="BE19" s="82">
        <v>8372409.0899999999</v>
      </c>
      <c r="BF19" s="117">
        <v>10658031.0880829</v>
      </c>
      <c r="BG19" s="118">
        <v>864816</v>
      </c>
      <c r="BH19" s="118">
        <v>1729632</v>
      </c>
      <c r="BI19" s="117">
        <v>3211625</v>
      </c>
      <c r="BJ19" s="117">
        <v>3211625</v>
      </c>
      <c r="BK19" s="117">
        <v>50719808</v>
      </c>
      <c r="BL19" s="117">
        <v>49864943</v>
      </c>
      <c r="BM19" s="117">
        <v>0</v>
      </c>
      <c r="BN19" s="117">
        <v>10729456</v>
      </c>
      <c r="BO19" s="138"/>
      <c r="BP19" s="86">
        <v>2566816731.2200003</v>
      </c>
      <c r="BQ19" s="86">
        <v>2201274017.1300001</v>
      </c>
      <c r="BR19" s="87">
        <v>3039753</v>
      </c>
      <c r="BT19" s="86">
        <v>2076882393</v>
      </c>
      <c r="BU19" s="82">
        <f t="shared" si="0"/>
        <v>278896658</v>
      </c>
      <c r="BV19" s="82">
        <f t="shared" si="1"/>
        <v>13602807</v>
      </c>
      <c r="BW19" s="86">
        <f t="shared" si="2"/>
        <v>201100177</v>
      </c>
      <c r="BX19" s="86">
        <f t="shared" si="3"/>
        <v>2570482035</v>
      </c>
    </row>
    <row r="20" spans="1:76" x14ac:dyDescent="0.25">
      <c r="A20" s="91" t="s">
        <v>74</v>
      </c>
      <c r="B20" s="135">
        <v>4653368031</v>
      </c>
      <c r="C20" s="135">
        <v>189345910</v>
      </c>
      <c r="D20" s="135">
        <v>1227488880</v>
      </c>
      <c r="E20" s="135">
        <v>0</v>
      </c>
      <c r="F20" s="135">
        <v>287527747</v>
      </c>
      <c r="G20" s="135">
        <v>31448676</v>
      </c>
      <c r="H20" s="135">
        <v>15349200</v>
      </c>
      <c r="I20" s="135">
        <v>1375500</v>
      </c>
      <c r="J20" s="135">
        <v>933900</v>
      </c>
      <c r="K20" s="135">
        <v>117900</v>
      </c>
      <c r="L20" s="135">
        <v>224611204</v>
      </c>
      <c r="M20" s="135">
        <v>413957114</v>
      </c>
      <c r="N20" s="135">
        <v>7782</v>
      </c>
      <c r="O20" s="135">
        <v>855</v>
      </c>
      <c r="P20" s="135">
        <v>48409691</v>
      </c>
      <c r="Q20" s="135">
        <v>5790600</v>
      </c>
      <c r="R20" s="135">
        <v>26589653</v>
      </c>
      <c r="S20" s="135">
        <v>18514759</v>
      </c>
      <c r="T20" s="135">
        <v>2872000</v>
      </c>
      <c r="U20" s="135">
        <v>13549589</v>
      </c>
      <c r="V20" s="135">
        <v>48409691</v>
      </c>
      <c r="W20" s="135">
        <v>5790600</v>
      </c>
      <c r="X20" s="135">
        <v>26589653</v>
      </c>
      <c r="Y20" s="135">
        <v>18514759</v>
      </c>
      <c r="Z20" s="135">
        <v>2872000</v>
      </c>
      <c r="AA20" s="135">
        <v>13549589</v>
      </c>
      <c r="AB20" s="135">
        <v>-10587874</v>
      </c>
      <c r="AC20" s="135">
        <v>-1301503</v>
      </c>
      <c r="AD20" s="135">
        <v>0</v>
      </c>
      <c r="AE20" s="135">
        <v>0</v>
      </c>
      <c r="AF20" s="135">
        <v>0</v>
      </c>
      <c r="AG20" s="135">
        <v>0</v>
      </c>
      <c r="AJ20" s="139"/>
      <c r="AK20" s="82">
        <v>655014351</v>
      </c>
      <c r="AL20" s="82">
        <v>10152716</v>
      </c>
      <c r="AM20" s="135">
        <v>643712</v>
      </c>
      <c r="AN20" s="135">
        <v>154322200</v>
      </c>
      <c r="AO20" s="135">
        <v>19475374</v>
      </c>
      <c r="AP20" s="135">
        <v>246188962</v>
      </c>
      <c r="AQ20" s="135">
        <v>129402811</v>
      </c>
      <c r="AR20" s="135">
        <v>93826446</v>
      </c>
      <c r="AS20" s="135">
        <v>13736942</v>
      </c>
      <c r="AT20" s="135">
        <v>242487</v>
      </c>
      <c r="AU20" s="135">
        <v>0</v>
      </c>
      <c r="AV20" s="135">
        <v>0</v>
      </c>
      <c r="AW20" s="135">
        <v>622787</v>
      </c>
      <c r="AX20" s="135">
        <v>2820033</v>
      </c>
      <c r="AY20" s="135">
        <v>0</v>
      </c>
      <c r="BD20" s="82">
        <v>39326739.490000002</v>
      </c>
      <c r="BE20" s="82">
        <v>19663369.75</v>
      </c>
      <c r="BF20" s="117">
        <v>34082901.55440414</v>
      </c>
      <c r="BG20" s="118">
        <v>2519711</v>
      </c>
      <c r="BH20" s="118">
        <v>5039421</v>
      </c>
      <c r="BI20" s="117">
        <v>97854014</v>
      </c>
      <c r="BJ20" s="117">
        <v>97854014</v>
      </c>
      <c r="BK20" s="117">
        <v>167487448</v>
      </c>
      <c r="BL20" s="117">
        <v>162052167</v>
      </c>
      <c r="BM20" s="117">
        <v>1002462</v>
      </c>
      <c r="BN20" s="117">
        <v>0</v>
      </c>
      <c r="BO20" s="138"/>
      <c r="BP20" s="86">
        <v>7321661996.75</v>
      </c>
      <c r="BQ20" s="86">
        <v>6373403206</v>
      </c>
      <c r="BR20" s="87">
        <v>7306140</v>
      </c>
      <c r="BT20" s="86">
        <v>6070202821</v>
      </c>
      <c r="BU20" s="82">
        <f t="shared" si="0"/>
        <v>655014351</v>
      </c>
      <c r="BV20" s="82">
        <f t="shared" si="1"/>
        <v>10152716</v>
      </c>
      <c r="BW20" s="86">
        <f t="shared" si="2"/>
        <v>316937327</v>
      </c>
      <c r="BX20" s="86">
        <f t="shared" si="3"/>
        <v>7052307215</v>
      </c>
    </row>
    <row r="21" spans="1:76" x14ac:dyDescent="0.25">
      <c r="A21" s="91" t="s">
        <v>75</v>
      </c>
      <c r="B21" s="135">
        <v>77643099</v>
      </c>
      <c r="C21" s="135">
        <v>94570151</v>
      </c>
      <c r="D21" s="135">
        <v>18347192</v>
      </c>
      <c r="E21" s="135">
        <v>0</v>
      </c>
      <c r="F21" s="135">
        <v>15361219</v>
      </c>
      <c r="G21" s="135">
        <v>5992700</v>
      </c>
      <c r="H21" s="135">
        <v>7113623</v>
      </c>
      <c r="I21" s="135">
        <v>1289707</v>
      </c>
      <c r="J21" s="135">
        <v>0</v>
      </c>
      <c r="K21" s="135">
        <v>0</v>
      </c>
      <c r="L21" s="135">
        <v>395417272</v>
      </c>
      <c r="M21" s="135">
        <v>32275020</v>
      </c>
      <c r="N21" s="135">
        <v>630</v>
      </c>
      <c r="O21" s="135">
        <v>216</v>
      </c>
      <c r="P21" s="135">
        <v>724459</v>
      </c>
      <c r="Q21" s="135">
        <v>6916823</v>
      </c>
      <c r="R21" s="135">
        <v>296240</v>
      </c>
      <c r="S21" s="135">
        <v>668219</v>
      </c>
      <c r="T21" s="135">
        <v>738807</v>
      </c>
      <c r="U21" s="135">
        <v>36000</v>
      </c>
      <c r="V21" s="135">
        <v>724459</v>
      </c>
      <c r="W21" s="135">
        <v>13341670</v>
      </c>
      <c r="X21" s="135">
        <v>296240</v>
      </c>
      <c r="Y21" s="135">
        <v>668219</v>
      </c>
      <c r="Z21" s="135">
        <v>1721198</v>
      </c>
      <c r="AA21" s="135">
        <v>36000</v>
      </c>
      <c r="AB21" s="135">
        <v>-988041</v>
      </c>
      <c r="AC21" s="135">
        <v>-18901</v>
      </c>
      <c r="AD21" s="135">
        <v>25672</v>
      </c>
      <c r="AE21" s="135">
        <v>91969</v>
      </c>
      <c r="AF21" s="135">
        <v>49147219</v>
      </c>
      <c r="AG21" s="135">
        <v>36665</v>
      </c>
      <c r="AH21" s="135">
        <v>0</v>
      </c>
      <c r="AI21" s="135">
        <v>11680.33</v>
      </c>
      <c r="AJ21" s="139">
        <v>0</v>
      </c>
      <c r="AK21" s="82">
        <v>48542904</v>
      </c>
      <c r="AL21" s="82">
        <v>1482069</v>
      </c>
      <c r="AM21" s="135">
        <v>0</v>
      </c>
      <c r="AN21" s="135">
        <v>13512639</v>
      </c>
      <c r="AO21" s="135">
        <v>22971</v>
      </c>
      <c r="AP21" s="135">
        <v>397006</v>
      </c>
      <c r="AQ21" s="135">
        <v>3485992</v>
      </c>
      <c r="AR21" s="135">
        <v>647289</v>
      </c>
      <c r="AS21" s="135">
        <v>0</v>
      </c>
      <c r="AT21" s="135">
        <v>1446496</v>
      </c>
      <c r="AU21" s="135">
        <v>0</v>
      </c>
      <c r="AV21" s="135">
        <v>0</v>
      </c>
      <c r="AW21" s="135">
        <v>0</v>
      </c>
      <c r="AX21" s="135">
        <v>400</v>
      </c>
      <c r="AY21" s="135">
        <v>0</v>
      </c>
      <c r="BD21" s="82">
        <v>2914492.08</v>
      </c>
      <c r="BE21" s="82">
        <v>1457246.04</v>
      </c>
      <c r="BF21" s="117">
        <v>14248704.663212433</v>
      </c>
      <c r="BG21" s="118">
        <v>875493</v>
      </c>
      <c r="BH21" s="118">
        <v>1750985</v>
      </c>
      <c r="BI21" s="117">
        <v>18094242</v>
      </c>
      <c r="BJ21" s="117">
        <v>18094242</v>
      </c>
      <c r="BK21" s="117">
        <v>31423338</v>
      </c>
      <c r="BL21" s="117">
        <v>25220868</v>
      </c>
      <c r="BM21" s="117">
        <v>0</v>
      </c>
      <c r="BN21" s="117">
        <v>0</v>
      </c>
      <c r="BO21" s="138"/>
      <c r="BP21" s="86">
        <v>303266546.37</v>
      </c>
      <c r="BQ21" s="86">
        <v>207593724.33000001</v>
      </c>
      <c r="BR21" s="87">
        <v>277450</v>
      </c>
      <c r="BT21" s="86">
        <v>190560442</v>
      </c>
      <c r="BU21" s="82">
        <f t="shared" si="0"/>
        <v>48542904</v>
      </c>
      <c r="BV21" s="82">
        <f t="shared" si="1"/>
        <v>1482069</v>
      </c>
      <c r="BW21" s="86">
        <f t="shared" si="2"/>
        <v>17021602</v>
      </c>
      <c r="BX21" s="86">
        <f t="shared" si="3"/>
        <v>257607017</v>
      </c>
    </row>
    <row r="22" spans="1:76" x14ac:dyDescent="0.25">
      <c r="A22" s="91" t="s">
        <v>76</v>
      </c>
      <c r="B22" s="135">
        <v>233504140</v>
      </c>
      <c r="C22" s="135">
        <v>66957350</v>
      </c>
      <c r="D22" s="135">
        <v>200334113</v>
      </c>
      <c r="E22" s="135">
        <v>215018620</v>
      </c>
      <c r="F22" s="135">
        <v>26780900</v>
      </c>
      <c r="G22" s="135">
        <v>2644300</v>
      </c>
      <c r="H22" s="135">
        <v>5441600</v>
      </c>
      <c r="I22" s="135">
        <v>117900</v>
      </c>
      <c r="J22" s="135">
        <v>74300</v>
      </c>
      <c r="K22" s="135">
        <v>39300</v>
      </c>
      <c r="L22" s="135">
        <v>132265090</v>
      </c>
      <c r="M22" s="135">
        <v>47072000</v>
      </c>
      <c r="N22" s="135">
        <v>865</v>
      </c>
      <c r="O22" s="135">
        <v>87</v>
      </c>
      <c r="P22" s="135">
        <v>1248500</v>
      </c>
      <c r="Q22" s="135">
        <v>366000</v>
      </c>
      <c r="R22" s="135">
        <v>3509000</v>
      </c>
      <c r="S22" s="135">
        <v>1294900</v>
      </c>
      <c r="T22" s="135">
        <v>101500</v>
      </c>
      <c r="U22" s="135">
        <v>2196000</v>
      </c>
      <c r="V22" s="135">
        <v>1248500</v>
      </c>
      <c r="W22" s="135">
        <v>505400</v>
      </c>
      <c r="X22" s="135">
        <v>3509000</v>
      </c>
      <c r="Y22" s="135">
        <v>1294900</v>
      </c>
      <c r="Z22" s="135">
        <v>124000</v>
      </c>
      <c r="AA22" s="135">
        <v>2196000</v>
      </c>
      <c r="AB22" s="135">
        <v>-440400</v>
      </c>
      <c r="AC22" s="135">
        <v>-786467</v>
      </c>
      <c r="AD22" s="135">
        <v>22308</v>
      </c>
      <c r="AE22" s="135">
        <v>0</v>
      </c>
      <c r="AF22" s="135">
        <v>0</v>
      </c>
      <c r="AG22" s="135">
        <v>67551</v>
      </c>
      <c r="AH22" s="135">
        <v>0</v>
      </c>
      <c r="AI22" s="135">
        <v>368991.8</v>
      </c>
      <c r="AJ22" s="139">
        <v>0</v>
      </c>
      <c r="AK22" s="82">
        <v>73658001</v>
      </c>
      <c r="AL22" s="82">
        <v>1884544</v>
      </c>
      <c r="AM22" s="135">
        <v>552700</v>
      </c>
      <c r="AN22" s="135">
        <v>41415393</v>
      </c>
      <c r="AO22" s="135">
        <v>3035564</v>
      </c>
      <c r="AP22" s="135">
        <v>97255464</v>
      </c>
      <c r="AQ22" s="135">
        <v>24505073</v>
      </c>
      <c r="AR22" s="135">
        <v>37901141</v>
      </c>
      <c r="AS22" s="135">
        <v>11579324</v>
      </c>
      <c r="AT22" s="135">
        <f>200+1679988452</f>
        <v>1679988652</v>
      </c>
      <c r="AU22" s="135">
        <v>0</v>
      </c>
      <c r="AV22" s="135">
        <v>0</v>
      </c>
      <c r="AW22" s="135">
        <v>0</v>
      </c>
      <c r="AX22" s="135">
        <v>15656045</v>
      </c>
      <c r="AY22" s="135">
        <v>3500</v>
      </c>
      <c r="BD22" s="82">
        <v>4422390.1500000004</v>
      </c>
      <c r="BE22" s="82">
        <v>2211195.08</v>
      </c>
      <c r="BF22" s="117">
        <v>25961139.896373056</v>
      </c>
      <c r="BG22" s="118">
        <v>2269163</v>
      </c>
      <c r="BH22" s="118">
        <v>4538326</v>
      </c>
      <c r="BI22" s="117">
        <v>80538698</v>
      </c>
      <c r="BJ22" s="117">
        <v>80538698</v>
      </c>
      <c r="BK22" s="117">
        <v>62002460</v>
      </c>
      <c r="BL22" s="117">
        <v>60211390</v>
      </c>
      <c r="BM22" s="117">
        <v>0</v>
      </c>
      <c r="BN22" s="117">
        <v>0</v>
      </c>
      <c r="BO22" s="138"/>
      <c r="BP22" s="86">
        <v>790893615.88</v>
      </c>
      <c r="BQ22" s="86">
        <v>570120624.79999995</v>
      </c>
      <c r="BR22" s="87">
        <v>939000</v>
      </c>
      <c r="BT22" s="86">
        <v>500795603</v>
      </c>
      <c r="BU22" s="82">
        <f t="shared" si="0"/>
        <v>73658001</v>
      </c>
      <c r="BV22" s="82">
        <f t="shared" si="1"/>
        <v>1884544</v>
      </c>
      <c r="BW22" s="86">
        <f t="shared" si="2"/>
        <v>80535354</v>
      </c>
      <c r="BX22" s="86">
        <f t="shared" si="3"/>
        <v>656873502</v>
      </c>
    </row>
    <row r="23" spans="1:76" x14ac:dyDescent="0.25">
      <c r="A23" s="91" t="s">
        <v>77</v>
      </c>
      <c r="B23" s="135">
        <v>411459259</v>
      </c>
      <c r="C23" s="135">
        <v>149585594</v>
      </c>
      <c r="D23" s="135">
        <v>166130698</v>
      </c>
      <c r="E23" s="135">
        <v>0</v>
      </c>
      <c r="F23" s="135">
        <v>56250050</v>
      </c>
      <c r="G23" s="135">
        <v>37055469</v>
      </c>
      <c r="H23" s="135">
        <v>21245950</v>
      </c>
      <c r="I23" s="135">
        <v>8962650</v>
      </c>
      <c r="J23" s="135">
        <v>157200</v>
      </c>
      <c r="K23" s="135">
        <v>39300</v>
      </c>
      <c r="L23" s="135">
        <v>148324664</v>
      </c>
      <c r="M23" s="135">
        <v>114424540</v>
      </c>
      <c r="N23" s="135">
        <v>2270</v>
      </c>
      <c r="O23" s="135">
        <v>1436</v>
      </c>
      <c r="P23" s="135">
        <v>4664400</v>
      </c>
      <c r="Q23" s="135">
        <v>1360200</v>
      </c>
      <c r="R23" s="135">
        <v>3531760</v>
      </c>
      <c r="S23" s="135">
        <v>3776939</v>
      </c>
      <c r="T23" s="135">
        <v>763200</v>
      </c>
      <c r="U23" s="135">
        <v>7105150</v>
      </c>
      <c r="V23" s="135">
        <v>4664400</v>
      </c>
      <c r="W23" s="135">
        <v>1349400</v>
      </c>
      <c r="X23" s="135">
        <v>3531760</v>
      </c>
      <c r="Y23" s="135">
        <v>3776939</v>
      </c>
      <c r="Z23" s="135">
        <v>961000</v>
      </c>
      <c r="AA23" s="135">
        <v>7105150</v>
      </c>
      <c r="AB23" s="135">
        <v>-7311840</v>
      </c>
      <c r="AC23" s="135">
        <v>-321861</v>
      </c>
      <c r="AD23" s="135">
        <v>144129</v>
      </c>
      <c r="AE23" s="135">
        <v>0</v>
      </c>
      <c r="AF23" s="135">
        <v>0</v>
      </c>
      <c r="AG23" s="135">
        <v>218778</v>
      </c>
      <c r="AH23" s="135">
        <v>0</v>
      </c>
      <c r="AI23" s="135">
        <v>563942.62</v>
      </c>
      <c r="AJ23" s="139">
        <v>56000</v>
      </c>
      <c r="AK23" s="82">
        <v>184334566</v>
      </c>
      <c r="AL23" s="82">
        <v>4915982</v>
      </c>
      <c r="AM23" s="135">
        <v>173500</v>
      </c>
      <c r="AN23" s="135">
        <v>22146136</v>
      </c>
      <c r="AO23" s="135">
        <v>2656673</v>
      </c>
      <c r="AP23" s="135">
        <v>31156222</v>
      </c>
      <c r="AQ23" s="135">
        <v>23631651</v>
      </c>
      <c r="AR23" s="135">
        <v>17531337</v>
      </c>
      <c r="AS23" s="135">
        <v>0</v>
      </c>
      <c r="AT23" s="135">
        <v>905280</v>
      </c>
      <c r="AU23" s="135">
        <v>0</v>
      </c>
      <c r="AV23" s="135">
        <v>0</v>
      </c>
      <c r="AW23" s="135">
        <v>66314</v>
      </c>
      <c r="AX23" s="135">
        <v>890516</v>
      </c>
      <c r="AY23" s="135">
        <v>37000</v>
      </c>
      <c r="BD23" s="82">
        <v>11067356.68</v>
      </c>
      <c r="BE23" s="82">
        <v>5533678.3399999999</v>
      </c>
      <c r="BF23" s="117">
        <v>0</v>
      </c>
      <c r="BG23" s="118">
        <v>0</v>
      </c>
      <c r="BH23" s="118">
        <v>0</v>
      </c>
      <c r="BI23" s="117">
        <v>34498574</v>
      </c>
      <c r="BJ23" s="117">
        <v>34498574</v>
      </c>
      <c r="BK23" s="117">
        <v>133001030</v>
      </c>
      <c r="BL23" s="117">
        <v>132996254</v>
      </c>
      <c r="BM23" s="117">
        <v>0</v>
      </c>
      <c r="BN23" s="117">
        <v>0</v>
      </c>
      <c r="BO23" s="138"/>
      <c r="BP23" s="86">
        <v>1138509007.96</v>
      </c>
      <c r="BQ23" s="86">
        <v>776229953.62</v>
      </c>
      <c r="BR23" s="87">
        <v>13995291</v>
      </c>
      <c r="BT23" s="86">
        <v>727175551</v>
      </c>
      <c r="BU23" s="82">
        <f t="shared" si="0"/>
        <v>184334566</v>
      </c>
      <c r="BV23" s="82">
        <f t="shared" si="1"/>
        <v>4915982</v>
      </c>
      <c r="BW23" s="86">
        <f t="shared" si="2"/>
        <v>48434460</v>
      </c>
      <c r="BX23" s="86">
        <f t="shared" si="3"/>
        <v>964860559</v>
      </c>
    </row>
    <row r="24" spans="1:76" x14ac:dyDescent="0.25">
      <c r="A24" s="91" t="s">
        <v>78</v>
      </c>
      <c r="B24" s="135">
        <v>226471495</v>
      </c>
      <c r="C24" s="135">
        <v>187505450</v>
      </c>
      <c r="D24" s="135">
        <v>74685950</v>
      </c>
      <c r="E24" s="135">
        <v>0</v>
      </c>
      <c r="F24" s="135">
        <v>43610100</v>
      </c>
      <c r="G24" s="135">
        <v>8431200</v>
      </c>
      <c r="H24" s="135">
        <v>24786500</v>
      </c>
      <c r="I24" s="135">
        <v>2228700</v>
      </c>
      <c r="J24" s="135">
        <v>0</v>
      </c>
      <c r="K24" s="135">
        <v>0</v>
      </c>
      <c r="L24" s="135">
        <v>297353995</v>
      </c>
      <c r="M24" s="135">
        <v>115149100</v>
      </c>
      <c r="N24" s="135">
        <v>1914</v>
      </c>
      <c r="O24" s="135">
        <v>351</v>
      </c>
      <c r="P24" s="135">
        <v>1038815</v>
      </c>
      <c r="Q24" s="135">
        <v>1624500</v>
      </c>
      <c r="R24" s="135">
        <v>0</v>
      </c>
      <c r="S24" s="135">
        <v>51000</v>
      </c>
      <c r="T24" s="135">
        <v>45000</v>
      </c>
      <c r="U24" s="135">
        <v>60000</v>
      </c>
      <c r="V24" s="135">
        <v>1038815</v>
      </c>
      <c r="W24" s="135">
        <v>1627500</v>
      </c>
      <c r="X24" s="135">
        <v>0</v>
      </c>
      <c r="Y24" s="135">
        <v>51000</v>
      </c>
      <c r="Z24" s="135">
        <v>45000</v>
      </c>
      <c r="AA24" s="135">
        <v>60000</v>
      </c>
      <c r="AB24" s="135">
        <v>-1697600</v>
      </c>
      <c r="AC24" s="135">
        <v>0</v>
      </c>
      <c r="AD24" s="135">
        <v>146795</v>
      </c>
      <c r="AE24" s="135">
        <v>0</v>
      </c>
      <c r="AF24" s="135">
        <v>0</v>
      </c>
      <c r="AG24" s="135">
        <v>275026</v>
      </c>
      <c r="AH24" s="135">
        <v>4483.6099999999997</v>
      </c>
      <c r="AI24" s="135">
        <v>43639.34</v>
      </c>
      <c r="AJ24" s="139">
        <v>0</v>
      </c>
      <c r="AK24" s="82">
        <v>93228713</v>
      </c>
      <c r="AL24" s="82">
        <v>3034309</v>
      </c>
      <c r="AM24" s="135">
        <v>0</v>
      </c>
      <c r="AN24" s="135">
        <v>12210715</v>
      </c>
      <c r="AO24" s="135">
        <v>274990</v>
      </c>
      <c r="AP24" s="135">
        <v>23339322</v>
      </c>
      <c r="AQ24" s="135">
        <v>15639896</v>
      </c>
      <c r="AR24" s="135">
        <v>33811318</v>
      </c>
      <c r="AS24" s="135">
        <v>23529417</v>
      </c>
      <c r="AT24" s="135">
        <v>0</v>
      </c>
      <c r="AV24" s="135">
        <v>0</v>
      </c>
      <c r="AW24" s="135">
        <v>29824</v>
      </c>
      <c r="AX24" s="135">
        <v>3472</v>
      </c>
      <c r="AY24" s="135">
        <v>33000</v>
      </c>
      <c r="BD24" s="82">
        <v>5597406.0800000001</v>
      </c>
      <c r="BE24" s="82">
        <v>2798703.04</v>
      </c>
      <c r="BF24" s="117">
        <v>0</v>
      </c>
      <c r="BG24" s="118">
        <v>0</v>
      </c>
      <c r="BH24" s="118">
        <v>0</v>
      </c>
      <c r="BI24" s="117">
        <v>17395331</v>
      </c>
      <c r="BJ24" s="117">
        <v>17395331</v>
      </c>
      <c r="BK24" s="117">
        <v>60521731</v>
      </c>
      <c r="BL24" s="117">
        <v>60280266</v>
      </c>
      <c r="BM24" s="117">
        <v>0</v>
      </c>
      <c r="BN24" s="117">
        <v>0</v>
      </c>
      <c r="BO24" s="138"/>
      <c r="BP24" s="86">
        <v>693573940.99000001</v>
      </c>
      <c r="BQ24" s="86">
        <v>516836618.94999999</v>
      </c>
      <c r="BR24" s="87">
        <v>643000</v>
      </c>
      <c r="BT24" s="86">
        <v>488662895</v>
      </c>
      <c r="BU24" s="82">
        <f t="shared" si="0"/>
        <v>93228713</v>
      </c>
      <c r="BV24" s="82">
        <f t="shared" si="1"/>
        <v>3034309</v>
      </c>
      <c r="BW24" s="86">
        <f t="shared" si="2"/>
        <v>51655018</v>
      </c>
      <c r="BX24" s="86">
        <f t="shared" si="3"/>
        <v>636580935</v>
      </c>
    </row>
    <row r="25" spans="1:76" x14ac:dyDescent="0.25">
      <c r="A25" s="91" t="s">
        <v>79</v>
      </c>
      <c r="B25" s="135">
        <v>1809475143</v>
      </c>
      <c r="C25" s="135">
        <v>448925400</v>
      </c>
      <c r="D25" s="135">
        <v>962488945</v>
      </c>
      <c r="E25" s="135">
        <v>37837173</v>
      </c>
      <c r="F25" s="135">
        <v>135556779</v>
      </c>
      <c r="G25" s="135">
        <v>20149237</v>
      </c>
      <c r="H25" s="135">
        <v>17378811</v>
      </c>
      <c r="I25" s="135">
        <v>1208580</v>
      </c>
      <c r="J25" s="135">
        <v>235800</v>
      </c>
      <c r="K25" s="135">
        <v>0</v>
      </c>
      <c r="L25" s="135">
        <v>1809749597</v>
      </c>
      <c r="M25" s="135">
        <v>212421081</v>
      </c>
      <c r="N25" s="135">
        <v>4018</v>
      </c>
      <c r="O25" s="135">
        <v>584</v>
      </c>
      <c r="P25" s="135">
        <v>38765512</v>
      </c>
      <c r="Q25" s="135">
        <v>9390311</v>
      </c>
      <c r="R25" s="135">
        <v>20996125</v>
      </c>
      <c r="S25" s="135">
        <v>11352605</v>
      </c>
      <c r="T25" s="135">
        <v>14736153</v>
      </c>
      <c r="U25" s="135">
        <v>8909944</v>
      </c>
      <c r="V25" s="135">
        <v>38765512</v>
      </c>
      <c r="W25" s="135">
        <v>11678952</v>
      </c>
      <c r="X25" s="135">
        <v>20996125</v>
      </c>
      <c r="Y25" s="135">
        <v>11352605</v>
      </c>
      <c r="Z25" s="135">
        <v>17391905</v>
      </c>
      <c r="AA25" s="135">
        <v>8909944</v>
      </c>
      <c r="AB25" s="135">
        <v>-6871867</v>
      </c>
      <c r="AC25" s="135">
        <v>-4774</v>
      </c>
      <c r="AD25" s="135">
        <v>44304</v>
      </c>
      <c r="AE25" s="135">
        <v>2810</v>
      </c>
      <c r="AF25" s="135">
        <v>265892901</v>
      </c>
      <c r="AG25" s="135">
        <v>409331</v>
      </c>
      <c r="AH25" s="135">
        <v>536852.46</v>
      </c>
      <c r="AI25" s="135">
        <v>1786844.26</v>
      </c>
      <c r="AJ25" s="139">
        <v>0</v>
      </c>
      <c r="AK25" s="82">
        <v>370203395</v>
      </c>
      <c r="AL25" s="82">
        <v>8280631</v>
      </c>
      <c r="AM25" s="135">
        <v>0</v>
      </c>
      <c r="AN25" s="135">
        <v>164893217</v>
      </c>
      <c r="AO25" s="135">
        <v>44692074</v>
      </c>
      <c r="AP25" s="135">
        <v>710720321</v>
      </c>
      <c r="AQ25" s="135">
        <v>200084763</v>
      </c>
      <c r="AR25" s="135">
        <v>203748447</v>
      </c>
      <c r="AS25" s="135">
        <v>84612025</v>
      </c>
      <c r="AT25" s="135">
        <f>13807278+16418597</f>
        <v>30225875</v>
      </c>
      <c r="AU25" s="135">
        <v>17768426</v>
      </c>
      <c r="AV25" s="135">
        <v>2309884</v>
      </c>
      <c r="AW25" s="135">
        <v>294540582</v>
      </c>
      <c r="AX25" s="135">
        <v>1946540</v>
      </c>
      <c r="AY25" s="135">
        <v>1026938</v>
      </c>
      <c r="BD25" s="82">
        <v>22226829.760000002</v>
      </c>
      <c r="BE25" s="82">
        <v>11113414.880000001</v>
      </c>
      <c r="BF25" s="117">
        <v>0</v>
      </c>
      <c r="BG25" s="118">
        <v>2397284</v>
      </c>
      <c r="BH25" s="118">
        <v>4794568</v>
      </c>
      <c r="BI25" s="117">
        <v>63285141</v>
      </c>
      <c r="BJ25" s="117">
        <v>63285141</v>
      </c>
      <c r="BK25" s="117">
        <v>97808212</v>
      </c>
      <c r="BL25" s="117">
        <v>92375606</v>
      </c>
      <c r="BM25" s="117">
        <v>99753</v>
      </c>
      <c r="BN25" s="117">
        <v>18035762</v>
      </c>
      <c r="BO25" s="138"/>
      <c r="BP25" s="86">
        <v>4198674225.6000004</v>
      </c>
      <c r="BQ25" s="86">
        <v>3632883238.7200003</v>
      </c>
      <c r="BR25" s="87">
        <v>4919026</v>
      </c>
      <c r="BT25" s="86">
        <v>3220889488</v>
      </c>
      <c r="BU25" s="82">
        <f t="shared" si="0"/>
        <v>370203395</v>
      </c>
      <c r="BV25" s="82">
        <f t="shared" si="1"/>
        <v>8280631</v>
      </c>
      <c r="BW25" s="86">
        <f t="shared" si="2"/>
        <v>494282079</v>
      </c>
      <c r="BX25" s="86">
        <f t="shared" si="3"/>
        <v>4093655593</v>
      </c>
    </row>
    <row r="26" spans="1:76" x14ac:dyDescent="0.25">
      <c r="A26" s="91" t="s">
        <v>80</v>
      </c>
      <c r="B26" s="135">
        <v>1493580260</v>
      </c>
      <c r="C26" s="135">
        <v>255887200</v>
      </c>
      <c r="D26" s="135">
        <v>657372750</v>
      </c>
      <c r="E26" s="135">
        <v>5600000</v>
      </c>
      <c r="F26" s="135">
        <v>101066700</v>
      </c>
      <c r="G26" s="135">
        <v>20170400</v>
      </c>
      <c r="H26" s="135">
        <v>14701300</v>
      </c>
      <c r="I26" s="135">
        <v>1799200</v>
      </c>
      <c r="J26" s="135">
        <v>117900</v>
      </c>
      <c r="K26" s="135">
        <v>0</v>
      </c>
      <c r="L26" s="135">
        <v>476375500</v>
      </c>
      <c r="M26" s="135">
        <v>184068200</v>
      </c>
      <c r="N26" s="135">
        <v>3003</v>
      </c>
      <c r="O26" s="135">
        <v>589</v>
      </c>
      <c r="P26" s="140">
        <v>11085200</v>
      </c>
      <c r="Q26" s="135">
        <v>3055500</v>
      </c>
      <c r="R26" s="135">
        <v>10461700</v>
      </c>
      <c r="S26" s="135">
        <v>4162572</v>
      </c>
      <c r="T26" s="135">
        <v>2496200</v>
      </c>
      <c r="U26" s="135">
        <v>2280900</v>
      </c>
      <c r="V26" s="135">
        <v>11085200</v>
      </c>
      <c r="W26" s="135">
        <v>3282700</v>
      </c>
      <c r="X26" s="135">
        <v>10461700</v>
      </c>
      <c r="Y26" s="135">
        <v>4162572</v>
      </c>
      <c r="Z26" s="135">
        <v>6700600</v>
      </c>
      <c r="AA26" s="135">
        <v>2280900</v>
      </c>
      <c r="AB26" s="135">
        <v>-1583200</v>
      </c>
      <c r="AC26" s="135">
        <v>-2403322</v>
      </c>
      <c r="AD26" s="135">
        <v>0</v>
      </c>
      <c r="AE26" s="135">
        <v>0</v>
      </c>
      <c r="AF26" s="135">
        <v>0</v>
      </c>
      <c r="AG26" s="135">
        <v>136120</v>
      </c>
      <c r="AJ26" s="139"/>
      <c r="AK26" s="82">
        <v>293453947</v>
      </c>
      <c r="AL26" s="82">
        <v>5448084</v>
      </c>
      <c r="AM26" s="135">
        <v>0</v>
      </c>
      <c r="AN26" s="135">
        <v>77157670</v>
      </c>
      <c r="AO26" s="135">
        <v>15666731</v>
      </c>
      <c r="AP26" s="135">
        <v>233446313</v>
      </c>
      <c r="AQ26" s="135">
        <v>74638616</v>
      </c>
      <c r="AR26" s="135">
        <v>124174065</v>
      </c>
      <c r="AS26" s="135">
        <v>74475812</v>
      </c>
      <c r="AT26" s="135">
        <v>9020286</v>
      </c>
      <c r="AU26" s="135">
        <v>0</v>
      </c>
      <c r="AV26" s="135">
        <v>26988</v>
      </c>
      <c r="AW26" s="135">
        <v>12732886</v>
      </c>
      <c r="AX26" s="135">
        <v>3479439</v>
      </c>
      <c r="AY26" s="135">
        <v>10000</v>
      </c>
      <c r="BD26" s="82">
        <v>17618830.649999999</v>
      </c>
      <c r="BE26" s="82">
        <v>8809415.3300000001</v>
      </c>
      <c r="BF26" s="117">
        <v>0</v>
      </c>
      <c r="BG26" s="118">
        <v>3642192</v>
      </c>
      <c r="BH26" s="118">
        <v>7284384</v>
      </c>
      <c r="BI26" s="117">
        <v>92961255</v>
      </c>
      <c r="BJ26" s="117">
        <v>92690797</v>
      </c>
      <c r="BK26" s="117">
        <v>163683392</v>
      </c>
      <c r="BL26" s="117">
        <v>158820237</v>
      </c>
      <c r="BM26" s="117">
        <v>0</v>
      </c>
      <c r="BN26" s="117">
        <v>0</v>
      </c>
      <c r="BO26" s="138"/>
      <c r="BP26" s="86">
        <v>3137167899.3299999</v>
      </c>
      <c r="BQ26" s="86">
        <v>2574303227</v>
      </c>
      <c r="BR26" s="87">
        <v>5600000</v>
      </c>
      <c r="BT26" s="86">
        <v>2406840210</v>
      </c>
      <c r="BU26" s="82">
        <f t="shared" si="0"/>
        <v>293453947</v>
      </c>
      <c r="BV26" s="82">
        <f t="shared" si="1"/>
        <v>5448084</v>
      </c>
      <c r="BW26" s="86">
        <f t="shared" si="2"/>
        <v>241938829</v>
      </c>
      <c r="BX26" s="86">
        <f t="shared" si="3"/>
        <v>2947681070</v>
      </c>
    </row>
    <row r="27" spans="1:76" x14ac:dyDescent="0.25">
      <c r="A27" s="91" t="s">
        <v>81</v>
      </c>
      <c r="B27" s="135">
        <v>190619500</v>
      </c>
      <c r="C27" s="135">
        <v>71042715</v>
      </c>
      <c r="D27" s="135">
        <v>77603000</v>
      </c>
      <c r="E27" s="135">
        <v>0</v>
      </c>
      <c r="F27" s="135">
        <v>42814700</v>
      </c>
      <c r="G27" s="135">
        <v>30768400</v>
      </c>
      <c r="H27" s="135">
        <v>12625000</v>
      </c>
      <c r="I27" s="135">
        <v>5458800</v>
      </c>
      <c r="J27" s="135">
        <v>74300</v>
      </c>
      <c r="K27" s="135">
        <v>78600</v>
      </c>
      <c r="L27" s="135">
        <v>69717660</v>
      </c>
      <c r="M27" s="135">
        <v>48459690</v>
      </c>
      <c r="N27" s="135">
        <v>1696</v>
      </c>
      <c r="O27" s="135">
        <v>1233</v>
      </c>
      <c r="P27" s="135">
        <v>5962950</v>
      </c>
      <c r="Q27" s="135">
        <v>1894500</v>
      </c>
      <c r="R27" s="135">
        <v>2650500</v>
      </c>
      <c r="S27" s="135">
        <v>4056650</v>
      </c>
      <c r="T27" s="135">
        <v>1109800</v>
      </c>
      <c r="U27" s="135">
        <v>1011700</v>
      </c>
      <c r="V27" s="135">
        <v>5962950</v>
      </c>
      <c r="W27" s="135">
        <v>3601036</v>
      </c>
      <c r="X27" s="135">
        <v>2650500</v>
      </c>
      <c r="Y27" s="135">
        <v>4056650</v>
      </c>
      <c r="Z27" s="135">
        <v>1654141</v>
      </c>
      <c r="AA27" s="135">
        <v>1011700</v>
      </c>
      <c r="AB27" s="135">
        <v>-3411800</v>
      </c>
      <c r="AC27" s="135">
        <v>-5787073</v>
      </c>
      <c r="AD27" s="135">
        <v>182712</v>
      </c>
      <c r="AE27" s="135">
        <v>0</v>
      </c>
      <c r="AF27" s="140" t="s">
        <v>331</v>
      </c>
      <c r="AG27" s="135">
        <v>215802</v>
      </c>
      <c r="AH27" s="135">
        <v>930320.28</v>
      </c>
      <c r="AI27" s="135">
        <v>7669311.4800000004</v>
      </c>
      <c r="AJ27" s="139">
        <v>20360.66</v>
      </c>
      <c r="AK27" s="82">
        <v>101769320</v>
      </c>
      <c r="AL27" s="82">
        <v>2326785</v>
      </c>
      <c r="AM27" s="135">
        <v>0</v>
      </c>
      <c r="AN27" s="135">
        <v>15950894</v>
      </c>
      <c r="AO27" s="135">
        <v>77676</v>
      </c>
      <c r="AP27" s="135">
        <v>8526408</v>
      </c>
      <c r="AQ27" s="135">
        <v>10454987</v>
      </c>
      <c r="AR27" s="135">
        <v>8623212</v>
      </c>
      <c r="AS27" s="135">
        <v>0</v>
      </c>
      <c r="AT27" s="135">
        <v>356000</v>
      </c>
      <c r="AU27" s="135">
        <v>0</v>
      </c>
      <c r="AV27" s="135">
        <v>0</v>
      </c>
      <c r="AW27" s="135">
        <v>0</v>
      </c>
      <c r="AX27" s="135">
        <v>827</v>
      </c>
      <c r="AY27" s="135">
        <v>0</v>
      </c>
      <c r="BD27" s="82">
        <v>6110179.9199999999</v>
      </c>
      <c r="BE27" s="82">
        <v>3055089.96</v>
      </c>
      <c r="BF27" s="117">
        <v>0</v>
      </c>
      <c r="BG27" s="118">
        <v>759472</v>
      </c>
      <c r="BH27" s="118">
        <v>1518944</v>
      </c>
      <c r="BI27" s="117">
        <v>16977424</v>
      </c>
      <c r="BJ27" s="117">
        <v>16977424</v>
      </c>
      <c r="BK27" s="117">
        <v>48979221</v>
      </c>
      <c r="BL27" s="117">
        <v>48026599</v>
      </c>
      <c r="BM27" s="117">
        <v>0</v>
      </c>
      <c r="BN27" s="117">
        <v>0</v>
      </c>
      <c r="BO27" s="138"/>
      <c r="BP27" s="86">
        <v>547283454.38</v>
      </c>
      <c r="BQ27" s="86">
        <v>374368764.42000002</v>
      </c>
      <c r="BR27" s="87">
        <v>504700</v>
      </c>
      <c r="BT27" s="86">
        <v>339265215</v>
      </c>
      <c r="BU27" s="82">
        <f t="shared" si="0"/>
        <v>101769320</v>
      </c>
      <c r="BV27" s="82">
        <f t="shared" si="1"/>
        <v>2326785</v>
      </c>
      <c r="BW27" s="86">
        <f t="shared" si="2"/>
        <v>26483557</v>
      </c>
      <c r="BX27" s="86">
        <f t="shared" si="3"/>
        <v>469844877</v>
      </c>
    </row>
    <row r="28" spans="1:76" x14ac:dyDescent="0.25">
      <c r="A28" s="91" t="s">
        <v>82</v>
      </c>
      <c r="B28" s="135">
        <v>200563421</v>
      </c>
      <c r="C28" s="135">
        <v>71111801</v>
      </c>
      <c r="D28" s="135">
        <v>108228966</v>
      </c>
      <c r="E28" s="135">
        <v>0</v>
      </c>
      <c r="F28" s="135">
        <v>26548500</v>
      </c>
      <c r="G28" s="135">
        <v>10648000</v>
      </c>
      <c r="H28" s="135">
        <v>9242450</v>
      </c>
      <c r="I28" s="135">
        <v>1372400</v>
      </c>
      <c r="J28" s="135">
        <v>39300</v>
      </c>
      <c r="K28" s="135">
        <v>39300</v>
      </c>
      <c r="L28" s="135">
        <v>138239915</v>
      </c>
      <c r="M28" s="135">
        <v>46122640</v>
      </c>
      <c r="N28" s="135">
        <v>1030</v>
      </c>
      <c r="O28" s="135">
        <v>388</v>
      </c>
      <c r="P28" s="135">
        <v>2786100</v>
      </c>
      <c r="Q28" s="135">
        <v>330238</v>
      </c>
      <c r="R28" s="135">
        <v>2217500</v>
      </c>
      <c r="S28" s="135">
        <v>2451889</v>
      </c>
      <c r="T28" s="135">
        <v>1046410</v>
      </c>
      <c r="U28" s="135">
        <v>156920</v>
      </c>
      <c r="V28" s="135">
        <v>2786100</v>
      </c>
      <c r="W28" s="135">
        <v>508030</v>
      </c>
      <c r="X28" s="135">
        <v>2217500</v>
      </c>
      <c r="Y28" s="135">
        <v>2451889</v>
      </c>
      <c r="Z28" s="135">
        <v>1357278</v>
      </c>
      <c r="AA28" s="135">
        <v>156920</v>
      </c>
      <c r="AB28" s="135">
        <v>-1063850</v>
      </c>
      <c r="AC28" s="135">
        <v>-145392</v>
      </c>
      <c r="AD28" s="135">
        <v>48492</v>
      </c>
      <c r="AE28" s="135">
        <v>0</v>
      </c>
      <c r="AF28" s="135">
        <v>0</v>
      </c>
      <c r="AG28" s="135">
        <v>96859</v>
      </c>
      <c r="AH28" s="135">
        <v>1061270.49</v>
      </c>
      <c r="AI28" s="135">
        <v>313368.84999999998</v>
      </c>
      <c r="AJ28" s="139">
        <v>0</v>
      </c>
      <c r="AK28" s="82">
        <v>59709851</v>
      </c>
      <c r="AL28" s="82">
        <v>8787871</v>
      </c>
      <c r="AM28" s="135">
        <v>5842136</v>
      </c>
      <c r="AN28" s="135">
        <v>14224740</v>
      </c>
      <c r="AO28" s="135">
        <v>2056451</v>
      </c>
      <c r="AP28" s="135">
        <v>42188566</v>
      </c>
      <c r="AQ28" s="135">
        <v>10902271</v>
      </c>
      <c r="AR28" s="135">
        <v>2344906</v>
      </c>
      <c r="AS28" s="135">
        <v>9924602</v>
      </c>
      <c r="AT28" s="135">
        <v>101508</v>
      </c>
      <c r="AU28" s="135">
        <v>0</v>
      </c>
      <c r="AV28" s="135">
        <v>0</v>
      </c>
      <c r="AW28" s="135">
        <v>449448</v>
      </c>
      <c r="AX28" s="135">
        <v>1590</v>
      </c>
      <c r="AY28" s="135">
        <v>0</v>
      </c>
      <c r="BD28" s="82">
        <v>3584950.09</v>
      </c>
      <c r="BE28" s="82">
        <v>1792475.05</v>
      </c>
      <c r="BF28" s="117">
        <v>0</v>
      </c>
      <c r="BG28" s="118">
        <v>0</v>
      </c>
      <c r="BH28" s="118">
        <v>0</v>
      </c>
      <c r="BI28" s="117">
        <v>4123772</v>
      </c>
      <c r="BJ28" s="117">
        <v>4123772</v>
      </c>
      <c r="BK28" s="117">
        <v>24557745</v>
      </c>
      <c r="BL28" s="117">
        <v>24277143</v>
      </c>
      <c r="BM28" s="117">
        <v>0</v>
      </c>
      <c r="BN28" s="117">
        <v>0</v>
      </c>
      <c r="BO28" s="138"/>
      <c r="BP28" s="86">
        <v>507153401.39000005</v>
      </c>
      <c r="BQ28" s="86">
        <v>408462289.34000003</v>
      </c>
      <c r="BR28" s="87">
        <v>402056</v>
      </c>
      <c r="BT28" s="86">
        <v>379904188</v>
      </c>
      <c r="BU28" s="82">
        <f t="shared" si="0"/>
        <v>59709851</v>
      </c>
      <c r="BV28" s="82">
        <f t="shared" si="1"/>
        <v>8787871</v>
      </c>
      <c r="BW28" s="86">
        <f t="shared" si="2"/>
        <v>37108064</v>
      </c>
      <c r="BX28" s="86">
        <f t="shared" si="3"/>
        <v>485509974</v>
      </c>
    </row>
    <row r="29" spans="1:76" x14ac:dyDescent="0.25">
      <c r="A29" s="91" t="s">
        <v>83</v>
      </c>
      <c r="B29" s="135">
        <v>157028856</v>
      </c>
      <c r="C29" s="135">
        <v>155972472</v>
      </c>
      <c r="D29" s="135">
        <v>45173946</v>
      </c>
      <c r="E29" s="135">
        <v>0</v>
      </c>
      <c r="F29" s="135">
        <v>27177216</v>
      </c>
      <c r="G29" s="135">
        <v>5264826</v>
      </c>
      <c r="H29" s="135">
        <v>9450300</v>
      </c>
      <c r="I29" s="135">
        <v>1397766</v>
      </c>
      <c r="J29" s="135">
        <v>17500</v>
      </c>
      <c r="K29" s="135">
        <v>0</v>
      </c>
      <c r="L29" s="135">
        <v>245599916</v>
      </c>
      <c r="M29" s="135">
        <v>61520098</v>
      </c>
      <c r="N29" s="135">
        <v>1027</v>
      </c>
      <c r="O29" s="135">
        <v>208</v>
      </c>
      <c r="P29" s="135">
        <v>2268036</v>
      </c>
      <c r="Q29" s="135">
        <v>412450</v>
      </c>
      <c r="R29" s="135">
        <v>5706825</v>
      </c>
      <c r="S29" s="135">
        <v>1370450</v>
      </c>
      <c r="T29" s="135">
        <v>812000</v>
      </c>
      <c r="U29" s="135">
        <v>614575</v>
      </c>
      <c r="V29" s="135">
        <v>2268036</v>
      </c>
      <c r="W29" s="135">
        <v>567953</v>
      </c>
      <c r="X29" s="135">
        <v>5706825</v>
      </c>
      <c r="Y29" s="135">
        <v>1370450</v>
      </c>
      <c r="Z29" s="135">
        <v>1582053</v>
      </c>
      <c r="AA29" s="135">
        <v>614575</v>
      </c>
      <c r="AB29" s="135">
        <v>-1841366</v>
      </c>
      <c r="AC29" s="135">
        <v>-386538</v>
      </c>
      <c r="AD29" s="135">
        <v>94982</v>
      </c>
      <c r="AE29" s="135">
        <v>4568</v>
      </c>
      <c r="AF29" s="135">
        <v>780266</v>
      </c>
      <c r="AG29" s="135">
        <v>212823</v>
      </c>
      <c r="AH29" s="135">
        <v>0</v>
      </c>
      <c r="AI29" s="135">
        <v>477672.13</v>
      </c>
      <c r="AJ29" s="139">
        <v>0</v>
      </c>
      <c r="AK29" s="82">
        <v>62507251</v>
      </c>
      <c r="AL29" s="82">
        <v>2273978</v>
      </c>
      <c r="AM29" s="135">
        <v>10000</v>
      </c>
      <c r="AN29" s="135">
        <v>8968527</v>
      </c>
      <c r="AO29" s="135">
        <v>182784</v>
      </c>
      <c r="AP29" s="135">
        <v>12074350</v>
      </c>
      <c r="AQ29" s="135">
        <v>7322790</v>
      </c>
      <c r="AR29" s="135">
        <v>14011263</v>
      </c>
      <c r="AS29" s="135">
        <v>0</v>
      </c>
      <c r="AT29" s="135">
        <v>2357829</v>
      </c>
      <c r="AU29" s="135">
        <v>0</v>
      </c>
      <c r="AV29" s="135">
        <v>0</v>
      </c>
      <c r="AW29" s="135">
        <v>100776</v>
      </c>
      <c r="AX29" s="135">
        <v>2213891</v>
      </c>
      <c r="AY29" s="135">
        <v>658850</v>
      </c>
      <c r="BD29" s="82">
        <v>3752904.61</v>
      </c>
      <c r="BE29" s="82">
        <v>1876452.31</v>
      </c>
      <c r="BF29" s="117">
        <v>24336787.564766839</v>
      </c>
      <c r="BG29" s="118">
        <v>0</v>
      </c>
      <c r="BH29" s="118">
        <v>0</v>
      </c>
      <c r="BI29" s="117">
        <v>17534307</v>
      </c>
      <c r="BJ29" s="117">
        <v>17534307</v>
      </c>
      <c r="BK29" s="117">
        <v>26498624</v>
      </c>
      <c r="BL29" s="117">
        <v>26282011</v>
      </c>
      <c r="BM29" s="117">
        <v>0</v>
      </c>
      <c r="BN29" s="117">
        <v>0</v>
      </c>
      <c r="BO29" s="138"/>
      <c r="BP29" s="86">
        <v>485601046.44</v>
      </c>
      <c r="BQ29" s="86">
        <v>375127047.13</v>
      </c>
      <c r="BR29" s="87">
        <v>424294</v>
      </c>
      <c r="BT29" s="86">
        <v>358175274</v>
      </c>
      <c r="BU29" s="82">
        <f t="shared" si="0"/>
        <v>62507251</v>
      </c>
      <c r="BV29" s="82">
        <f t="shared" si="1"/>
        <v>2273978</v>
      </c>
      <c r="BW29" s="86">
        <f t="shared" si="2"/>
        <v>16474101</v>
      </c>
      <c r="BX29" s="86">
        <f t="shared" si="3"/>
        <v>439430604</v>
      </c>
    </row>
    <row r="30" spans="1:76" x14ac:dyDescent="0.25">
      <c r="A30" s="91" t="s">
        <v>84</v>
      </c>
      <c r="B30" s="135">
        <v>162937000</v>
      </c>
      <c r="C30" s="135">
        <v>117368500</v>
      </c>
      <c r="D30" s="135">
        <v>35133602</v>
      </c>
      <c r="E30" s="135">
        <v>0</v>
      </c>
      <c r="F30" s="135">
        <v>18473350</v>
      </c>
      <c r="G30" s="135">
        <v>5234700</v>
      </c>
      <c r="H30" s="135">
        <v>8165100</v>
      </c>
      <c r="I30" s="135">
        <v>1130400</v>
      </c>
      <c r="J30" s="135">
        <v>39300</v>
      </c>
      <c r="K30" s="135">
        <v>0</v>
      </c>
      <c r="L30" s="135">
        <v>148257894</v>
      </c>
      <c r="M30" s="135">
        <v>58183500</v>
      </c>
      <c r="N30" s="135">
        <v>700</v>
      </c>
      <c r="O30" s="135">
        <v>173</v>
      </c>
      <c r="P30" s="135">
        <v>1799923</v>
      </c>
      <c r="Q30" s="135">
        <v>395000</v>
      </c>
      <c r="R30" s="135">
        <v>75000</v>
      </c>
      <c r="S30" s="135">
        <v>834423</v>
      </c>
      <c r="T30" s="135">
        <v>210000</v>
      </c>
      <c r="U30" s="135">
        <v>39000</v>
      </c>
      <c r="V30" s="135">
        <v>1799923</v>
      </c>
      <c r="W30" s="135">
        <v>395000</v>
      </c>
      <c r="X30" s="135">
        <v>75000</v>
      </c>
      <c r="Y30" s="135">
        <v>834423</v>
      </c>
      <c r="Z30" s="135">
        <v>220000</v>
      </c>
      <c r="AA30" s="135">
        <v>39000</v>
      </c>
      <c r="AB30" s="135">
        <v>-1143400</v>
      </c>
      <c r="AC30" s="135">
        <v>-4863</v>
      </c>
      <c r="AD30" s="135">
        <v>163365</v>
      </c>
      <c r="AE30" s="135">
        <v>0</v>
      </c>
      <c r="AF30" s="135">
        <v>0</v>
      </c>
      <c r="AG30" s="135">
        <v>0</v>
      </c>
      <c r="AH30" s="135">
        <v>2013975.41</v>
      </c>
      <c r="AI30" s="135">
        <v>0</v>
      </c>
      <c r="AJ30" s="139">
        <v>0</v>
      </c>
      <c r="AK30" s="82">
        <v>38481801</v>
      </c>
      <c r="AL30" s="82">
        <v>6464876</v>
      </c>
      <c r="AM30" s="135">
        <v>6055914</v>
      </c>
      <c r="AN30" s="135">
        <v>6380490</v>
      </c>
      <c r="AO30" s="135">
        <v>47983</v>
      </c>
      <c r="AP30" s="135">
        <v>1042429</v>
      </c>
      <c r="AQ30" s="135">
        <v>4815515</v>
      </c>
      <c r="AR30" s="135">
        <v>6760510</v>
      </c>
      <c r="AS30" s="135">
        <v>0</v>
      </c>
      <c r="AT30" s="135">
        <v>126525</v>
      </c>
      <c r="AU30" s="135">
        <v>0</v>
      </c>
      <c r="AV30" s="135">
        <v>0</v>
      </c>
      <c r="AW30" s="135">
        <v>0</v>
      </c>
      <c r="AX30" s="135">
        <v>6000</v>
      </c>
      <c r="AY30" s="135">
        <v>59000</v>
      </c>
      <c r="BD30" s="82">
        <v>2310428.41</v>
      </c>
      <c r="BE30" s="82">
        <v>1155214.21</v>
      </c>
      <c r="BF30" s="117">
        <v>0</v>
      </c>
      <c r="BG30" s="118">
        <v>0</v>
      </c>
      <c r="BH30" s="118">
        <v>0</v>
      </c>
      <c r="BI30" s="117">
        <v>2110331</v>
      </c>
      <c r="BJ30" s="117">
        <v>2110331</v>
      </c>
      <c r="BK30" s="117">
        <v>20939496</v>
      </c>
      <c r="BL30" s="117">
        <v>20889704</v>
      </c>
      <c r="BM30" s="117">
        <v>0</v>
      </c>
      <c r="BN30" s="117">
        <v>0</v>
      </c>
      <c r="BO30" s="138"/>
      <c r="BP30" s="86">
        <v>397798991.62</v>
      </c>
      <c r="BQ30" s="86">
        <v>328697065.41000003</v>
      </c>
      <c r="BR30" s="87">
        <v>381000</v>
      </c>
      <c r="BT30" s="86">
        <v>315439102</v>
      </c>
      <c r="BU30" s="82">
        <f t="shared" si="0"/>
        <v>38481801</v>
      </c>
      <c r="BV30" s="82">
        <f t="shared" si="1"/>
        <v>6464876</v>
      </c>
      <c r="BW30" s="86">
        <f t="shared" si="2"/>
        <v>11243988</v>
      </c>
      <c r="BX30" s="86">
        <f t="shared" si="3"/>
        <v>371629767</v>
      </c>
    </row>
    <row r="31" spans="1:76" x14ac:dyDescent="0.25">
      <c r="A31" s="91" t="s">
        <v>85</v>
      </c>
      <c r="B31" s="135">
        <v>3819212769</v>
      </c>
      <c r="C31" s="135">
        <v>435980584</v>
      </c>
      <c r="D31" s="135">
        <v>1792632208</v>
      </c>
      <c r="E31" s="135">
        <v>0</v>
      </c>
      <c r="F31" s="135">
        <v>323629550</v>
      </c>
      <c r="G31" s="135">
        <v>33328300</v>
      </c>
      <c r="H31" s="135">
        <v>22256700</v>
      </c>
      <c r="I31" s="135">
        <v>1200200</v>
      </c>
      <c r="J31" s="135">
        <v>1215300</v>
      </c>
      <c r="K31" s="135">
        <v>78600</v>
      </c>
      <c r="L31" s="135">
        <v>1039010310</v>
      </c>
      <c r="M31" s="135">
        <v>229475763</v>
      </c>
      <c r="N31" s="135">
        <v>8942</v>
      </c>
      <c r="O31" s="135">
        <v>923</v>
      </c>
      <c r="P31" s="135">
        <v>55528315</v>
      </c>
      <c r="Q31" s="135">
        <v>6985785</v>
      </c>
      <c r="R31" s="135">
        <v>58694168</v>
      </c>
      <c r="S31" s="135">
        <v>15668826</v>
      </c>
      <c r="T31" s="135">
        <v>3922867</v>
      </c>
      <c r="U31" s="135">
        <v>16639374</v>
      </c>
      <c r="V31" s="135">
        <v>55528315</v>
      </c>
      <c r="W31" s="135">
        <v>7724332</v>
      </c>
      <c r="X31" s="135">
        <v>58694168</v>
      </c>
      <c r="Y31" s="135">
        <v>15668826</v>
      </c>
      <c r="Z31" s="135">
        <v>7838570</v>
      </c>
      <c r="AA31" s="135">
        <v>16639374</v>
      </c>
      <c r="AB31" s="135">
        <v>-17333265</v>
      </c>
      <c r="AC31" s="135">
        <v>0</v>
      </c>
      <c r="AD31" s="135">
        <v>0</v>
      </c>
      <c r="AE31" s="135">
        <v>0</v>
      </c>
      <c r="AF31" s="135">
        <v>0</v>
      </c>
      <c r="AG31" s="135">
        <v>244901</v>
      </c>
      <c r="AH31" s="135">
        <v>2346114.75</v>
      </c>
      <c r="AI31" s="135">
        <v>226131.15</v>
      </c>
      <c r="AJ31" s="139">
        <v>239213.11</v>
      </c>
      <c r="AK31" s="82">
        <v>725481324</v>
      </c>
      <c r="AL31" s="82">
        <v>15017023</v>
      </c>
      <c r="AM31" s="135">
        <v>60813</v>
      </c>
      <c r="AN31" s="135">
        <v>259781308</v>
      </c>
      <c r="AO31" s="135">
        <v>29738918</v>
      </c>
      <c r="AP31" s="135">
        <v>491481913</v>
      </c>
      <c r="AQ31" s="135">
        <v>312159784</v>
      </c>
      <c r="AR31" s="135">
        <v>286539896</v>
      </c>
      <c r="AS31" s="135">
        <v>69614747</v>
      </c>
      <c r="AT31" s="135">
        <f>29172553+165188941</f>
        <v>194361494</v>
      </c>
      <c r="AU31" s="135">
        <f>25259801</f>
        <v>25259801</v>
      </c>
      <c r="AV31" s="135">
        <v>2985518</v>
      </c>
      <c r="AW31" s="135">
        <v>81581674</v>
      </c>
      <c r="AX31" s="135">
        <v>2077292</v>
      </c>
      <c r="AY31" s="135">
        <v>2587000</v>
      </c>
      <c r="BD31" s="82">
        <v>43557541.890000001</v>
      </c>
      <c r="BE31" s="82">
        <v>21778770.949999999</v>
      </c>
      <c r="BF31" s="117">
        <v>37958549.22279793</v>
      </c>
      <c r="BG31" s="118">
        <v>2107588</v>
      </c>
      <c r="BH31" s="118">
        <v>4215177</v>
      </c>
      <c r="BI31" s="117">
        <v>97003821</v>
      </c>
      <c r="BJ31" s="117">
        <v>97003821</v>
      </c>
      <c r="BK31" s="117">
        <v>145160432</v>
      </c>
      <c r="BL31" s="117">
        <v>140497078</v>
      </c>
      <c r="BM31" s="117">
        <v>51939929</v>
      </c>
      <c r="BN31" s="117">
        <v>0</v>
      </c>
      <c r="BO31" s="138"/>
      <c r="BP31" s="86">
        <v>7706142563.9599991</v>
      </c>
      <c r="BQ31" s="86">
        <v>6652317030.0099993</v>
      </c>
      <c r="BR31" s="87">
        <v>5976080</v>
      </c>
      <c r="BT31" s="86">
        <v>6047825561</v>
      </c>
      <c r="BU31" s="82">
        <f t="shared" si="0"/>
        <v>725481324</v>
      </c>
      <c r="BV31" s="82">
        <f t="shared" si="1"/>
        <v>15017023</v>
      </c>
      <c r="BW31" s="86">
        <f t="shared" si="2"/>
        <v>671294757</v>
      </c>
      <c r="BX31" s="86">
        <f t="shared" si="3"/>
        <v>7459618665</v>
      </c>
    </row>
    <row r="32" spans="1:76" x14ac:dyDescent="0.25">
      <c r="A32" s="91" t="s">
        <v>86</v>
      </c>
      <c r="B32" s="135">
        <v>435440107</v>
      </c>
      <c r="C32" s="135">
        <v>122183898</v>
      </c>
      <c r="D32" s="135">
        <v>51007132</v>
      </c>
      <c r="E32" s="135">
        <v>0</v>
      </c>
      <c r="F32" s="135">
        <v>32041450</v>
      </c>
      <c r="G32" s="135">
        <v>10485250</v>
      </c>
      <c r="H32" s="135">
        <v>14807440</v>
      </c>
      <c r="I32" s="135">
        <v>1625750</v>
      </c>
      <c r="J32" s="135">
        <v>39300</v>
      </c>
      <c r="K32" s="135">
        <v>0</v>
      </c>
      <c r="L32" s="135">
        <v>196385136</v>
      </c>
      <c r="M32" s="135">
        <v>97344247</v>
      </c>
      <c r="N32" s="135">
        <v>1283</v>
      </c>
      <c r="O32" s="135">
        <v>373</v>
      </c>
      <c r="P32" s="135">
        <v>12913132</v>
      </c>
      <c r="Q32" s="135">
        <v>2285506</v>
      </c>
      <c r="R32" s="135">
        <v>658200</v>
      </c>
      <c r="S32" s="135">
        <v>492600</v>
      </c>
      <c r="T32" s="135">
        <v>44000</v>
      </c>
      <c r="U32" s="135">
        <v>119000</v>
      </c>
      <c r="V32" s="135">
        <v>12913132</v>
      </c>
      <c r="W32" s="135">
        <v>1081000</v>
      </c>
      <c r="X32" s="135">
        <v>658200</v>
      </c>
      <c r="Y32" s="135">
        <v>492600</v>
      </c>
      <c r="Z32" s="135">
        <v>0</v>
      </c>
      <c r="AA32" s="135">
        <v>119000</v>
      </c>
      <c r="AB32" s="135">
        <v>-1424653</v>
      </c>
      <c r="AC32" s="135">
        <v>-30313</v>
      </c>
      <c r="AD32" s="135">
        <v>69503</v>
      </c>
      <c r="AE32" s="135">
        <v>7845</v>
      </c>
      <c r="AF32" s="135">
        <v>9942404</v>
      </c>
      <c r="AG32" s="135">
        <v>142345</v>
      </c>
      <c r="AH32" s="135">
        <v>660442.62</v>
      </c>
      <c r="AI32" s="135">
        <v>0</v>
      </c>
      <c r="AJ32" s="139">
        <v>0</v>
      </c>
      <c r="AK32" s="82">
        <v>83050834</v>
      </c>
      <c r="AL32" s="82">
        <v>7948569</v>
      </c>
      <c r="AM32" s="135">
        <v>560000</v>
      </c>
      <c r="AN32" s="135">
        <v>5227455</v>
      </c>
      <c r="AO32" s="135">
        <v>74164</v>
      </c>
      <c r="AP32" s="135">
        <v>5236256</v>
      </c>
      <c r="AQ32" s="135">
        <v>5200115</v>
      </c>
      <c r="AR32" s="135">
        <v>961318</v>
      </c>
      <c r="AS32" s="135">
        <v>0</v>
      </c>
      <c r="AT32" s="135">
        <v>891530</v>
      </c>
      <c r="AU32" s="135">
        <v>0</v>
      </c>
      <c r="AV32" s="135">
        <v>0</v>
      </c>
      <c r="AW32" s="135">
        <v>0</v>
      </c>
      <c r="AX32" s="135">
        <v>0</v>
      </c>
      <c r="AY32" s="135">
        <v>10000</v>
      </c>
      <c r="BD32" s="82">
        <v>4986331.2300000004</v>
      </c>
      <c r="BE32" s="82">
        <v>2493165.62</v>
      </c>
      <c r="BF32" s="117">
        <v>0</v>
      </c>
      <c r="BG32" s="118">
        <v>316031</v>
      </c>
      <c r="BH32" s="118">
        <v>632063</v>
      </c>
      <c r="BI32" s="117">
        <v>2561603</v>
      </c>
      <c r="BJ32" s="117">
        <v>2561603</v>
      </c>
      <c r="BK32" s="117">
        <v>17768580</v>
      </c>
      <c r="BL32" s="117">
        <v>17214467</v>
      </c>
      <c r="BM32" s="117">
        <v>0</v>
      </c>
      <c r="BN32" s="117">
        <v>0</v>
      </c>
      <c r="BO32" s="138"/>
      <c r="BP32" s="86">
        <v>733377983.24000001</v>
      </c>
      <c r="BQ32" s="86">
        <v>619793313.62</v>
      </c>
      <c r="BR32" s="87">
        <v>767550</v>
      </c>
      <c r="BT32" s="86">
        <v>608631137</v>
      </c>
      <c r="BU32" s="82">
        <f t="shared" si="0"/>
        <v>83050834</v>
      </c>
      <c r="BV32" s="82">
        <f t="shared" si="1"/>
        <v>7948569</v>
      </c>
      <c r="BW32" s="86">
        <f t="shared" si="2"/>
        <v>10501734</v>
      </c>
      <c r="BX32" s="86">
        <f t="shared" si="3"/>
        <v>710132274</v>
      </c>
    </row>
    <row r="33" spans="1:76" x14ac:dyDescent="0.25">
      <c r="A33" s="91" t="s">
        <v>87</v>
      </c>
      <c r="B33" s="135">
        <v>70209708</v>
      </c>
      <c r="C33" s="135">
        <v>70006240</v>
      </c>
      <c r="D33" s="135">
        <v>17222163</v>
      </c>
      <c r="E33" s="135">
        <v>0</v>
      </c>
      <c r="F33" s="135">
        <v>8201772</v>
      </c>
      <c r="G33" s="135">
        <v>8232609</v>
      </c>
      <c r="H33" s="135">
        <v>11581858</v>
      </c>
      <c r="I33" s="135">
        <v>6304323</v>
      </c>
      <c r="J33" s="135">
        <v>78600</v>
      </c>
      <c r="K33" s="135">
        <v>0</v>
      </c>
      <c r="L33" s="135">
        <v>114417836</v>
      </c>
      <c r="M33" s="135">
        <v>32155387</v>
      </c>
      <c r="N33" s="135">
        <v>574</v>
      </c>
      <c r="O33" s="135">
        <v>461</v>
      </c>
      <c r="P33" s="135">
        <v>1412747</v>
      </c>
      <c r="Q33" s="135">
        <v>829510</v>
      </c>
      <c r="R33" s="135">
        <v>80000</v>
      </c>
      <c r="S33" s="135">
        <v>996961</v>
      </c>
      <c r="T33" s="135">
        <v>439316</v>
      </c>
      <c r="U33" s="135">
        <v>20000</v>
      </c>
      <c r="V33" s="135">
        <v>1412747</v>
      </c>
      <c r="W33" s="135">
        <v>999633</v>
      </c>
      <c r="X33" s="135">
        <v>80000</v>
      </c>
      <c r="Y33" s="135">
        <v>996961</v>
      </c>
      <c r="Z33" s="135">
        <v>584088</v>
      </c>
      <c r="AA33" s="135">
        <v>20000</v>
      </c>
      <c r="AB33" s="135">
        <v>-1651786</v>
      </c>
      <c r="AC33" s="135">
        <v>-759646</v>
      </c>
      <c r="AD33" s="135">
        <v>120908</v>
      </c>
      <c r="AE33" s="135">
        <v>7540</v>
      </c>
      <c r="AF33" s="135">
        <v>0</v>
      </c>
      <c r="AG33" s="135">
        <v>147860</v>
      </c>
      <c r="AH33" s="135">
        <v>902967.21</v>
      </c>
      <c r="AI33" s="135">
        <v>0</v>
      </c>
      <c r="AJ33" s="139">
        <v>28000</v>
      </c>
      <c r="AK33" s="82">
        <v>33994556</v>
      </c>
      <c r="AL33" s="82">
        <v>1043866</v>
      </c>
      <c r="AM33" s="135">
        <v>0</v>
      </c>
      <c r="AN33" s="135">
        <v>2173073</v>
      </c>
      <c r="AO33" s="135">
        <v>77862</v>
      </c>
      <c r="AP33" s="135">
        <v>221280</v>
      </c>
      <c r="AQ33" s="135">
        <v>1329000</v>
      </c>
      <c r="AR33" s="135">
        <v>280306</v>
      </c>
      <c r="AS33" s="135">
        <v>0</v>
      </c>
      <c r="AT33" s="135">
        <v>633942</v>
      </c>
      <c r="AU33" s="135">
        <v>0</v>
      </c>
      <c r="AV33" s="135">
        <v>0</v>
      </c>
      <c r="AW33" s="135">
        <v>0</v>
      </c>
      <c r="AX33" s="135">
        <v>0</v>
      </c>
      <c r="AY33" s="135">
        <v>0</v>
      </c>
      <c r="BD33" s="82">
        <v>2041016.42</v>
      </c>
      <c r="BE33" s="82">
        <v>1020508.21</v>
      </c>
      <c r="BF33" s="117">
        <v>0</v>
      </c>
      <c r="BG33" s="118">
        <v>0</v>
      </c>
      <c r="BH33" s="118">
        <v>0</v>
      </c>
      <c r="BI33" s="117">
        <v>2840388</v>
      </c>
      <c r="BJ33" s="117">
        <v>2840388</v>
      </c>
      <c r="BK33" s="117">
        <v>24199759</v>
      </c>
      <c r="BL33" s="117">
        <v>24199759</v>
      </c>
      <c r="BM33" s="117">
        <v>0</v>
      </c>
      <c r="BN33" s="117">
        <v>0</v>
      </c>
      <c r="BO33" s="138"/>
      <c r="BP33" s="86">
        <v>225048090.42000002</v>
      </c>
      <c r="BQ33" s="86">
        <v>161949013.21000001</v>
      </c>
      <c r="BR33" s="87">
        <v>56000</v>
      </c>
      <c r="BT33" s="86">
        <v>157438111</v>
      </c>
      <c r="BU33" s="82">
        <f t="shared" si="0"/>
        <v>33994556</v>
      </c>
      <c r="BV33" s="82">
        <f t="shared" si="1"/>
        <v>1043866</v>
      </c>
      <c r="BW33" s="86">
        <f t="shared" si="2"/>
        <v>3579935</v>
      </c>
      <c r="BX33" s="86">
        <f t="shared" si="3"/>
        <v>196056468</v>
      </c>
    </row>
    <row r="34" spans="1:76" x14ac:dyDescent="0.25">
      <c r="A34" s="91" t="s">
        <v>88</v>
      </c>
      <c r="B34" s="135">
        <v>228558294</v>
      </c>
      <c r="C34" s="135">
        <v>105247266</v>
      </c>
      <c r="D34" s="135">
        <v>68674099</v>
      </c>
      <c r="E34" s="135">
        <v>0</v>
      </c>
      <c r="F34" s="135">
        <v>36388007</v>
      </c>
      <c r="G34" s="135">
        <v>14901335</v>
      </c>
      <c r="H34" s="135">
        <v>11705701</v>
      </c>
      <c r="I34" s="135">
        <v>3236900</v>
      </c>
      <c r="J34" s="135">
        <v>153900</v>
      </c>
      <c r="K34" s="135">
        <v>74852</v>
      </c>
      <c r="L34" s="135">
        <v>89955663</v>
      </c>
      <c r="M34" s="135">
        <v>1757800</v>
      </c>
      <c r="N34" s="135">
        <v>1335</v>
      </c>
      <c r="O34" s="135">
        <v>535</v>
      </c>
      <c r="P34" s="135">
        <v>1870175</v>
      </c>
      <c r="Q34" s="135">
        <v>542500</v>
      </c>
      <c r="R34" s="135">
        <v>50000</v>
      </c>
      <c r="S34" s="135">
        <v>2662832</v>
      </c>
      <c r="T34" s="135">
        <v>1710814</v>
      </c>
      <c r="U34" s="135">
        <v>910640</v>
      </c>
      <c r="V34" s="135">
        <v>1870175</v>
      </c>
      <c r="W34" s="135">
        <v>532500</v>
      </c>
      <c r="X34" s="135">
        <v>50000</v>
      </c>
      <c r="Y34" s="135">
        <v>2662832</v>
      </c>
      <c r="Z34" s="135">
        <v>1113200</v>
      </c>
      <c r="AA34" s="135">
        <v>910640</v>
      </c>
      <c r="AB34" s="135">
        <v>-1996700</v>
      </c>
      <c r="AC34" s="135">
        <v>542495</v>
      </c>
      <c r="AD34" s="135">
        <v>94313</v>
      </c>
      <c r="AE34" s="135">
        <v>11831</v>
      </c>
      <c r="AF34" s="135">
        <v>12712191</v>
      </c>
      <c r="AG34" s="135">
        <v>137109</v>
      </c>
      <c r="AH34" s="135">
        <v>1422344.26</v>
      </c>
      <c r="AI34" s="135">
        <v>29549.18</v>
      </c>
      <c r="AJ34" s="139">
        <v>0</v>
      </c>
      <c r="AK34" s="82">
        <v>85300566</v>
      </c>
      <c r="AL34" s="82">
        <v>1868306</v>
      </c>
      <c r="AM34" s="135">
        <v>0</v>
      </c>
      <c r="AN34" s="135">
        <v>6569705</v>
      </c>
      <c r="AO34" s="135">
        <v>116696</v>
      </c>
      <c r="AP34" s="135">
        <v>3220699</v>
      </c>
      <c r="AQ34" s="135">
        <v>6673107</v>
      </c>
      <c r="AR34" s="135">
        <v>2301752</v>
      </c>
      <c r="AS34" s="135">
        <v>0</v>
      </c>
      <c r="AT34" s="135">
        <v>23975</v>
      </c>
      <c r="AU34" s="135">
        <v>0</v>
      </c>
      <c r="AV34" s="135">
        <v>0</v>
      </c>
      <c r="AW34" s="135">
        <v>0</v>
      </c>
      <c r="AX34" s="135">
        <v>7791</v>
      </c>
      <c r="AY34" s="135">
        <v>0</v>
      </c>
      <c r="BD34" s="82">
        <v>5121404.03</v>
      </c>
      <c r="BE34" s="82">
        <v>2560702.02</v>
      </c>
      <c r="BF34" s="117">
        <v>0</v>
      </c>
      <c r="BG34" s="118">
        <v>5119853</v>
      </c>
      <c r="BH34" s="118">
        <v>10239705</v>
      </c>
      <c r="BI34" s="117">
        <v>16081597</v>
      </c>
      <c r="BJ34" s="117">
        <v>16081597</v>
      </c>
      <c r="BK34" s="117">
        <v>36303519</v>
      </c>
      <c r="BL34" s="117">
        <v>33417488</v>
      </c>
      <c r="BM34" s="117">
        <v>0</v>
      </c>
      <c r="BN34" s="117">
        <v>0</v>
      </c>
      <c r="BO34" s="138"/>
      <c r="BP34" s="86">
        <v>561639572.46000004</v>
      </c>
      <c r="BQ34" s="86">
        <v>417291060.44</v>
      </c>
      <c r="BR34" s="87">
        <v>1072000</v>
      </c>
      <c r="BT34" s="86">
        <v>402479659</v>
      </c>
      <c r="BU34" s="82">
        <f t="shared" ref="BU34:BU65" si="4">AK34</f>
        <v>85300566</v>
      </c>
      <c r="BV34" s="82">
        <f t="shared" ref="BV34:BV65" si="5">AL34</f>
        <v>1868306</v>
      </c>
      <c r="BW34" s="86">
        <f t="shared" ref="BW34:BW65" si="6">AN34+AO34+AQ34+AS34</f>
        <v>13359508</v>
      </c>
      <c r="BX34" s="86">
        <f t="shared" si="3"/>
        <v>503008039</v>
      </c>
    </row>
    <row r="35" spans="1:76" x14ac:dyDescent="0.25">
      <c r="A35" s="91" t="s">
        <v>89</v>
      </c>
      <c r="B35" s="135">
        <v>18607797200</v>
      </c>
      <c r="C35" s="135">
        <v>767150400</v>
      </c>
      <c r="D35" s="135">
        <v>9147947500</v>
      </c>
      <c r="E35" s="135">
        <v>0</v>
      </c>
      <c r="F35" s="135">
        <v>806523600</v>
      </c>
      <c r="G35" s="135">
        <v>42041600</v>
      </c>
      <c r="H35" s="135">
        <v>12129800</v>
      </c>
      <c r="I35" s="135">
        <v>157200</v>
      </c>
      <c r="J35" s="135">
        <v>1414800</v>
      </c>
      <c r="K35" s="135">
        <v>78600</v>
      </c>
      <c r="L35" s="135">
        <v>1499989100</v>
      </c>
      <c r="M35" s="135">
        <v>566429900</v>
      </c>
      <c r="N35" s="135">
        <v>20998</v>
      </c>
      <c r="O35" s="135">
        <v>1101</v>
      </c>
      <c r="P35" s="135">
        <v>123171260</v>
      </c>
      <c r="Q35" s="135">
        <v>8580800</v>
      </c>
      <c r="R35" s="135">
        <v>244902548</v>
      </c>
      <c r="S35" s="135">
        <v>16404073</v>
      </c>
      <c r="T35" s="135">
        <v>1163192</v>
      </c>
      <c r="U35" s="135">
        <v>31208208</v>
      </c>
      <c r="V35" s="135">
        <v>123171260</v>
      </c>
      <c r="W35" s="135">
        <v>9770278</v>
      </c>
      <c r="X35" s="135">
        <v>244902548</v>
      </c>
      <c r="Y35" s="135">
        <v>16404073</v>
      </c>
      <c r="Z35" s="135">
        <v>3195170</v>
      </c>
      <c r="AA35" s="135">
        <v>31208208</v>
      </c>
      <c r="AB35" s="135">
        <v>-35110384</v>
      </c>
      <c r="AC35" s="135">
        <v>-4380125</v>
      </c>
      <c r="AD35" s="135">
        <v>0</v>
      </c>
      <c r="AE35" s="135">
        <v>0</v>
      </c>
      <c r="AF35" s="135">
        <v>0</v>
      </c>
      <c r="AG35" s="135">
        <v>0</v>
      </c>
      <c r="AH35" s="135">
        <v>0</v>
      </c>
      <c r="AI35" s="135">
        <v>1889057.38</v>
      </c>
      <c r="AJ35" s="139">
        <v>0</v>
      </c>
      <c r="AK35" s="82">
        <v>2413392616</v>
      </c>
      <c r="AL35" s="82">
        <v>21186031</v>
      </c>
      <c r="AM35" s="135">
        <v>81899</v>
      </c>
      <c r="AN35" s="135">
        <v>1042225289</v>
      </c>
      <c r="AO35" s="135">
        <v>33796571</v>
      </c>
      <c r="AP35" s="135">
        <v>427361659</v>
      </c>
      <c r="AQ35" s="135">
        <v>793106194</v>
      </c>
      <c r="AR35" s="135">
        <v>501821883</v>
      </c>
      <c r="AS35" s="135">
        <v>211763715</v>
      </c>
      <c r="AT35" s="135">
        <v>607307477</v>
      </c>
      <c r="AU35" s="135">
        <v>504717</v>
      </c>
      <c r="AV35" s="135">
        <v>53214</v>
      </c>
      <c r="AW35" s="135">
        <v>3014420</v>
      </c>
      <c r="AX35" s="135">
        <v>4404831</v>
      </c>
      <c r="AY35" s="135">
        <v>50053872</v>
      </c>
      <c r="BD35" s="82">
        <v>144886722.08000001</v>
      </c>
      <c r="BE35" s="82">
        <v>72443361.040000007</v>
      </c>
      <c r="BF35" s="117">
        <v>0</v>
      </c>
      <c r="BG35" s="118">
        <v>5161136</v>
      </c>
      <c r="BH35" s="118">
        <v>10322272</v>
      </c>
      <c r="BI35" s="117">
        <v>361795788</v>
      </c>
      <c r="BJ35" s="117">
        <v>358373519</v>
      </c>
      <c r="BK35" s="117">
        <v>656663716</v>
      </c>
      <c r="BL35" s="117">
        <v>613779702</v>
      </c>
      <c r="BM35" s="117">
        <v>336941</v>
      </c>
      <c r="BN35" s="117">
        <v>0</v>
      </c>
      <c r="BO35" s="138"/>
      <c r="BP35" s="86">
        <v>33878585517.420002</v>
      </c>
      <c r="BQ35" s="86">
        <v>30393912211.380001</v>
      </c>
      <c r="BR35" s="87"/>
      <c r="BT35" s="86">
        <v>28522895100</v>
      </c>
      <c r="BU35" s="82">
        <f t="shared" si="4"/>
        <v>2413392616</v>
      </c>
      <c r="BV35" s="82">
        <f t="shared" si="5"/>
        <v>21186031</v>
      </c>
      <c r="BW35" s="86">
        <f t="shared" si="6"/>
        <v>2080891769</v>
      </c>
      <c r="BX35" s="86">
        <f t="shared" si="3"/>
        <v>33038365516</v>
      </c>
    </row>
    <row r="36" spans="1:76" x14ac:dyDescent="0.25">
      <c r="A36" s="91" t="s">
        <v>90</v>
      </c>
      <c r="B36" s="135">
        <v>283044805</v>
      </c>
      <c r="C36" s="135">
        <v>193431401</v>
      </c>
      <c r="D36" s="135">
        <v>80910990</v>
      </c>
      <c r="E36" s="135">
        <v>0</v>
      </c>
      <c r="F36" s="135">
        <v>43618400</v>
      </c>
      <c r="G36" s="135">
        <v>8716200</v>
      </c>
      <c r="H36" s="135">
        <v>16090100</v>
      </c>
      <c r="I36" s="135">
        <v>1632700</v>
      </c>
      <c r="J36" s="135">
        <v>39300</v>
      </c>
      <c r="K36" s="135">
        <v>0</v>
      </c>
      <c r="L36" s="135">
        <v>241633510</v>
      </c>
      <c r="M36" s="135">
        <v>100219800</v>
      </c>
      <c r="N36" s="135">
        <v>1625</v>
      </c>
      <c r="O36" s="135">
        <v>297</v>
      </c>
      <c r="P36" s="135">
        <v>3849650</v>
      </c>
      <c r="Q36" s="135">
        <v>2244300</v>
      </c>
      <c r="R36" s="135">
        <v>243000</v>
      </c>
      <c r="S36" s="135">
        <v>1874650</v>
      </c>
      <c r="T36" s="135">
        <v>1279100</v>
      </c>
      <c r="U36" s="135">
        <v>449100</v>
      </c>
      <c r="V36" s="135">
        <v>3823650</v>
      </c>
      <c r="W36" s="135">
        <v>2532900</v>
      </c>
      <c r="X36" s="135">
        <v>243000</v>
      </c>
      <c r="Y36" s="135">
        <v>1874650</v>
      </c>
      <c r="Z36" s="135">
        <v>1775600</v>
      </c>
      <c r="AA36" s="135">
        <v>449100</v>
      </c>
      <c r="AB36" s="135">
        <v>-1006500</v>
      </c>
      <c r="AC36" s="135">
        <v>0</v>
      </c>
      <c r="AD36" s="135">
        <v>51886</v>
      </c>
      <c r="AE36" s="135">
        <v>48500</v>
      </c>
      <c r="AF36" s="135">
        <v>82698740</v>
      </c>
      <c r="AG36" s="135">
        <v>212356</v>
      </c>
      <c r="AH36" s="135">
        <v>0</v>
      </c>
      <c r="AI36" s="135">
        <v>90836.07</v>
      </c>
      <c r="AJ36" s="139">
        <v>0</v>
      </c>
      <c r="AK36" s="82">
        <v>116250010</v>
      </c>
      <c r="AL36" s="82">
        <v>1218968</v>
      </c>
      <c r="AM36" s="135">
        <v>0</v>
      </c>
      <c r="AN36" s="135">
        <v>35357245</v>
      </c>
      <c r="AO36" s="135">
        <v>1614202</v>
      </c>
      <c r="AP36" s="135">
        <v>37054503</v>
      </c>
      <c r="AQ36" s="135">
        <v>25149647</v>
      </c>
      <c r="AR36" s="135">
        <v>17251060</v>
      </c>
      <c r="AS36" s="135">
        <v>596561</v>
      </c>
      <c r="AT36" s="135">
        <v>0</v>
      </c>
      <c r="AU36" s="135">
        <v>0</v>
      </c>
      <c r="AV36" s="135">
        <v>49969</v>
      </c>
      <c r="AW36" s="135">
        <v>1108884</v>
      </c>
      <c r="AX36" s="135">
        <v>1849</v>
      </c>
      <c r="AY36" s="135">
        <v>90000</v>
      </c>
      <c r="BD36" s="82">
        <v>6979593.4299999997</v>
      </c>
      <c r="BE36" s="82">
        <v>3489796.72</v>
      </c>
      <c r="BF36" s="117">
        <v>0</v>
      </c>
      <c r="BG36" s="118">
        <v>636334</v>
      </c>
      <c r="BH36" s="118">
        <v>1272667</v>
      </c>
      <c r="BI36" s="117">
        <v>14296286</v>
      </c>
      <c r="BJ36" s="117">
        <v>14296286</v>
      </c>
      <c r="BK36" s="117">
        <v>34163285</v>
      </c>
      <c r="BL36" s="117">
        <v>33907772</v>
      </c>
      <c r="BM36" s="117">
        <v>0</v>
      </c>
      <c r="BN36" s="117">
        <v>0</v>
      </c>
      <c r="BO36" s="138"/>
      <c r="BP36" s="86">
        <v>789398292.79000008</v>
      </c>
      <c r="BQ36" s="86">
        <v>619599126.07000005</v>
      </c>
      <c r="BR36" s="87">
        <v>873550</v>
      </c>
      <c r="BT36" s="86">
        <v>557387196</v>
      </c>
      <c r="BU36" s="82">
        <f t="shared" si="4"/>
        <v>116250010</v>
      </c>
      <c r="BV36" s="82">
        <f t="shared" si="5"/>
        <v>1218968</v>
      </c>
      <c r="BW36" s="86">
        <f t="shared" si="6"/>
        <v>62717655</v>
      </c>
      <c r="BX36" s="86">
        <f t="shared" si="3"/>
        <v>737573829</v>
      </c>
    </row>
    <row r="37" spans="1:76" x14ac:dyDescent="0.25">
      <c r="A37" s="91" t="s">
        <v>91</v>
      </c>
      <c r="B37" s="135">
        <v>649467722</v>
      </c>
      <c r="C37" s="135">
        <v>124850136</v>
      </c>
      <c r="D37" s="135">
        <v>284045825</v>
      </c>
      <c r="E37" s="135">
        <v>0</v>
      </c>
      <c r="F37" s="135">
        <v>91476050</v>
      </c>
      <c r="G37" s="135">
        <v>83050650</v>
      </c>
      <c r="H37" s="135">
        <v>19975184</v>
      </c>
      <c r="I37" s="135">
        <v>10251250</v>
      </c>
      <c r="J37" s="135">
        <v>341400</v>
      </c>
      <c r="K37" s="135">
        <v>187200</v>
      </c>
      <c r="L37" s="135">
        <v>75175995</v>
      </c>
      <c r="M37" s="135">
        <v>61590722</v>
      </c>
      <c r="N37" s="135">
        <v>3220</v>
      </c>
      <c r="O37" s="135">
        <v>3006</v>
      </c>
      <c r="P37" s="135">
        <v>5049900</v>
      </c>
      <c r="Q37" s="135">
        <v>910000</v>
      </c>
      <c r="R37" s="135">
        <v>6949500</v>
      </c>
      <c r="S37" s="135">
        <v>6622625</v>
      </c>
      <c r="T37" s="135">
        <v>128350</v>
      </c>
      <c r="U37" s="135">
        <v>2757728</v>
      </c>
      <c r="V37" s="135">
        <v>5049900</v>
      </c>
      <c r="W37" s="135">
        <v>910000</v>
      </c>
      <c r="X37" s="135">
        <v>6949500</v>
      </c>
      <c r="Y37" s="135">
        <v>6622625</v>
      </c>
      <c r="Z37" s="135">
        <v>222800</v>
      </c>
      <c r="AA37" s="135">
        <v>2757728</v>
      </c>
      <c r="AB37" s="135">
        <v>-5400153</v>
      </c>
      <c r="AC37" s="135">
        <v>0</v>
      </c>
      <c r="AD37" s="135">
        <v>185672</v>
      </c>
      <c r="AE37" s="135">
        <v>0</v>
      </c>
      <c r="AF37" s="135">
        <v>0</v>
      </c>
      <c r="AG37" s="135">
        <v>210796</v>
      </c>
      <c r="AH37" s="135">
        <v>1004827.87</v>
      </c>
      <c r="AI37" s="135">
        <v>33383852.460000001</v>
      </c>
      <c r="AJ37" s="139">
        <v>11822819.67</v>
      </c>
      <c r="AK37" s="82">
        <v>292401794</v>
      </c>
      <c r="AL37" s="82">
        <v>7406501</v>
      </c>
      <c r="AM37" s="135">
        <v>0</v>
      </c>
      <c r="AN37" s="135">
        <v>55069116</v>
      </c>
      <c r="AO37" s="135">
        <v>2738812</v>
      </c>
      <c r="AP37" s="135">
        <v>163351934</v>
      </c>
      <c r="AQ37" s="135">
        <v>55671866</v>
      </c>
      <c r="AR37" s="135">
        <v>48150941</v>
      </c>
      <c r="AS37" s="135">
        <v>739968</v>
      </c>
      <c r="AT37" s="135">
        <v>0</v>
      </c>
      <c r="AU37" s="135">
        <v>0</v>
      </c>
      <c r="AV37" s="135">
        <v>0</v>
      </c>
      <c r="AW37" s="135">
        <v>0</v>
      </c>
      <c r="AX37" s="135">
        <v>1112</v>
      </c>
      <c r="AY37" s="135">
        <v>1800000</v>
      </c>
      <c r="BD37" s="82">
        <v>17555659.899999999</v>
      </c>
      <c r="BE37" s="82">
        <v>8777829.9499999993</v>
      </c>
      <c r="BF37" s="117">
        <v>0</v>
      </c>
      <c r="BG37" s="118">
        <v>5428766</v>
      </c>
      <c r="BH37" s="118">
        <v>10857533</v>
      </c>
      <c r="BI37" s="117">
        <v>157563422</v>
      </c>
      <c r="BJ37" s="117">
        <v>157563422</v>
      </c>
      <c r="BK37" s="117">
        <v>209714869</v>
      </c>
      <c r="BL37" s="117">
        <v>205714314</v>
      </c>
      <c r="BM37" s="117">
        <v>0</v>
      </c>
      <c r="BN37" s="117">
        <v>0</v>
      </c>
      <c r="BO37" s="138"/>
      <c r="BP37" s="86">
        <v>1895347603.95</v>
      </c>
      <c r="BQ37" s="86">
        <v>1218054977</v>
      </c>
      <c r="BR37" s="87">
        <v>14753000</v>
      </c>
      <c r="BT37" s="86">
        <v>1058363683</v>
      </c>
      <c r="BU37" s="82">
        <f t="shared" si="4"/>
        <v>292401794</v>
      </c>
      <c r="BV37" s="82">
        <f t="shared" si="5"/>
        <v>7406501</v>
      </c>
      <c r="BW37" s="86">
        <f t="shared" si="6"/>
        <v>114219762</v>
      </c>
      <c r="BX37" s="86">
        <f t="shared" si="3"/>
        <v>1472391740</v>
      </c>
    </row>
    <row r="38" spans="1:76" x14ac:dyDescent="0.25">
      <c r="A38" s="91" t="s">
        <v>92</v>
      </c>
      <c r="B38" s="135">
        <v>2019648188</v>
      </c>
      <c r="C38" s="135">
        <v>192088868</v>
      </c>
      <c r="D38" s="135">
        <v>943874416</v>
      </c>
      <c r="E38" s="135">
        <v>0</v>
      </c>
      <c r="F38" s="135">
        <v>179838881</v>
      </c>
      <c r="G38" s="135">
        <v>10555870</v>
      </c>
      <c r="H38" s="135">
        <v>13574999</v>
      </c>
      <c r="I38" s="135">
        <v>557255</v>
      </c>
      <c r="J38" s="135">
        <v>157200</v>
      </c>
      <c r="K38" s="135">
        <v>39300</v>
      </c>
      <c r="L38" s="135">
        <v>164384443</v>
      </c>
      <c r="M38" s="135">
        <v>145175835</v>
      </c>
      <c r="N38" s="135">
        <v>5010</v>
      </c>
      <c r="O38" s="135">
        <v>309</v>
      </c>
      <c r="P38" s="135">
        <v>18540481</v>
      </c>
      <c r="Q38" s="135">
        <v>6591456</v>
      </c>
      <c r="R38" s="135">
        <v>53390990</v>
      </c>
      <c r="S38" s="135">
        <v>6767877</v>
      </c>
      <c r="T38" s="135">
        <v>1640349</v>
      </c>
      <c r="U38" s="135">
        <v>13019664</v>
      </c>
      <c r="V38" s="135">
        <v>18540481</v>
      </c>
      <c r="W38" s="135">
        <v>8588257</v>
      </c>
      <c r="X38" s="135">
        <v>53390990</v>
      </c>
      <c r="Y38" s="135">
        <v>6767877</v>
      </c>
      <c r="Z38" s="135">
        <v>2643071</v>
      </c>
      <c r="AA38" s="135">
        <v>13019664</v>
      </c>
      <c r="AB38" s="135">
        <v>-4195700</v>
      </c>
      <c r="AC38" s="135">
        <v>-62468311</v>
      </c>
      <c r="AD38" s="135">
        <v>0</v>
      </c>
      <c r="AE38" s="135">
        <v>0</v>
      </c>
      <c r="AF38" s="135">
        <v>0</v>
      </c>
      <c r="AG38" s="135">
        <v>103271</v>
      </c>
      <c r="AH38" s="135">
        <v>0</v>
      </c>
      <c r="AI38" s="135">
        <v>461500</v>
      </c>
      <c r="AJ38" s="139">
        <v>0</v>
      </c>
      <c r="AK38" s="82">
        <v>374738623</v>
      </c>
      <c r="AL38" s="82">
        <v>8650352</v>
      </c>
      <c r="AM38" s="135">
        <v>87361</v>
      </c>
      <c r="AN38" s="135">
        <v>133279856</v>
      </c>
      <c r="AO38" s="135">
        <v>8161052</v>
      </c>
      <c r="AP38" s="135">
        <v>330446317</v>
      </c>
      <c r="AQ38" s="135">
        <v>84599587</v>
      </c>
      <c r="AR38" s="135">
        <v>112613753</v>
      </c>
      <c r="AS38" s="135">
        <v>54325205</v>
      </c>
      <c r="AT38" s="135">
        <v>4903542</v>
      </c>
      <c r="AU38" s="135">
        <v>0</v>
      </c>
      <c r="AV38" s="135">
        <v>0</v>
      </c>
      <c r="AW38" s="135">
        <v>51675</v>
      </c>
      <c r="AX38" s="135">
        <v>269633</v>
      </c>
      <c r="AY38" s="135">
        <v>1365767</v>
      </c>
      <c r="BD38" s="82">
        <v>22499122.620000001</v>
      </c>
      <c r="BE38" s="82">
        <v>11249561.310000001</v>
      </c>
      <c r="BF38" s="117">
        <v>4417098.4455958549</v>
      </c>
      <c r="BG38" s="118">
        <v>1100416</v>
      </c>
      <c r="BH38" s="118">
        <v>2200832</v>
      </c>
      <c r="BI38" s="117">
        <v>75237742.5</v>
      </c>
      <c r="BJ38" s="117">
        <v>74654955.5</v>
      </c>
      <c r="BK38" s="117">
        <v>48866376.420000002</v>
      </c>
      <c r="BL38" s="117">
        <v>46155579.420000002</v>
      </c>
      <c r="BM38" s="117">
        <v>232367358</v>
      </c>
      <c r="BN38" s="117">
        <v>0</v>
      </c>
      <c r="BO38" s="138"/>
      <c r="BP38" s="86">
        <v>4131030312.23</v>
      </c>
      <c r="BQ38" s="86">
        <v>3382113467</v>
      </c>
      <c r="BR38" s="87">
        <v>5736680</v>
      </c>
      <c r="BT38" s="86">
        <v>3155611472</v>
      </c>
      <c r="BU38" s="82">
        <f t="shared" si="4"/>
        <v>374738623</v>
      </c>
      <c r="BV38" s="82">
        <f t="shared" si="5"/>
        <v>8650352</v>
      </c>
      <c r="BW38" s="86">
        <f t="shared" si="6"/>
        <v>280365700</v>
      </c>
      <c r="BX38" s="86">
        <f t="shared" si="3"/>
        <v>3819366147</v>
      </c>
    </row>
    <row r="39" spans="1:76" x14ac:dyDescent="0.25">
      <c r="A39" s="91" t="s">
        <v>93</v>
      </c>
      <c r="B39" s="135">
        <v>73987543</v>
      </c>
      <c r="C39" s="135">
        <v>67604167</v>
      </c>
      <c r="D39" s="135">
        <v>59511694</v>
      </c>
      <c r="E39" s="135">
        <v>0</v>
      </c>
      <c r="F39" s="135">
        <v>22634309</v>
      </c>
      <c r="G39" s="135">
        <v>4057526</v>
      </c>
      <c r="H39" s="135">
        <v>3726582</v>
      </c>
      <c r="I39" s="135">
        <v>137987</v>
      </c>
      <c r="J39" s="135">
        <v>8000</v>
      </c>
      <c r="K39" s="135">
        <v>0</v>
      </c>
      <c r="L39" s="135">
        <v>313725304</v>
      </c>
      <c r="M39" s="135">
        <v>13913569</v>
      </c>
      <c r="N39" s="135">
        <v>769</v>
      </c>
      <c r="O39" s="135">
        <v>135</v>
      </c>
      <c r="P39" s="135">
        <v>250681</v>
      </c>
      <c r="Q39" s="135">
        <v>911123</v>
      </c>
      <c r="R39" s="135">
        <v>218370</v>
      </c>
      <c r="S39" s="135">
        <v>576288</v>
      </c>
      <c r="T39" s="135">
        <v>42218</v>
      </c>
      <c r="U39" s="135">
        <v>1844015</v>
      </c>
      <c r="V39" s="135">
        <v>250681</v>
      </c>
      <c r="W39" s="135">
        <v>2992200</v>
      </c>
      <c r="X39" s="135">
        <v>218370</v>
      </c>
      <c r="Y39" s="135">
        <v>576288</v>
      </c>
      <c r="Z39" s="135">
        <v>121800</v>
      </c>
      <c r="AA39" s="135">
        <v>1844015</v>
      </c>
      <c r="AB39" s="135">
        <v>-861271</v>
      </c>
      <c r="AC39" s="135">
        <v>-62165</v>
      </c>
      <c r="AD39" s="135">
        <v>28007</v>
      </c>
      <c r="AG39" s="135">
        <v>120041</v>
      </c>
      <c r="AJ39" s="139"/>
      <c r="AK39" s="82">
        <v>36685061</v>
      </c>
      <c r="AL39" s="82">
        <v>566088</v>
      </c>
      <c r="AM39" s="135">
        <v>0</v>
      </c>
      <c r="AN39" s="135">
        <v>13259493</v>
      </c>
      <c r="AO39" s="135">
        <v>3391323</v>
      </c>
      <c r="AP39" s="135">
        <v>37148861</v>
      </c>
      <c r="AQ39" s="135">
        <v>24771810</v>
      </c>
      <c r="AR39" s="135">
        <v>84172059</v>
      </c>
      <c r="AS39" s="135">
        <v>1536492</v>
      </c>
      <c r="AT39" s="135">
        <v>2912959</v>
      </c>
      <c r="AU39" s="135">
        <v>0</v>
      </c>
      <c r="AV39" s="135">
        <v>0</v>
      </c>
      <c r="AW39" s="135">
        <v>4900126</v>
      </c>
      <c r="AX39" s="135">
        <v>472</v>
      </c>
      <c r="AY39" s="135">
        <v>163900</v>
      </c>
      <c r="BD39" s="82">
        <v>2202553.02</v>
      </c>
      <c r="BE39" s="82">
        <v>1101276.51</v>
      </c>
      <c r="BF39" s="117">
        <v>51637305.69948186</v>
      </c>
      <c r="BG39" s="118">
        <v>1247755</v>
      </c>
      <c r="BH39" s="118">
        <v>2495510</v>
      </c>
      <c r="BI39" s="117">
        <v>16519731</v>
      </c>
      <c r="BJ39" s="117">
        <v>16519731</v>
      </c>
      <c r="BK39" s="117">
        <v>25985569</v>
      </c>
      <c r="BL39" s="117">
        <v>18678091</v>
      </c>
      <c r="BM39" s="117">
        <v>0</v>
      </c>
      <c r="BN39" s="117">
        <v>3725152</v>
      </c>
      <c r="BO39" s="138"/>
      <c r="BP39" s="86">
        <v>321049184.50999999</v>
      </c>
      <c r="BQ39" s="86">
        <v>242526030</v>
      </c>
      <c r="BR39" s="87"/>
      <c r="BT39" s="86">
        <v>201103404</v>
      </c>
      <c r="BU39" s="82">
        <f t="shared" si="4"/>
        <v>36685061</v>
      </c>
      <c r="BV39" s="82">
        <f t="shared" si="5"/>
        <v>566088</v>
      </c>
      <c r="BW39" s="86">
        <f t="shared" si="6"/>
        <v>42959118</v>
      </c>
      <c r="BX39" s="86">
        <f t="shared" si="3"/>
        <v>281313671</v>
      </c>
    </row>
    <row r="40" spans="1:76" x14ac:dyDescent="0.25">
      <c r="A40" s="91" t="s">
        <v>94</v>
      </c>
      <c r="B40" s="135">
        <v>253300494</v>
      </c>
      <c r="C40" s="135">
        <v>66568741</v>
      </c>
      <c r="D40" s="135">
        <v>103260672</v>
      </c>
      <c r="E40" s="135">
        <v>110155995</v>
      </c>
      <c r="F40" s="135">
        <v>18967500</v>
      </c>
      <c r="G40" s="135">
        <v>3986400</v>
      </c>
      <c r="H40" s="135">
        <v>4815300</v>
      </c>
      <c r="I40" s="135">
        <v>491600</v>
      </c>
      <c r="J40" s="135">
        <v>0</v>
      </c>
      <c r="K40" s="135">
        <v>24300</v>
      </c>
      <c r="L40" s="135">
        <v>129671689</v>
      </c>
      <c r="M40" s="135">
        <v>53125299</v>
      </c>
      <c r="N40" s="135">
        <v>629</v>
      </c>
      <c r="O40" s="135">
        <v>126</v>
      </c>
      <c r="P40" s="135">
        <v>3075922</v>
      </c>
      <c r="Q40" s="135">
        <v>1201241</v>
      </c>
      <c r="R40" s="135">
        <v>182990</v>
      </c>
      <c r="S40" s="135">
        <v>2813056</v>
      </c>
      <c r="T40" s="135">
        <v>633852</v>
      </c>
      <c r="U40" s="135">
        <v>272380</v>
      </c>
      <c r="V40" s="135">
        <v>3075922</v>
      </c>
      <c r="W40" s="135">
        <v>840920</v>
      </c>
      <c r="X40" s="135">
        <v>182990</v>
      </c>
      <c r="Y40" s="135">
        <v>2813056</v>
      </c>
      <c r="Z40" s="135">
        <v>298837</v>
      </c>
      <c r="AA40" s="135">
        <v>272380</v>
      </c>
      <c r="AB40" s="135">
        <v>-1176560</v>
      </c>
      <c r="AC40" s="135">
        <v>-17158</v>
      </c>
      <c r="AD40" s="135">
        <v>22527</v>
      </c>
      <c r="AE40" s="135">
        <v>0</v>
      </c>
      <c r="AF40" s="135">
        <v>0</v>
      </c>
      <c r="AG40" s="135">
        <v>47572</v>
      </c>
      <c r="AH40" s="135">
        <v>0</v>
      </c>
      <c r="AI40" s="135">
        <v>2281557.38</v>
      </c>
      <c r="AJ40" s="139">
        <v>0</v>
      </c>
      <c r="AK40" s="82">
        <v>61345064</v>
      </c>
      <c r="AL40" s="82">
        <v>2909784</v>
      </c>
      <c r="AM40" s="135">
        <v>234203</v>
      </c>
      <c r="AN40" s="135">
        <v>40663335</v>
      </c>
      <c r="AO40" s="135">
        <v>12498437</v>
      </c>
      <c r="AP40" s="135">
        <v>291849106</v>
      </c>
      <c r="AQ40" s="135">
        <v>76501973</v>
      </c>
      <c r="AR40" s="135">
        <v>108997964</v>
      </c>
      <c r="AS40" s="135">
        <v>48784739</v>
      </c>
      <c r="AT40" s="135">
        <f>172627+15</f>
        <v>172642</v>
      </c>
      <c r="AU40" s="135">
        <f>0</f>
        <v>0</v>
      </c>
      <c r="AV40" s="135">
        <v>0</v>
      </c>
      <c r="AW40" s="135">
        <v>10195544</v>
      </c>
      <c r="AX40" s="135">
        <v>50365</v>
      </c>
      <c r="AY40" s="135">
        <v>0</v>
      </c>
      <c r="BD40" s="82">
        <v>3683127.47</v>
      </c>
      <c r="BE40" s="82">
        <v>1841563.74</v>
      </c>
      <c r="BF40" s="117">
        <v>20974093.264248703</v>
      </c>
      <c r="BG40" s="118">
        <v>818550</v>
      </c>
      <c r="BH40" s="118">
        <v>1637100</v>
      </c>
      <c r="BI40" s="117">
        <v>5448318</v>
      </c>
      <c r="BJ40" s="117">
        <v>5448318</v>
      </c>
      <c r="BK40" s="117">
        <v>34733341</v>
      </c>
      <c r="BL40" s="117">
        <v>33669916</v>
      </c>
      <c r="BM40" s="117">
        <v>43658</v>
      </c>
      <c r="BN40" s="117">
        <v>0</v>
      </c>
      <c r="BO40" s="138"/>
      <c r="BP40" s="86">
        <v>661152063.12</v>
      </c>
      <c r="BQ40" s="86">
        <v>555075209.38</v>
      </c>
      <c r="BR40" s="87">
        <v>432762</v>
      </c>
      <c r="BT40" s="86">
        <v>423129907</v>
      </c>
      <c r="BU40" s="82">
        <f t="shared" si="4"/>
        <v>61345064</v>
      </c>
      <c r="BV40" s="82">
        <f t="shared" si="5"/>
        <v>2909784</v>
      </c>
      <c r="BW40" s="86">
        <f t="shared" si="6"/>
        <v>178448484</v>
      </c>
      <c r="BX40" s="86">
        <f t="shared" si="3"/>
        <v>665833239</v>
      </c>
    </row>
    <row r="41" spans="1:76" x14ac:dyDescent="0.25">
      <c r="A41" s="91" t="s">
        <v>95</v>
      </c>
      <c r="B41" s="135">
        <v>540433889</v>
      </c>
      <c r="C41" s="135">
        <v>135532288</v>
      </c>
      <c r="D41" s="135">
        <v>61662043</v>
      </c>
      <c r="E41" s="135">
        <v>0</v>
      </c>
      <c r="F41" s="135">
        <v>49978910</v>
      </c>
      <c r="G41" s="135">
        <v>9743400</v>
      </c>
      <c r="H41" s="135">
        <v>13599950</v>
      </c>
      <c r="I41" s="135">
        <v>1942600</v>
      </c>
      <c r="J41" s="135">
        <v>157200</v>
      </c>
      <c r="K41" s="135">
        <v>39300</v>
      </c>
      <c r="L41" s="135">
        <v>214847282</v>
      </c>
      <c r="M41" s="135">
        <v>97950200</v>
      </c>
      <c r="N41" s="135">
        <v>1664</v>
      </c>
      <c r="O41" s="135">
        <v>322</v>
      </c>
      <c r="P41" s="135">
        <v>5273500</v>
      </c>
      <c r="Q41" s="135">
        <v>1845000</v>
      </c>
      <c r="R41" s="135">
        <v>250000</v>
      </c>
      <c r="S41" s="135">
        <v>3634338</v>
      </c>
      <c r="T41" s="135">
        <v>2208350</v>
      </c>
      <c r="U41" s="135">
        <v>1598000</v>
      </c>
      <c r="V41" s="135">
        <v>5273500</v>
      </c>
      <c r="W41" s="135">
        <v>2155000</v>
      </c>
      <c r="X41" s="135">
        <v>250000</v>
      </c>
      <c r="Y41" s="135">
        <v>3634338</v>
      </c>
      <c r="Z41" s="135">
        <v>3530250</v>
      </c>
      <c r="AA41" s="135">
        <v>1598000</v>
      </c>
      <c r="AB41" s="135">
        <v>-2180730</v>
      </c>
      <c r="AC41" s="135">
        <v>-17870</v>
      </c>
      <c r="AD41" s="135">
        <v>0</v>
      </c>
      <c r="AE41" s="135">
        <v>0</v>
      </c>
      <c r="AF41" s="135">
        <v>0</v>
      </c>
      <c r="AG41" s="135">
        <v>129061</v>
      </c>
      <c r="AH41" s="135">
        <v>0</v>
      </c>
      <c r="AI41" s="135">
        <v>15000</v>
      </c>
      <c r="AJ41" s="139">
        <v>0</v>
      </c>
      <c r="AK41" s="82">
        <v>129332089</v>
      </c>
      <c r="AL41" s="82">
        <v>8620818</v>
      </c>
      <c r="AM41" s="135">
        <v>19812</v>
      </c>
      <c r="AN41" s="135">
        <v>8297309</v>
      </c>
      <c r="AO41" s="135">
        <v>185744</v>
      </c>
      <c r="AP41" s="135">
        <v>8643546</v>
      </c>
      <c r="AQ41" s="135">
        <v>6256106</v>
      </c>
      <c r="AR41" s="135">
        <v>5920111</v>
      </c>
      <c r="AS41" s="135">
        <v>1652427</v>
      </c>
      <c r="AT41" s="135">
        <f>1474688+607</f>
        <v>1475295</v>
      </c>
      <c r="AU41" s="135">
        <v>0</v>
      </c>
      <c r="AV41" s="135">
        <v>0</v>
      </c>
      <c r="AW41" s="135">
        <v>2500</v>
      </c>
      <c r="AX41" s="135">
        <v>772477</v>
      </c>
      <c r="AY41" s="135">
        <v>0</v>
      </c>
      <c r="BD41" s="82">
        <v>7765035.0199999996</v>
      </c>
      <c r="BE41" s="82">
        <v>3882517.51</v>
      </c>
      <c r="BF41" s="117">
        <v>0</v>
      </c>
      <c r="BG41" s="118">
        <v>0</v>
      </c>
      <c r="BH41" s="118">
        <v>0</v>
      </c>
      <c r="BI41" s="117">
        <v>25235391</v>
      </c>
      <c r="BJ41" s="117">
        <v>25235391</v>
      </c>
      <c r="BK41" s="117">
        <v>34846647</v>
      </c>
      <c r="BL41" s="117">
        <v>34844851</v>
      </c>
      <c r="BM41" s="117">
        <v>0</v>
      </c>
      <c r="BN41" s="117">
        <v>0</v>
      </c>
      <c r="BO41" s="138"/>
      <c r="BP41" s="86">
        <v>954298045.50999999</v>
      </c>
      <c r="BQ41" s="86">
        <v>752382379</v>
      </c>
      <c r="BR41" s="87">
        <v>767750</v>
      </c>
      <c r="BT41" s="86">
        <v>737628220</v>
      </c>
      <c r="BU41" s="82">
        <f t="shared" si="4"/>
        <v>129332089</v>
      </c>
      <c r="BV41" s="82">
        <f t="shared" si="5"/>
        <v>8620818</v>
      </c>
      <c r="BW41" s="86">
        <f t="shared" si="6"/>
        <v>16391586</v>
      </c>
      <c r="BX41" s="86">
        <f t="shared" si="3"/>
        <v>891972713</v>
      </c>
    </row>
    <row r="42" spans="1:76" x14ac:dyDescent="0.25">
      <c r="A42" s="91" t="s">
        <v>96</v>
      </c>
      <c r="B42" s="135">
        <v>662198833</v>
      </c>
      <c r="C42" s="140">
        <v>235722729</v>
      </c>
      <c r="D42" s="135">
        <v>276914224</v>
      </c>
      <c r="E42" s="135">
        <v>1923339</v>
      </c>
      <c r="F42" s="135">
        <v>52988000</v>
      </c>
      <c r="G42" s="135">
        <v>7074000</v>
      </c>
      <c r="H42" s="135">
        <v>23029000</v>
      </c>
      <c r="I42" s="135">
        <v>1956800</v>
      </c>
      <c r="J42" s="135">
        <v>157200</v>
      </c>
      <c r="K42" s="135">
        <v>0</v>
      </c>
      <c r="L42" s="135">
        <v>291473873</v>
      </c>
      <c r="M42" s="135">
        <v>193947280</v>
      </c>
      <c r="N42" s="135">
        <v>1944</v>
      </c>
      <c r="O42" s="135">
        <v>232</v>
      </c>
      <c r="P42" s="135">
        <v>6925725</v>
      </c>
      <c r="Q42" s="135">
        <v>3707300</v>
      </c>
      <c r="R42" s="135">
        <v>3039400</v>
      </c>
      <c r="S42" s="135">
        <v>6983328</v>
      </c>
      <c r="T42" s="135">
        <v>2917225</v>
      </c>
      <c r="U42" s="135">
        <v>3444600</v>
      </c>
      <c r="V42" s="135">
        <v>6925725</v>
      </c>
      <c r="W42" s="135">
        <v>3864600</v>
      </c>
      <c r="X42" s="135">
        <v>3039400</v>
      </c>
      <c r="Y42" s="135">
        <v>6983328</v>
      </c>
      <c r="Z42" s="135">
        <v>725000</v>
      </c>
      <c r="AA42" s="135">
        <v>3444600</v>
      </c>
      <c r="AB42" s="135">
        <v>-1677500</v>
      </c>
      <c r="AC42" s="135">
        <v>-31745</v>
      </c>
      <c r="AD42" s="135">
        <v>68753</v>
      </c>
      <c r="AE42" s="135">
        <v>19</v>
      </c>
      <c r="AF42" s="135">
        <v>0</v>
      </c>
      <c r="AG42" s="135">
        <v>144174</v>
      </c>
      <c r="AJ42" s="139"/>
      <c r="AK42" s="82">
        <v>173943156</v>
      </c>
      <c r="AL42" s="82">
        <v>4687015</v>
      </c>
      <c r="AM42" s="135">
        <v>0</v>
      </c>
      <c r="AN42" s="135">
        <v>26256020</v>
      </c>
      <c r="AO42" s="135">
        <v>400706</v>
      </c>
      <c r="AP42" s="135">
        <v>38200042</v>
      </c>
      <c r="AQ42" s="135">
        <v>29079545</v>
      </c>
      <c r="AR42" s="135">
        <v>38345957</v>
      </c>
      <c r="AS42" s="135">
        <v>6784213</v>
      </c>
      <c r="AT42" s="135">
        <v>259449</v>
      </c>
      <c r="AU42" s="135">
        <v>0</v>
      </c>
      <c r="AV42" s="135">
        <v>0</v>
      </c>
      <c r="AW42" s="135">
        <v>0</v>
      </c>
      <c r="AX42" s="135">
        <v>0</v>
      </c>
      <c r="AY42" s="135">
        <v>0</v>
      </c>
      <c r="BD42" s="82">
        <v>10443461.539999999</v>
      </c>
      <c r="BE42" s="82">
        <v>5221730.7699999996</v>
      </c>
      <c r="BF42" s="117">
        <v>0</v>
      </c>
      <c r="BG42" s="118">
        <v>2951763</v>
      </c>
      <c r="BH42" s="118">
        <v>5903525</v>
      </c>
      <c r="BI42" s="117">
        <v>46446898.700000003</v>
      </c>
      <c r="BJ42" s="117">
        <v>46446898.700000003</v>
      </c>
      <c r="BK42" s="117">
        <v>71329365.799999997</v>
      </c>
      <c r="BL42" s="117">
        <v>64931670.799999997</v>
      </c>
      <c r="BM42" s="117">
        <v>0</v>
      </c>
      <c r="BN42" s="117">
        <v>0</v>
      </c>
      <c r="BO42" s="138"/>
      <c r="BP42" s="86">
        <v>1528754291.27</v>
      </c>
      <c r="BQ42" s="86">
        <v>1230572057</v>
      </c>
      <c r="BR42" s="87">
        <v>1610600</v>
      </c>
      <c r="BT42" s="86">
        <v>1174835786</v>
      </c>
      <c r="BU42" s="82">
        <f t="shared" si="4"/>
        <v>173943156</v>
      </c>
      <c r="BV42" s="82">
        <f t="shared" si="5"/>
        <v>4687015</v>
      </c>
      <c r="BW42" s="86">
        <f t="shared" si="6"/>
        <v>62520484</v>
      </c>
      <c r="BX42" s="86">
        <f t="shared" si="3"/>
        <v>1415986441</v>
      </c>
    </row>
    <row r="43" spans="1:76" x14ac:dyDescent="0.25">
      <c r="A43" s="91" t="s">
        <v>97</v>
      </c>
      <c r="B43" s="135">
        <v>818568491</v>
      </c>
      <c r="C43" s="135">
        <v>402583855</v>
      </c>
      <c r="D43" s="135">
        <v>324362619</v>
      </c>
      <c r="E43" s="135">
        <v>31033333</v>
      </c>
      <c r="F43" s="135">
        <v>105626685</v>
      </c>
      <c r="G43" s="135">
        <v>27787651</v>
      </c>
      <c r="H43" s="135">
        <v>26662140</v>
      </c>
      <c r="I43" s="135">
        <v>4605750</v>
      </c>
      <c r="J43" s="135">
        <v>117600</v>
      </c>
      <c r="K43" s="135">
        <v>100600</v>
      </c>
      <c r="L43" s="135">
        <v>1000679492</v>
      </c>
      <c r="M43" s="135">
        <v>222128452</v>
      </c>
      <c r="N43" s="135">
        <v>3560</v>
      </c>
      <c r="O43" s="135">
        <v>924</v>
      </c>
      <c r="P43" s="135">
        <v>6140899</v>
      </c>
      <c r="Q43" s="135">
        <v>3214000</v>
      </c>
      <c r="R43" s="135">
        <v>9678000</v>
      </c>
      <c r="S43" s="135">
        <v>6769354</v>
      </c>
      <c r="T43" s="135">
        <v>1895299</v>
      </c>
      <c r="U43" s="135">
        <v>2304848</v>
      </c>
      <c r="V43" s="135">
        <v>6140899</v>
      </c>
      <c r="W43" s="135">
        <v>4774000</v>
      </c>
      <c r="X43" s="135">
        <v>9678000</v>
      </c>
      <c r="Y43" s="135">
        <v>6769354</v>
      </c>
      <c r="Z43" s="135">
        <v>2603400</v>
      </c>
      <c r="AA43" s="135">
        <v>2304848</v>
      </c>
      <c r="AB43" s="135">
        <v>-8123071</v>
      </c>
      <c r="AC43" s="135">
        <v>-274746</v>
      </c>
      <c r="AD43" s="135">
        <v>55827</v>
      </c>
      <c r="AE43" s="135">
        <v>92581</v>
      </c>
      <c r="AF43" s="135">
        <v>224978742</v>
      </c>
      <c r="AG43" s="135">
        <v>311630</v>
      </c>
      <c r="AH43" s="135">
        <v>0</v>
      </c>
      <c r="AI43" s="135">
        <v>332713.11</v>
      </c>
      <c r="AJ43" s="139">
        <v>0</v>
      </c>
      <c r="AK43" s="82">
        <v>290981680</v>
      </c>
      <c r="AL43" s="82">
        <v>7297862</v>
      </c>
      <c r="AM43" s="135">
        <v>86279</v>
      </c>
      <c r="AN43" s="135">
        <v>71138630</v>
      </c>
      <c r="AO43" s="135">
        <v>4982785</v>
      </c>
      <c r="AP43" s="135">
        <v>57014433</v>
      </c>
      <c r="AQ43" s="135">
        <v>134396807</v>
      </c>
      <c r="AR43" s="135">
        <v>56320462</v>
      </c>
      <c r="AS43" s="135">
        <v>4814138</v>
      </c>
      <c r="AT43" s="135">
        <v>25275510</v>
      </c>
      <c r="AU43" s="135">
        <v>0</v>
      </c>
      <c r="AV43" s="135">
        <v>0</v>
      </c>
      <c r="AW43" s="135">
        <v>19781381</v>
      </c>
      <c r="AX43" s="135">
        <v>26252</v>
      </c>
      <c r="AY43" s="135">
        <v>1691000</v>
      </c>
      <c r="BD43" s="82">
        <v>17470396.960000001</v>
      </c>
      <c r="BE43" s="82">
        <v>8735198.4800000004</v>
      </c>
      <c r="BF43" s="117">
        <v>0</v>
      </c>
      <c r="BG43" s="118">
        <v>2671320</v>
      </c>
      <c r="BH43" s="118">
        <v>5342641</v>
      </c>
      <c r="BI43" s="117">
        <v>88801508</v>
      </c>
      <c r="BJ43" s="117">
        <v>86004793</v>
      </c>
      <c r="BK43" s="117">
        <v>130375244</v>
      </c>
      <c r="BL43" s="117">
        <v>105401721</v>
      </c>
      <c r="BM43" s="117">
        <v>0</v>
      </c>
      <c r="BN43" s="117">
        <v>9170095</v>
      </c>
      <c r="BO43" s="138"/>
      <c r="BP43" s="86">
        <v>2266628569.5900002</v>
      </c>
      <c r="BQ43" s="86">
        <v>1756365900.1099999</v>
      </c>
      <c r="BR43" s="87">
        <v>4402844</v>
      </c>
      <c r="BT43" s="86">
        <v>1545514965</v>
      </c>
      <c r="BU43" s="82">
        <f t="shared" si="4"/>
        <v>290981680</v>
      </c>
      <c r="BV43" s="82">
        <f t="shared" si="5"/>
        <v>7297862</v>
      </c>
      <c r="BW43" s="86">
        <f t="shared" si="6"/>
        <v>215332360</v>
      </c>
      <c r="BX43" s="86">
        <f t="shared" si="3"/>
        <v>2059126867</v>
      </c>
    </row>
    <row r="44" spans="1:76" x14ac:dyDescent="0.25">
      <c r="A44" s="91" t="s">
        <v>98</v>
      </c>
      <c r="B44" s="140">
        <v>760570821</v>
      </c>
      <c r="C44" s="140">
        <v>221276769</v>
      </c>
      <c r="D44" s="140">
        <v>179118352</v>
      </c>
      <c r="E44" s="140">
        <v>20000000</v>
      </c>
      <c r="F44" s="140">
        <v>70878697</v>
      </c>
      <c r="G44" s="140">
        <v>15150486</v>
      </c>
      <c r="H44" s="140">
        <v>24474545</v>
      </c>
      <c r="I44" s="140">
        <v>2926371</v>
      </c>
      <c r="J44" s="140">
        <v>157200</v>
      </c>
      <c r="K44" s="140">
        <v>0</v>
      </c>
      <c r="L44" s="140">
        <v>331137238</v>
      </c>
      <c r="M44" s="140">
        <v>136095476</v>
      </c>
      <c r="N44" s="140">
        <v>2574</v>
      </c>
      <c r="O44" s="140">
        <v>533</v>
      </c>
      <c r="P44" s="140">
        <v>9500834</v>
      </c>
      <c r="Q44" s="140">
        <v>2492934</v>
      </c>
      <c r="R44" s="140">
        <v>4118667</v>
      </c>
      <c r="S44" s="140">
        <v>5050236</v>
      </c>
      <c r="T44" s="140">
        <v>1572932</v>
      </c>
      <c r="U44" s="140">
        <v>6066310</v>
      </c>
      <c r="V44" s="140">
        <v>9500834</v>
      </c>
      <c r="W44" s="140">
        <v>2951500</v>
      </c>
      <c r="X44" s="140">
        <v>4118667</v>
      </c>
      <c r="Y44" s="140">
        <v>5050236</v>
      </c>
      <c r="Z44" s="140">
        <v>1402261</v>
      </c>
      <c r="AA44" s="140">
        <v>6066310</v>
      </c>
      <c r="AB44" s="140">
        <v>-4668862</v>
      </c>
      <c r="AC44" s="140">
        <v>-46346</v>
      </c>
      <c r="AD44" s="140">
        <v>128626</v>
      </c>
      <c r="AE44" s="140">
        <v>5574</v>
      </c>
      <c r="AF44" s="140">
        <v>5080738</v>
      </c>
      <c r="AG44" s="140">
        <v>275321</v>
      </c>
      <c r="AH44" s="135">
        <v>0</v>
      </c>
      <c r="AI44" s="140">
        <v>706401.64</v>
      </c>
      <c r="AJ44" s="139">
        <v>0</v>
      </c>
      <c r="AK44" s="82">
        <v>162569667</v>
      </c>
      <c r="AL44" s="82">
        <v>20642910</v>
      </c>
      <c r="AM44" s="140">
        <v>231513</v>
      </c>
      <c r="AN44" s="140">
        <v>38692721</v>
      </c>
      <c r="AO44" s="140">
        <v>4541208</v>
      </c>
      <c r="AP44" s="140">
        <v>74949369</v>
      </c>
      <c r="AQ44" s="140">
        <v>68191255</v>
      </c>
      <c r="AR44" s="140">
        <v>40587228</v>
      </c>
      <c r="AS44" s="140">
        <v>15823258</v>
      </c>
      <c r="AT44" s="140">
        <v>0</v>
      </c>
      <c r="AU44" s="140">
        <v>0</v>
      </c>
      <c r="AV44" s="140">
        <v>0</v>
      </c>
      <c r="AW44" s="140">
        <v>6323</v>
      </c>
      <c r="AX44" s="140">
        <v>453430</v>
      </c>
      <c r="AY44" s="140">
        <v>77085</v>
      </c>
      <c r="AZ44" s="140"/>
      <c r="BA44" s="140"/>
      <c r="BB44" s="140"/>
      <c r="BC44" s="140"/>
      <c r="BD44" s="82">
        <v>9760602.8499999996</v>
      </c>
      <c r="BE44" s="82">
        <v>4880301.43</v>
      </c>
      <c r="BF44" s="117">
        <v>0</v>
      </c>
      <c r="BG44" s="118">
        <v>2441414</v>
      </c>
      <c r="BH44" s="118">
        <v>4882829</v>
      </c>
      <c r="BI44" s="117">
        <v>12995495</v>
      </c>
      <c r="BJ44" s="117">
        <v>8084854</v>
      </c>
      <c r="BK44" s="117">
        <v>55300041</v>
      </c>
      <c r="BL44" s="117">
        <v>52036801</v>
      </c>
      <c r="BM44" s="117">
        <v>0</v>
      </c>
      <c r="BN44" s="117">
        <v>0</v>
      </c>
      <c r="BO44" s="141"/>
      <c r="BP44" s="86">
        <v>1523753475.0700002</v>
      </c>
      <c r="BQ44" s="86">
        <v>1273097527.6400001</v>
      </c>
      <c r="BR44" s="87">
        <v>1262503</v>
      </c>
      <c r="BT44" s="86">
        <v>1160965942</v>
      </c>
      <c r="BU44" s="82">
        <f t="shared" si="4"/>
        <v>162569667</v>
      </c>
      <c r="BV44" s="82">
        <f t="shared" si="5"/>
        <v>20642910</v>
      </c>
      <c r="BW44" s="86">
        <f t="shared" si="6"/>
        <v>127248442</v>
      </c>
      <c r="BX44" s="86">
        <f t="shared" si="3"/>
        <v>1471426961</v>
      </c>
    </row>
    <row r="45" spans="1:76" x14ac:dyDescent="0.25">
      <c r="A45" s="91" t="s">
        <v>99</v>
      </c>
      <c r="B45" s="135">
        <v>175740510</v>
      </c>
      <c r="C45" s="135">
        <v>128384344</v>
      </c>
      <c r="D45" s="135">
        <v>42035990</v>
      </c>
      <c r="E45" s="135">
        <v>0</v>
      </c>
      <c r="F45" s="135">
        <v>35508500</v>
      </c>
      <c r="G45" s="135">
        <v>6087923</v>
      </c>
      <c r="H45" s="135">
        <v>16123300</v>
      </c>
      <c r="I45" s="135">
        <v>1258200</v>
      </c>
      <c r="J45" s="135">
        <v>37000</v>
      </c>
      <c r="K45" s="135">
        <v>0</v>
      </c>
      <c r="L45" s="135">
        <v>239424855</v>
      </c>
      <c r="M45" s="135">
        <v>74475200</v>
      </c>
      <c r="N45" s="135">
        <v>1388</v>
      </c>
      <c r="O45" s="135">
        <v>216</v>
      </c>
      <c r="P45" s="135">
        <v>1159152</v>
      </c>
      <c r="Q45" s="135">
        <v>1767000</v>
      </c>
      <c r="R45" s="135">
        <v>1800000</v>
      </c>
      <c r="S45" s="135">
        <v>766351</v>
      </c>
      <c r="T45" s="135">
        <v>309270</v>
      </c>
      <c r="U45" s="135">
        <v>253000</v>
      </c>
      <c r="V45" s="135">
        <v>1159152</v>
      </c>
      <c r="W45" s="135">
        <v>1888000</v>
      </c>
      <c r="X45" s="135">
        <v>1800000</v>
      </c>
      <c r="Y45" s="135">
        <v>766351</v>
      </c>
      <c r="Z45" s="135">
        <v>341500</v>
      </c>
      <c r="AA45" s="135">
        <v>253000</v>
      </c>
      <c r="AB45" s="135">
        <v>-1319700</v>
      </c>
      <c r="AC45" s="135">
        <v>195152</v>
      </c>
      <c r="AD45" s="135">
        <v>39838</v>
      </c>
      <c r="AE45" s="135">
        <v>0</v>
      </c>
      <c r="AF45" s="135">
        <v>0</v>
      </c>
      <c r="AG45" s="135">
        <v>168031</v>
      </c>
      <c r="AH45" s="135">
        <v>229909.84</v>
      </c>
      <c r="AI45" s="135">
        <v>202893.44</v>
      </c>
      <c r="AJ45" s="139">
        <v>0</v>
      </c>
      <c r="AK45" s="82">
        <v>69395060</v>
      </c>
      <c r="AL45" s="82">
        <v>1558895</v>
      </c>
      <c r="AM45" s="135">
        <v>0</v>
      </c>
      <c r="AN45" s="135">
        <v>5256749</v>
      </c>
      <c r="AO45" s="135">
        <v>299124</v>
      </c>
      <c r="AP45" s="135">
        <v>5998431</v>
      </c>
      <c r="AQ45" s="135">
        <v>6280942</v>
      </c>
      <c r="AR45" s="135">
        <v>1519358</v>
      </c>
      <c r="AS45" s="135">
        <v>0</v>
      </c>
      <c r="AT45" s="135">
        <v>201386</v>
      </c>
      <c r="AU45" s="135">
        <v>0</v>
      </c>
      <c r="AV45" s="135">
        <v>0</v>
      </c>
      <c r="AW45" s="135">
        <v>8288</v>
      </c>
      <c r="AX45" s="135">
        <v>0</v>
      </c>
      <c r="AY45" s="135">
        <v>0</v>
      </c>
      <c r="BD45" s="82">
        <v>4166445.27</v>
      </c>
      <c r="BE45" s="82">
        <v>2083222.64</v>
      </c>
      <c r="BF45" s="117">
        <v>0</v>
      </c>
      <c r="BG45" s="118">
        <v>0</v>
      </c>
      <c r="BH45" s="118">
        <v>0</v>
      </c>
      <c r="BI45" s="117">
        <v>27550901</v>
      </c>
      <c r="BJ45" s="117">
        <v>27550901</v>
      </c>
      <c r="BK45" s="117">
        <v>34653114</v>
      </c>
      <c r="BL45" s="117">
        <v>34535450</v>
      </c>
      <c r="BM45" s="117">
        <v>0</v>
      </c>
      <c r="BN45" s="117">
        <v>0</v>
      </c>
      <c r="BO45" s="138"/>
      <c r="BP45" s="86">
        <v>493553990.91999996</v>
      </c>
      <c r="BQ45" s="86">
        <v>358430462.27999997</v>
      </c>
      <c r="BR45" s="87">
        <v>727262</v>
      </c>
      <c r="BT45" s="86">
        <v>346160844</v>
      </c>
      <c r="BU45" s="82">
        <f t="shared" si="4"/>
        <v>69395060</v>
      </c>
      <c r="BV45" s="82">
        <f t="shared" si="5"/>
        <v>1558895</v>
      </c>
      <c r="BW45" s="86">
        <f t="shared" si="6"/>
        <v>11836815</v>
      </c>
      <c r="BX45" s="86">
        <f t="shared" si="3"/>
        <v>428951614</v>
      </c>
    </row>
    <row r="46" spans="1:76" x14ac:dyDescent="0.25">
      <c r="A46" s="91" t="s">
        <v>100</v>
      </c>
      <c r="B46" s="135">
        <v>919093361</v>
      </c>
      <c r="C46" s="135">
        <v>132004384</v>
      </c>
      <c r="D46" s="135">
        <v>294002229</v>
      </c>
      <c r="E46" s="135">
        <v>0</v>
      </c>
      <c r="F46" s="135">
        <v>144195392</v>
      </c>
      <c r="G46" s="135">
        <v>29968670</v>
      </c>
      <c r="H46" s="135">
        <v>20478627</v>
      </c>
      <c r="I46" s="135">
        <v>4232627</v>
      </c>
      <c r="J46" s="135">
        <v>39300</v>
      </c>
      <c r="K46" s="135">
        <v>0</v>
      </c>
      <c r="L46" s="135">
        <v>122794278</v>
      </c>
      <c r="M46" s="135">
        <v>114728364</v>
      </c>
      <c r="N46" s="135">
        <v>4608</v>
      </c>
      <c r="O46" s="135">
        <v>1099</v>
      </c>
      <c r="P46" s="135">
        <v>4284271</v>
      </c>
      <c r="Q46" s="135">
        <v>1427262</v>
      </c>
      <c r="R46" s="135">
        <v>3822140</v>
      </c>
      <c r="S46" s="135">
        <v>5594361</v>
      </c>
      <c r="T46" s="135">
        <v>2448412</v>
      </c>
      <c r="U46" s="135">
        <v>1780969</v>
      </c>
      <c r="V46" s="135">
        <v>4284271</v>
      </c>
      <c r="W46" s="135">
        <v>2510454</v>
      </c>
      <c r="X46" s="135">
        <v>3822140</v>
      </c>
      <c r="Y46" s="135">
        <v>5594361</v>
      </c>
      <c r="Z46" s="135">
        <v>3196586</v>
      </c>
      <c r="AA46" s="135">
        <v>1780969</v>
      </c>
      <c r="AB46" s="135">
        <v>-3073033</v>
      </c>
      <c r="AC46" s="135">
        <v>0</v>
      </c>
      <c r="AD46" s="135">
        <v>145330</v>
      </c>
      <c r="AE46" s="135">
        <v>0</v>
      </c>
      <c r="AF46" s="135">
        <v>0</v>
      </c>
      <c r="AG46" s="135">
        <v>8197411</v>
      </c>
      <c r="AH46" s="135">
        <v>2858163.93</v>
      </c>
      <c r="AI46" s="135">
        <v>228967.21</v>
      </c>
      <c r="AJ46" s="139">
        <v>0</v>
      </c>
      <c r="AK46" s="82">
        <v>258476341</v>
      </c>
      <c r="AL46" s="82">
        <v>6452534</v>
      </c>
      <c r="AM46" s="135">
        <v>25000</v>
      </c>
      <c r="AN46" s="135">
        <v>44963419</v>
      </c>
      <c r="AO46" s="135">
        <v>1468199</v>
      </c>
      <c r="AP46" s="135">
        <v>122814087</v>
      </c>
      <c r="AQ46" s="135">
        <v>49661427</v>
      </c>
      <c r="AR46" s="135">
        <v>62352950</v>
      </c>
      <c r="AS46" s="135">
        <v>120237302</v>
      </c>
      <c r="AT46" s="135">
        <f>763101+37860</f>
        <v>800961</v>
      </c>
      <c r="AU46" s="135">
        <v>0</v>
      </c>
      <c r="AV46" s="135">
        <v>0</v>
      </c>
      <c r="AW46" s="135">
        <v>0</v>
      </c>
      <c r="AX46" s="135">
        <v>94349</v>
      </c>
      <c r="AY46" s="135">
        <v>458500</v>
      </c>
      <c r="BD46" s="82">
        <v>15518792.390000001</v>
      </c>
      <c r="BE46" s="82">
        <v>7759396.2000000002</v>
      </c>
      <c r="BF46" s="117">
        <v>36932642.487046629</v>
      </c>
      <c r="BG46" s="118">
        <v>33468020</v>
      </c>
      <c r="BH46" s="118">
        <v>66936041</v>
      </c>
      <c r="BI46" s="117">
        <v>77829898</v>
      </c>
      <c r="BJ46" s="117">
        <v>77829898</v>
      </c>
      <c r="BK46" s="117">
        <v>137650412.22</v>
      </c>
      <c r="BL46" s="117">
        <v>114441147.22</v>
      </c>
      <c r="BM46" s="117">
        <v>0</v>
      </c>
      <c r="BN46" s="117">
        <v>0</v>
      </c>
      <c r="BO46" s="138"/>
      <c r="BP46" s="86">
        <v>1942707486.5600002</v>
      </c>
      <c r="BQ46" s="86">
        <v>1444280150.1400001</v>
      </c>
      <c r="BR46" s="87">
        <v>2076852</v>
      </c>
      <c r="BT46" s="86">
        <v>1345099974</v>
      </c>
      <c r="BU46" s="82">
        <f t="shared" si="4"/>
        <v>258476341</v>
      </c>
      <c r="BV46" s="82">
        <f t="shared" si="5"/>
        <v>6452534</v>
      </c>
      <c r="BW46" s="86">
        <f t="shared" si="6"/>
        <v>216330347</v>
      </c>
      <c r="BX46" s="86">
        <f t="shared" si="3"/>
        <v>1826359196</v>
      </c>
    </row>
    <row r="47" spans="1:76" x14ac:dyDescent="0.25">
      <c r="A47" s="91" t="s">
        <v>101</v>
      </c>
      <c r="B47" s="135">
        <v>177221673</v>
      </c>
      <c r="C47" s="135">
        <v>87181149</v>
      </c>
      <c r="D47" s="135">
        <v>167776914</v>
      </c>
      <c r="E47" s="135">
        <v>12609970</v>
      </c>
      <c r="F47" s="135">
        <v>25152200</v>
      </c>
      <c r="G47" s="135">
        <v>3666900</v>
      </c>
      <c r="H47" s="135">
        <v>11005700</v>
      </c>
      <c r="I47" s="135">
        <v>865400</v>
      </c>
      <c r="J47" s="135">
        <v>0</v>
      </c>
      <c r="K47" s="135">
        <v>39300</v>
      </c>
      <c r="L47" s="135">
        <v>217828801</v>
      </c>
      <c r="M47" s="135">
        <v>67054709</v>
      </c>
      <c r="N47" s="135">
        <v>971</v>
      </c>
      <c r="O47" s="135">
        <v>143</v>
      </c>
      <c r="P47" s="135">
        <v>5080690</v>
      </c>
      <c r="Q47" s="135">
        <v>1956800</v>
      </c>
      <c r="R47" s="135">
        <v>46200</v>
      </c>
      <c r="S47" s="135">
        <v>1620322</v>
      </c>
      <c r="T47" s="135">
        <v>1221465</v>
      </c>
      <c r="U47" s="135">
        <v>746019</v>
      </c>
      <c r="V47" s="135">
        <v>5080690</v>
      </c>
      <c r="W47" s="135">
        <v>2290201</v>
      </c>
      <c r="X47" s="135">
        <v>46200</v>
      </c>
      <c r="Y47" s="135">
        <v>1620322</v>
      </c>
      <c r="Z47" s="135">
        <v>1724665</v>
      </c>
      <c r="AA47" s="135">
        <v>746019</v>
      </c>
      <c r="AB47" s="135">
        <v>-666589</v>
      </c>
      <c r="AC47" s="135">
        <v>104117</v>
      </c>
      <c r="AD47" s="135">
        <v>88856</v>
      </c>
      <c r="AE47" s="135">
        <v>0</v>
      </c>
      <c r="AF47" s="135">
        <v>0</v>
      </c>
      <c r="AG47" s="135">
        <v>105822</v>
      </c>
      <c r="AH47" s="135">
        <v>247368.85</v>
      </c>
      <c r="AI47" s="135">
        <v>20409.84</v>
      </c>
      <c r="AJ47" s="139">
        <v>0</v>
      </c>
      <c r="AK47" s="82">
        <v>67707169</v>
      </c>
      <c r="AL47" s="82">
        <v>1674065</v>
      </c>
      <c r="AM47" s="135">
        <v>0</v>
      </c>
      <c r="AN47" s="135">
        <v>78498461</v>
      </c>
      <c r="AO47" s="135">
        <v>54276499</v>
      </c>
      <c r="AP47" s="135">
        <v>1042897700</v>
      </c>
      <c r="AQ47" s="135">
        <v>70934527</v>
      </c>
      <c r="AR47" s="135">
        <v>182436343</v>
      </c>
      <c r="AS47" s="135">
        <v>54221745</v>
      </c>
      <c r="AT47" s="135">
        <f>2249502+29365742</f>
        <v>31615244</v>
      </c>
      <c r="AU47" s="135">
        <v>0</v>
      </c>
      <c r="AV47" s="135">
        <v>0</v>
      </c>
      <c r="AW47" s="135">
        <v>44082053</v>
      </c>
      <c r="AX47" s="135">
        <v>625</v>
      </c>
      <c r="AY47" s="135">
        <v>174500</v>
      </c>
      <c r="BD47" s="82">
        <v>4065105.13</v>
      </c>
      <c r="BE47" s="82">
        <v>2032552.57</v>
      </c>
      <c r="BF47" s="117">
        <v>34082901.55440414</v>
      </c>
      <c r="BG47" s="118">
        <v>1815046</v>
      </c>
      <c r="BH47" s="118">
        <v>3630092</v>
      </c>
      <c r="BI47" s="117">
        <v>134667422</v>
      </c>
      <c r="BJ47" s="117">
        <v>134667422</v>
      </c>
      <c r="BK47" s="117">
        <v>59834262</v>
      </c>
      <c r="BL47" s="117">
        <v>58176687</v>
      </c>
      <c r="BM47" s="117">
        <v>0</v>
      </c>
      <c r="BN47" s="117">
        <v>0</v>
      </c>
      <c r="BO47" s="138"/>
      <c r="BP47" s="86">
        <v>902229943.26000011</v>
      </c>
      <c r="BQ47" s="86">
        <v>636157001.69000006</v>
      </c>
      <c r="BR47" s="87">
        <v>553897</v>
      </c>
      <c r="BT47" s="86">
        <v>432179736</v>
      </c>
      <c r="BU47" s="82">
        <f t="shared" si="4"/>
        <v>67707169</v>
      </c>
      <c r="BV47" s="82">
        <f t="shared" si="5"/>
        <v>1674065</v>
      </c>
      <c r="BW47" s="86">
        <f t="shared" si="6"/>
        <v>257931232</v>
      </c>
      <c r="BX47" s="86">
        <f t="shared" si="3"/>
        <v>759492202</v>
      </c>
    </row>
    <row r="48" spans="1:76" x14ac:dyDescent="0.25">
      <c r="A48" s="91" t="s">
        <v>102</v>
      </c>
      <c r="B48" s="135">
        <v>4202384700</v>
      </c>
      <c r="C48" s="135">
        <v>400373900</v>
      </c>
      <c r="D48" s="135">
        <v>1677920586</v>
      </c>
      <c r="E48" s="135">
        <v>5349600</v>
      </c>
      <c r="F48" s="135">
        <v>278049900</v>
      </c>
      <c r="G48" s="135">
        <v>41398000</v>
      </c>
      <c r="H48" s="135">
        <v>32693400</v>
      </c>
      <c r="I48" s="135">
        <v>2544800</v>
      </c>
      <c r="J48" s="135">
        <v>510900</v>
      </c>
      <c r="K48" s="135">
        <v>0</v>
      </c>
      <c r="L48" s="135">
        <v>710306800</v>
      </c>
      <c r="M48" s="135">
        <v>1145918900</v>
      </c>
      <c r="N48" s="135">
        <v>8063</v>
      </c>
      <c r="O48" s="135">
        <v>1178</v>
      </c>
      <c r="P48" s="135">
        <v>72803300</v>
      </c>
      <c r="Q48" s="135">
        <v>4299500</v>
      </c>
      <c r="R48" s="135">
        <v>45528700</v>
      </c>
      <c r="S48" s="135">
        <v>12816500</v>
      </c>
      <c r="T48" s="135">
        <v>1155100</v>
      </c>
      <c r="U48" s="135">
        <v>12915500</v>
      </c>
      <c r="V48" s="135">
        <v>72803300</v>
      </c>
      <c r="W48" s="135">
        <v>4299500</v>
      </c>
      <c r="X48" s="135">
        <v>45528700</v>
      </c>
      <c r="Y48" s="135">
        <v>12816500</v>
      </c>
      <c r="Z48" s="135">
        <v>1155100</v>
      </c>
      <c r="AA48" s="135">
        <v>12915500</v>
      </c>
      <c r="AB48" s="135">
        <v>-4808800</v>
      </c>
      <c r="AC48" s="135">
        <v>-157478</v>
      </c>
      <c r="AD48" s="135">
        <v>87617</v>
      </c>
      <c r="AE48" s="135">
        <v>0</v>
      </c>
      <c r="AF48" s="135">
        <v>0</v>
      </c>
      <c r="AG48" s="135">
        <v>263842</v>
      </c>
      <c r="AH48" s="135">
        <v>0</v>
      </c>
      <c r="AI48" s="135">
        <v>1435016.4</v>
      </c>
      <c r="AJ48" s="139">
        <v>0</v>
      </c>
      <c r="AK48" s="82">
        <v>765408534</v>
      </c>
      <c r="AL48" s="82">
        <v>15109437</v>
      </c>
      <c r="AM48" s="135">
        <v>40000</v>
      </c>
      <c r="AN48" s="135">
        <v>206047094</v>
      </c>
      <c r="AO48" s="135">
        <v>42247983</v>
      </c>
      <c r="AP48" s="135">
        <v>643197091</v>
      </c>
      <c r="AQ48" s="135">
        <v>220504152</v>
      </c>
      <c r="AR48" s="135">
        <v>253156931</v>
      </c>
      <c r="AS48" s="135">
        <v>62656271</v>
      </c>
      <c r="AT48" s="135">
        <v>2519393</v>
      </c>
      <c r="AU48" s="135">
        <v>0</v>
      </c>
      <c r="AV48" s="135">
        <v>75597</v>
      </c>
      <c r="AW48" s="135">
        <v>62210</v>
      </c>
      <c r="AX48" s="135">
        <v>809687</v>
      </c>
      <c r="AY48" s="135">
        <v>1187791</v>
      </c>
      <c r="BD48" s="82">
        <v>45954751.939999998</v>
      </c>
      <c r="BE48" s="82">
        <v>22977375.969999999</v>
      </c>
      <c r="BF48" s="117">
        <v>3191709.8445595852</v>
      </c>
      <c r="BG48" s="118">
        <v>6046594</v>
      </c>
      <c r="BH48" s="118">
        <v>12093187</v>
      </c>
      <c r="BI48" s="117">
        <v>57089819</v>
      </c>
      <c r="BJ48" s="117">
        <v>46431463</v>
      </c>
      <c r="BK48" s="117">
        <v>221948338</v>
      </c>
      <c r="BL48" s="117">
        <v>212459980</v>
      </c>
      <c r="BM48" s="117">
        <v>332</v>
      </c>
      <c r="BN48" s="117">
        <v>0</v>
      </c>
      <c r="BO48" s="138"/>
      <c r="BP48" s="86">
        <v>7819347147.3699999</v>
      </c>
      <c r="BQ48" s="86">
        <v>6750913431.3999996</v>
      </c>
      <c r="BR48" s="87">
        <v>5349600</v>
      </c>
      <c r="BT48" s="86">
        <v>6280679186</v>
      </c>
      <c r="BU48" s="82">
        <f t="shared" si="4"/>
        <v>765408534</v>
      </c>
      <c r="BV48" s="82">
        <f t="shared" si="5"/>
        <v>15109437</v>
      </c>
      <c r="BW48" s="86">
        <f t="shared" si="6"/>
        <v>531455500</v>
      </c>
      <c r="BX48" s="86">
        <f t="shared" si="3"/>
        <v>7592652657</v>
      </c>
    </row>
    <row r="49" spans="1:76" x14ac:dyDescent="0.25">
      <c r="A49" s="91" t="s">
        <v>103</v>
      </c>
      <c r="B49" s="135">
        <v>393971003</v>
      </c>
      <c r="C49" s="135">
        <v>44655798</v>
      </c>
      <c r="D49" s="135">
        <v>146208229</v>
      </c>
      <c r="E49" s="135">
        <v>0</v>
      </c>
      <c r="F49" s="135">
        <v>66091309</v>
      </c>
      <c r="G49" s="135">
        <v>73252705</v>
      </c>
      <c r="H49" s="135">
        <v>2227300</v>
      </c>
      <c r="I49" s="135">
        <v>1631375</v>
      </c>
      <c r="J49" s="135">
        <v>151600</v>
      </c>
      <c r="K49" s="135">
        <v>213650</v>
      </c>
      <c r="L49" s="135">
        <v>102519867</v>
      </c>
      <c r="M49" s="135">
        <v>17809613</v>
      </c>
      <c r="N49" s="135">
        <v>2048</v>
      </c>
      <c r="O49" s="135">
        <v>2408</v>
      </c>
      <c r="P49" s="135">
        <v>3657850</v>
      </c>
      <c r="Q49" s="135">
        <v>151200</v>
      </c>
      <c r="R49" s="135">
        <v>2283000</v>
      </c>
      <c r="S49" s="135">
        <v>4923038</v>
      </c>
      <c r="T49" s="135">
        <v>88590</v>
      </c>
      <c r="U49" s="135">
        <v>674600</v>
      </c>
      <c r="V49" s="135">
        <v>3657850</v>
      </c>
      <c r="W49" s="135">
        <v>151200</v>
      </c>
      <c r="X49" s="135">
        <v>2283000</v>
      </c>
      <c r="Y49" s="135">
        <v>4923038</v>
      </c>
      <c r="Z49" s="135">
        <v>73855</v>
      </c>
      <c r="AA49" s="135">
        <v>674600</v>
      </c>
      <c r="AB49" s="135">
        <v>-3762550</v>
      </c>
      <c r="AC49" s="135">
        <v>-82451</v>
      </c>
      <c r="AD49" s="135">
        <v>240180</v>
      </c>
      <c r="AE49" s="135">
        <v>3192015</v>
      </c>
      <c r="AF49" s="135">
        <v>0</v>
      </c>
      <c r="AG49" s="135">
        <v>229324</v>
      </c>
      <c r="AH49" s="135">
        <v>5657549.1799999997</v>
      </c>
      <c r="AI49" s="135">
        <v>20953237.710000001</v>
      </c>
      <c r="AJ49" s="139">
        <v>38917614.75</v>
      </c>
      <c r="AK49" s="82">
        <v>157522704</v>
      </c>
      <c r="AL49" s="82">
        <v>2110085</v>
      </c>
      <c r="AM49" s="135">
        <v>0</v>
      </c>
      <c r="AN49" s="135">
        <v>52009384</v>
      </c>
      <c r="AO49" s="135">
        <v>1750657</v>
      </c>
      <c r="AP49" s="135">
        <v>5081191</v>
      </c>
      <c r="AQ49" s="135">
        <v>22554591</v>
      </c>
      <c r="AR49" s="135">
        <v>6206660</v>
      </c>
      <c r="AS49" s="135">
        <v>1521</v>
      </c>
      <c r="AT49" s="135">
        <v>121265</v>
      </c>
      <c r="AU49" s="135">
        <v>0</v>
      </c>
      <c r="AV49" s="135">
        <v>0</v>
      </c>
      <c r="AW49" s="135">
        <v>0</v>
      </c>
      <c r="AX49" s="135">
        <v>161903</v>
      </c>
      <c r="AY49" s="135">
        <v>1800000</v>
      </c>
      <c r="BD49" s="82">
        <v>9457585.6799999997</v>
      </c>
      <c r="BE49" s="82">
        <v>4728792.84</v>
      </c>
      <c r="BF49" s="117">
        <v>0</v>
      </c>
      <c r="BG49" s="118">
        <v>9308694</v>
      </c>
      <c r="BH49" s="118">
        <v>18617387</v>
      </c>
      <c r="BI49" s="117">
        <v>20154562</v>
      </c>
      <c r="BJ49" s="117">
        <v>20154562</v>
      </c>
      <c r="BK49" s="117">
        <v>73258584</v>
      </c>
      <c r="BL49" s="117">
        <v>68136947</v>
      </c>
      <c r="BM49" s="117">
        <v>0</v>
      </c>
      <c r="BN49" s="117">
        <v>0</v>
      </c>
      <c r="BO49" s="138"/>
      <c r="BP49" s="86">
        <v>988639848.48000002</v>
      </c>
      <c r="BQ49" s="86">
        <v>726678063.63999999</v>
      </c>
      <c r="BR49" s="87">
        <v>935021</v>
      </c>
      <c r="BT49" s="86">
        <v>584835030</v>
      </c>
      <c r="BU49" s="82">
        <f t="shared" si="4"/>
        <v>157522704</v>
      </c>
      <c r="BV49" s="82">
        <f t="shared" si="5"/>
        <v>2110085</v>
      </c>
      <c r="BW49" s="86">
        <f t="shared" si="6"/>
        <v>76316153</v>
      </c>
      <c r="BX49" s="86">
        <f t="shared" si="3"/>
        <v>820783972</v>
      </c>
    </row>
    <row r="50" spans="1:76" x14ac:dyDescent="0.25">
      <c r="A50" s="91" t="s">
        <v>104</v>
      </c>
      <c r="B50" s="135">
        <v>495778891</v>
      </c>
      <c r="C50" s="135">
        <v>228631703</v>
      </c>
      <c r="D50" s="135">
        <v>126703368</v>
      </c>
      <c r="E50" s="135">
        <v>0</v>
      </c>
      <c r="F50" s="135">
        <v>46609198</v>
      </c>
      <c r="G50" s="135">
        <v>4549522</v>
      </c>
      <c r="H50" s="135">
        <v>16672073</v>
      </c>
      <c r="I50" s="135">
        <v>1476879</v>
      </c>
      <c r="J50" s="135">
        <v>39300</v>
      </c>
      <c r="K50" s="135">
        <v>18000</v>
      </c>
      <c r="L50" s="135">
        <v>307974278</v>
      </c>
      <c r="M50" s="135">
        <v>157748044</v>
      </c>
      <c r="N50" s="135">
        <v>1635</v>
      </c>
      <c r="O50" s="135">
        <v>159</v>
      </c>
      <c r="P50" s="135">
        <v>4781867</v>
      </c>
      <c r="Q50" s="135">
        <v>1673356</v>
      </c>
      <c r="R50" s="135">
        <v>492145</v>
      </c>
      <c r="S50" s="135">
        <v>634695</v>
      </c>
      <c r="T50" s="135">
        <v>35000</v>
      </c>
      <c r="U50" s="135">
        <v>60000</v>
      </c>
      <c r="V50" s="135">
        <v>4781867</v>
      </c>
      <c r="W50" s="135">
        <v>1673356</v>
      </c>
      <c r="X50" s="135">
        <v>492145</v>
      </c>
      <c r="Y50" s="135">
        <v>599695</v>
      </c>
      <c r="Z50" s="135">
        <v>35000</v>
      </c>
      <c r="AA50" s="135">
        <v>60000</v>
      </c>
      <c r="AB50" s="135">
        <v>-936947</v>
      </c>
      <c r="AC50" s="135">
        <v>-92329</v>
      </c>
      <c r="AD50" s="135">
        <v>0</v>
      </c>
      <c r="AE50" s="135">
        <v>0</v>
      </c>
      <c r="AF50" s="135">
        <v>6033</v>
      </c>
      <c r="AG50" s="135">
        <v>190217</v>
      </c>
      <c r="AJ50" s="139"/>
      <c r="AK50" s="82">
        <v>143624063</v>
      </c>
      <c r="AL50" s="82">
        <v>2988705</v>
      </c>
      <c r="AM50" s="135">
        <v>0</v>
      </c>
      <c r="AN50" s="135">
        <v>24765184</v>
      </c>
      <c r="AO50" s="135">
        <v>4541358</v>
      </c>
      <c r="AP50" s="135">
        <v>74400789</v>
      </c>
      <c r="AQ50" s="135">
        <v>32364626</v>
      </c>
      <c r="AR50" s="135">
        <v>25376304</v>
      </c>
      <c r="AS50" s="135">
        <v>841776</v>
      </c>
      <c r="AT50" s="135">
        <v>2431740</v>
      </c>
      <c r="AU50" s="135">
        <v>0</v>
      </c>
      <c r="AV50" s="135">
        <v>25214</v>
      </c>
      <c r="AW50" s="135">
        <v>521239</v>
      </c>
      <c r="AX50" s="135">
        <v>6591</v>
      </c>
      <c r="AY50" s="135">
        <v>549315</v>
      </c>
      <c r="BD50" s="82">
        <v>8623118.1099999994</v>
      </c>
      <c r="BE50" s="82">
        <v>4311559.0599999996</v>
      </c>
      <c r="BF50" s="117">
        <v>0</v>
      </c>
      <c r="BG50" s="118">
        <v>2415790</v>
      </c>
      <c r="BH50" s="118">
        <v>4831581</v>
      </c>
      <c r="BI50" s="117">
        <v>19022707</v>
      </c>
      <c r="BJ50" s="117">
        <v>19022707</v>
      </c>
      <c r="BK50" s="117">
        <v>52249532</v>
      </c>
      <c r="BL50" s="117">
        <v>48174063</v>
      </c>
      <c r="BM50" s="117">
        <v>0</v>
      </c>
      <c r="BN50" s="117">
        <v>0</v>
      </c>
      <c r="BO50" s="138"/>
      <c r="BP50" s="86">
        <v>1133322017.0599999</v>
      </c>
      <c r="BQ50" s="86">
        <v>912785130</v>
      </c>
      <c r="BR50" s="87"/>
      <c r="BT50" s="86">
        <v>851113962</v>
      </c>
      <c r="BU50" s="82">
        <f t="shared" si="4"/>
        <v>143624063</v>
      </c>
      <c r="BV50" s="82">
        <f t="shared" si="5"/>
        <v>2988705</v>
      </c>
      <c r="BW50" s="86">
        <f t="shared" si="6"/>
        <v>62512944</v>
      </c>
      <c r="BX50" s="86">
        <f t="shared" si="3"/>
        <v>1060239674</v>
      </c>
    </row>
    <row r="51" spans="1:76" x14ac:dyDescent="0.25">
      <c r="A51" s="91" t="s">
        <v>105</v>
      </c>
      <c r="B51" s="135">
        <v>317836922</v>
      </c>
      <c r="C51" s="135">
        <v>271691208</v>
      </c>
      <c r="D51" s="135">
        <v>169588834</v>
      </c>
      <c r="E51" s="135">
        <v>20667117</v>
      </c>
      <c r="F51" s="135">
        <v>44586350</v>
      </c>
      <c r="G51" s="135">
        <v>12261700</v>
      </c>
      <c r="H51" s="135">
        <v>20695500</v>
      </c>
      <c r="I51" s="135">
        <v>3372800</v>
      </c>
      <c r="J51" s="135">
        <v>66000</v>
      </c>
      <c r="K51" s="135">
        <v>39300</v>
      </c>
      <c r="L51" s="135">
        <v>373473932</v>
      </c>
      <c r="M51" s="135">
        <v>175698600</v>
      </c>
      <c r="N51" s="135">
        <v>1766</v>
      </c>
      <c r="O51" s="135">
        <v>472</v>
      </c>
      <c r="P51" s="135">
        <v>8998025</v>
      </c>
      <c r="Q51" s="135">
        <v>8307100</v>
      </c>
      <c r="R51" s="135">
        <v>1057900</v>
      </c>
      <c r="S51" s="135">
        <v>2552310</v>
      </c>
      <c r="T51" s="135">
        <v>1700133</v>
      </c>
      <c r="U51" s="135">
        <v>1179900</v>
      </c>
      <c r="V51" s="135">
        <v>8998025</v>
      </c>
      <c r="W51" s="135">
        <v>8775200</v>
      </c>
      <c r="X51" s="135">
        <v>1057900</v>
      </c>
      <c r="Y51" s="135">
        <v>2552310</v>
      </c>
      <c r="Z51" s="135">
        <v>2869800</v>
      </c>
      <c r="AA51" s="135">
        <v>1179900</v>
      </c>
      <c r="AB51" s="135">
        <v>-1667500</v>
      </c>
      <c r="AC51" s="135">
        <v>-893</v>
      </c>
      <c r="AD51" s="135">
        <v>102041</v>
      </c>
      <c r="AE51" s="135">
        <v>0</v>
      </c>
      <c r="AF51" s="135">
        <v>0</v>
      </c>
      <c r="AG51" s="135">
        <v>234444</v>
      </c>
      <c r="AH51" s="135">
        <v>718909.84</v>
      </c>
      <c r="AI51" s="135">
        <v>201336.07</v>
      </c>
      <c r="AJ51" s="139">
        <v>0</v>
      </c>
      <c r="AK51" s="82">
        <v>106387785</v>
      </c>
      <c r="AL51" s="82">
        <v>4397046</v>
      </c>
      <c r="AM51" s="135">
        <v>0</v>
      </c>
      <c r="AN51" s="135">
        <v>17476265</v>
      </c>
      <c r="AO51" s="135">
        <v>4091797</v>
      </c>
      <c r="AP51" s="135">
        <v>200128730</v>
      </c>
      <c r="AQ51" s="135">
        <v>47540747</v>
      </c>
      <c r="AR51" s="135">
        <v>57863058</v>
      </c>
      <c r="AS51" s="135">
        <v>13302</v>
      </c>
      <c r="AT51" s="135">
        <v>539654</v>
      </c>
      <c r="AU51" s="135">
        <v>0</v>
      </c>
      <c r="AV51" s="135">
        <v>40748</v>
      </c>
      <c r="AW51" s="135">
        <v>4977697</v>
      </c>
      <c r="AX51" s="135">
        <v>23377</v>
      </c>
      <c r="AY51" s="135">
        <v>0</v>
      </c>
      <c r="BD51" s="82">
        <v>6387470.29</v>
      </c>
      <c r="BE51" s="82">
        <v>3193735.15</v>
      </c>
      <c r="BF51" s="117">
        <v>0</v>
      </c>
      <c r="BG51" s="118">
        <v>1586564</v>
      </c>
      <c r="BH51" s="118">
        <v>3173127</v>
      </c>
      <c r="BI51" s="117">
        <v>17826974</v>
      </c>
      <c r="BJ51" s="117">
        <v>17826974</v>
      </c>
      <c r="BK51" s="117">
        <v>67504792</v>
      </c>
      <c r="BL51" s="117">
        <v>64704471</v>
      </c>
      <c r="BM51" s="117">
        <v>0</v>
      </c>
      <c r="BN51" s="117">
        <v>0</v>
      </c>
      <c r="BO51" s="138"/>
      <c r="BP51" s="86">
        <v>1027242594.0600001</v>
      </c>
      <c r="BQ51" s="86">
        <v>829146018.91000009</v>
      </c>
      <c r="BR51" s="87">
        <v>1495345</v>
      </c>
      <c r="BT51" s="86">
        <v>759116964</v>
      </c>
      <c r="BU51" s="82">
        <f t="shared" si="4"/>
        <v>106387785</v>
      </c>
      <c r="BV51" s="82">
        <f t="shared" si="5"/>
        <v>4397046</v>
      </c>
      <c r="BW51" s="86">
        <f t="shared" si="6"/>
        <v>69122111</v>
      </c>
      <c r="BX51" s="86">
        <f t="shared" si="3"/>
        <v>939023906</v>
      </c>
    </row>
    <row r="52" spans="1:76" x14ac:dyDescent="0.25">
      <c r="A52" s="91" t="s">
        <v>106</v>
      </c>
      <c r="B52" s="135">
        <v>1387283892</v>
      </c>
      <c r="C52" s="135">
        <v>290027550</v>
      </c>
      <c r="D52" s="135">
        <v>583562293</v>
      </c>
      <c r="E52" s="135">
        <v>172047570</v>
      </c>
      <c r="F52" s="135">
        <v>145788299</v>
      </c>
      <c r="G52" s="135">
        <v>14654463</v>
      </c>
      <c r="H52" s="135">
        <v>11151368</v>
      </c>
      <c r="I52" s="135">
        <v>589500</v>
      </c>
      <c r="J52" s="135">
        <v>314400</v>
      </c>
      <c r="K52" s="135">
        <v>0</v>
      </c>
      <c r="L52" s="135">
        <v>922974139</v>
      </c>
      <c r="M52" s="135">
        <v>95673200</v>
      </c>
      <c r="N52" s="135">
        <v>4162</v>
      </c>
      <c r="O52" s="135">
        <v>442</v>
      </c>
      <c r="P52" s="135">
        <v>10482250</v>
      </c>
      <c r="Q52" s="135">
        <v>1721500</v>
      </c>
      <c r="R52" s="135">
        <v>4224500</v>
      </c>
      <c r="S52" s="135">
        <v>5185755</v>
      </c>
      <c r="T52" s="135">
        <v>4700950</v>
      </c>
      <c r="U52" s="135">
        <v>6143600</v>
      </c>
      <c r="V52" s="135">
        <v>10482250</v>
      </c>
      <c r="W52" s="135">
        <v>2017500</v>
      </c>
      <c r="X52" s="135">
        <v>4224500</v>
      </c>
      <c r="Y52" s="135">
        <v>5185755</v>
      </c>
      <c r="Z52" s="135">
        <v>13180436</v>
      </c>
      <c r="AA52" s="135">
        <v>6143600</v>
      </c>
      <c r="AB52" s="135">
        <v>-4182900</v>
      </c>
      <c r="AC52" s="135">
        <v>-124614</v>
      </c>
      <c r="AD52" s="135">
        <v>39052</v>
      </c>
      <c r="AE52" s="135">
        <v>5113</v>
      </c>
      <c r="AF52" s="135">
        <v>23188357</v>
      </c>
      <c r="AG52" s="135">
        <v>240633</v>
      </c>
      <c r="AH52" s="135">
        <v>11864081.970000001</v>
      </c>
      <c r="AI52" s="135">
        <v>0</v>
      </c>
      <c r="AJ52" s="139">
        <v>1343057.38</v>
      </c>
      <c r="AK52" s="82">
        <v>341972843</v>
      </c>
      <c r="AL52" s="82">
        <v>13816968</v>
      </c>
      <c r="AM52" s="135">
        <v>417940</v>
      </c>
      <c r="AN52" s="135">
        <v>115254874</v>
      </c>
      <c r="AO52" s="135">
        <v>26311752</v>
      </c>
      <c r="AP52" s="135">
        <v>368742134</v>
      </c>
      <c r="AQ52" s="135">
        <v>119471366</v>
      </c>
      <c r="AR52" s="135">
        <v>155638823</v>
      </c>
      <c r="AS52" s="135">
        <v>179311778</v>
      </c>
      <c r="AT52" s="135">
        <v>5088089</v>
      </c>
      <c r="AU52" s="135">
        <v>0</v>
      </c>
      <c r="AV52" s="135">
        <v>1487168</v>
      </c>
      <c r="AW52" s="135">
        <v>32451073</v>
      </c>
      <c r="AX52" s="135">
        <v>3017048</v>
      </c>
      <c r="AY52" s="135">
        <v>1454722</v>
      </c>
      <c r="BD52" s="82">
        <v>20531881.309999999</v>
      </c>
      <c r="BE52" s="82">
        <v>10265940.66</v>
      </c>
      <c r="BF52" s="117">
        <v>85834196.891191706</v>
      </c>
      <c r="BG52" s="118">
        <v>3062801</v>
      </c>
      <c r="BH52" s="118">
        <v>6125602</v>
      </c>
      <c r="BI52" s="117">
        <v>41983994</v>
      </c>
      <c r="BJ52" s="117">
        <v>41983994</v>
      </c>
      <c r="BK52" s="117">
        <v>114412396</v>
      </c>
      <c r="BL52" s="117">
        <v>111253838</v>
      </c>
      <c r="BM52" s="117">
        <v>0</v>
      </c>
      <c r="BN52" s="117">
        <v>0</v>
      </c>
      <c r="BO52" s="138"/>
      <c r="BP52" s="86">
        <v>3057475251.0099998</v>
      </c>
      <c r="BQ52" s="86">
        <v>2535118866.3499999</v>
      </c>
      <c r="BR52" s="87"/>
      <c r="BT52" s="86">
        <v>2260873735</v>
      </c>
      <c r="BU52" s="82">
        <f t="shared" si="4"/>
        <v>341972843</v>
      </c>
      <c r="BV52" s="82">
        <f t="shared" si="5"/>
        <v>13816968</v>
      </c>
      <c r="BW52" s="86">
        <f t="shared" si="6"/>
        <v>440349770</v>
      </c>
      <c r="BX52" s="86">
        <f t="shared" si="3"/>
        <v>3057013316</v>
      </c>
    </row>
    <row r="53" spans="1:76" x14ac:dyDescent="0.25">
      <c r="A53" s="91" t="s">
        <v>107</v>
      </c>
      <c r="B53" s="135">
        <v>460329600</v>
      </c>
      <c r="C53" s="135">
        <v>227658400</v>
      </c>
      <c r="D53" s="135">
        <v>84264040</v>
      </c>
      <c r="E53" s="135">
        <v>0</v>
      </c>
      <c r="F53" s="135">
        <v>42272600</v>
      </c>
      <c r="G53" s="135">
        <v>5299700</v>
      </c>
      <c r="H53" s="135">
        <v>15036000</v>
      </c>
      <c r="I53" s="135">
        <v>918900</v>
      </c>
      <c r="J53" s="135">
        <v>78600</v>
      </c>
      <c r="K53" s="135">
        <v>0</v>
      </c>
      <c r="L53" s="135">
        <v>380551089</v>
      </c>
      <c r="M53" s="135">
        <v>160077800</v>
      </c>
      <c r="N53" s="135">
        <v>1484</v>
      </c>
      <c r="O53" s="135">
        <v>162</v>
      </c>
      <c r="P53" s="135">
        <v>6824840</v>
      </c>
      <c r="Q53" s="135">
        <v>8081900</v>
      </c>
      <c r="R53" s="135">
        <v>2207200</v>
      </c>
      <c r="S53" s="135">
        <v>5089000</v>
      </c>
      <c r="T53" s="135">
        <v>1745000</v>
      </c>
      <c r="U53" s="135">
        <v>3057760</v>
      </c>
      <c r="V53" s="135">
        <v>6824840</v>
      </c>
      <c r="W53" s="135">
        <v>8513000</v>
      </c>
      <c r="X53" s="135">
        <v>2207200</v>
      </c>
      <c r="Y53" s="135">
        <v>5089000</v>
      </c>
      <c r="Z53" s="135">
        <v>5251900</v>
      </c>
      <c r="AA53" s="135">
        <v>3057760</v>
      </c>
      <c r="AB53" s="135">
        <v>-2421100</v>
      </c>
      <c r="AC53" s="135">
        <v>0</v>
      </c>
      <c r="AD53" s="135">
        <v>37019</v>
      </c>
      <c r="AE53" s="135">
        <v>36204</v>
      </c>
      <c r="AF53" s="135">
        <v>186824600</v>
      </c>
      <c r="AG53" s="135">
        <v>168310</v>
      </c>
      <c r="AH53" s="135">
        <v>0</v>
      </c>
      <c r="AI53" s="135">
        <v>363270.49</v>
      </c>
      <c r="AJ53" s="139">
        <v>0</v>
      </c>
      <c r="AK53" s="82">
        <v>119986299</v>
      </c>
      <c r="AL53" s="82">
        <v>2699034</v>
      </c>
      <c r="AM53" s="135">
        <v>0</v>
      </c>
      <c r="AN53" s="135">
        <v>16573006</v>
      </c>
      <c r="AO53" s="135">
        <v>2635549</v>
      </c>
      <c r="AP53" s="135">
        <v>26817727</v>
      </c>
      <c r="AQ53" s="135">
        <v>17826780</v>
      </c>
      <c r="AR53" s="135">
        <v>42180720</v>
      </c>
      <c r="AS53" s="135">
        <v>15423188</v>
      </c>
      <c r="AT53" s="135">
        <v>1297660</v>
      </c>
      <c r="AU53" s="135">
        <v>0</v>
      </c>
      <c r="AV53" s="135">
        <v>0</v>
      </c>
      <c r="AW53" s="135">
        <v>38501</v>
      </c>
      <c r="AX53" s="135">
        <v>0</v>
      </c>
      <c r="AY53" s="135">
        <v>167000</v>
      </c>
      <c r="BD53" s="82">
        <v>7203918.3799999999</v>
      </c>
      <c r="BE53" s="82">
        <v>3601959.19</v>
      </c>
      <c r="BF53" s="117">
        <v>5642487.0466321241</v>
      </c>
      <c r="BG53" s="118">
        <v>1067674</v>
      </c>
      <c r="BH53" s="118">
        <v>2135348</v>
      </c>
      <c r="BI53" s="117">
        <v>8284123.2000000002</v>
      </c>
      <c r="BJ53" s="117">
        <v>8284123.2000000002</v>
      </c>
      <c r="BK53" s="117">
        <v>47028329</v>
      </c>
      <c r="BL53" s="117">
        <v>45643745</v>
      </c>
      <c r="BM53" s="117">
        <v>0</v>
      </c>
      <c r="BN53" s="117">
        <v>0</v>
      </c>
      <c r="BO53" s="138"/>
      <c r="BP53" s="86">
        <v>990933479.88000011</v>
      </c>
      <c r="BQ53" s="86">
        <v>809650645.49000001</v>
      </c>
      <c r="BR53" s="87">
        <v>440200</v>
      </c>
      <c r="BT53" s="86">
        <v>772252040</v>
      </c>
      <c r="BU53" s="82">
        <f t="shared" si="4"/>
        <v>119986299</v>
      </c>
      <c r="BV53" s="82">
        <f t="shared" si="5"/>
        <v>2699034</v>
      </c>
      <c r="BW53" s="86">
        <f t="shared" si="6"/>
        <v>52458523</v>
      </c>
      <c r="BX53" s="86">
        <f t="shared" si="3"/>
        <v>947395896</v>
      </c>
    </row>
    <row r="54" spans="1:76" x14ac:dyDescent="0.25">
      <c r="A54" s="91" t="s">
        <v>108</v>
      </c>
      <c r="B54" s="135">
        <v>73160790</v>
      </c>
      <c r="C54" s="135">
        <v>121778336</v>
      </c>
      <c r="D54" s="135">
        <v>22970385</v>
      </c>
      <c r="E54" s="135">
        <v>0</v>
      </c>
      <c r="F54" s="135">
        <v>15849511</v>
      </c>
      <c r="G54" s="135">
        <v>3455380</v>
      </c>
      <c r="H54" s="135">
        <v>6309560</v>
      </c>
      <c r="I54" s="135">
        <v>370900</v>
      </c>
      <c r="J54" s="135">
        <v>0</v>
      </c>
      <c r="K54" s="135">
        <v>0</v>
      </c>
      <c r="L54" s="135">
        <v>438981677</v>
      </c>
      <c r="M54" s="135">
        <v>29779464</v>
      </c>
      <c r="N54" s="135">
        <v>627</v>
      </c>
      <c r="O54" s="135">
        <v>120</v>
      </c>
      <c r="P54" s="135">
        <v>1414730</v>
      </c>
      <c r="Q54" s="135">
        <v>301304</v>
      </c>
      <c r="R54" s="135">
        <v>900000</v>
      </c>
      <c r="S54" s="135">
        <v>705920</v>
      </c>
      <c r="T54" s="135">
        <v>3702530</v>
      </c>
      <c r="U54" s="135">
        <v>109100</v>
      </c>
      <c r="V54" s="135">
        <v>1431830</v>
      </c>
      <c r="W54" s="135">
        <v>269700</v>
      </c>
      <c r="X54" s="135">
        <v>900000</v>
      </c>
      <c r="Y54" s="135">
        <v>644420</v>
      </c>
      <c r="Z54" s="135">
        <v>29969516</v>
      </c>
      <c r="AA54" s="135">
        <v>109000</v>
      </c>
      <c r="AB54" s="135">
        <v>-930122</v>
      </c>
      <c r="AC54" s="135">
        <v>0</v>
      </c>
      <c r="AD54" s="135">
        <v>14306</v>
      </c>
      <c r="AE54" s="135">
        <v>216</v>
      </c>
      <c r="AF54" s="135">
        <v>116059128</v>
      </c>
      <c r="AG54" s="135">
        <v>144612</v>
      </c>
      <c r="AH54" s="135">
        <v>0</v>
      </c>
      <c r="AI54" s="135">
        <v>5426.23</v>
      </c>
      <c r="AJ54" s="139">
        <v>0</v>
      </c>
      <c r="AK54" s="82">
        <v>40146693</v>
      </c>
      <c r="AL54" s="82">
        <v>900469</v>
      </c>
      <c r="AM54" s="135">
        <v>0</v>
      </c>
      <c r="AN54" s="135">
        <v>11886894</v>
      </c>
      <c r="AO54" s="135">
        <v>194307</v>
      </c>
      <c r="AP54" s="135">
        <v>40754</v>
      </c>
      <c r="AQ54" s="135">
        <v>14010758</v>
      </c>
      <c r="AR54" s="135">
        <v>5414673</v>
      </c>
      <c r="AS54" s="135">
        <v>786217</v>
      </c>
      <c r="AT54" s="135">
        <v>3864661</v>
      </c>
      <c r="AU54" s="135">
        <v>0</v>
      </c>
      <c r="AV54" s="135">
        <v>0</v>
      </c>
      <c r="AW54" s="135">
        <v>1229573</v>
      </c>
      <c r="AX54" s="135">
        <v>0</v>
      </c>
      <c r="AY54" s="135">
        <v>0</v>
      </c>
      <c r="BD54" s="82">
        <v>2410387.7000000002</v>
      </c>
      <c r="BE54" s="82">
        <v>1205193.8500000001</v>
      </c>
      <c r="BF54" s="117">
        <v>11056994.81865285</v>
      </c>
      <c r="BG54" s="118">
        <v>1701161</v>
      </c>
      <c r="BH54" s="118">
        <v>3402321</v>
      </c>
      <c r="BI54" s="117">
        <v>37485829</v>
      </c>
      <c r="BJ54" s="117">
        <v>37485829</v>
      </c>
      <c r="BK54" s="117">
        <v>62887866</v>
      </c>
      <c r="BL54" s="117">
        <v>43087603</v>
      </c>
      <c r="BM54" s="117">
        <v>0</v>
      </c>
      <c r="BN54" s="117">
        <v>0</v>
      </c>
      <c r="BO54" s="138"/>
      <c r="BP54" s="86">
        <v>368533845.08000004</v>
      </c>
      <c r="BQ54" s="86">
        <v>244006896.22999999</v>
      </c>
      <c r="BR54" s="87">
        <v>487000</v>
      </c>
      <c r="BT54" s="86">
        <v>217909511</v>
      </c>
      <c r="BU54" s="82">
        <f t="shared" si="4"/>
        <v>40146693</v>
      </c>
      <c r="BV54" s="82">
        <f t="shared" si="5"/>
        <v>900469</v>
      </c>
      <c r="BW54" s="86">
        <f t="shared" si="6"/>
        <v>26878176</v>
      </c>
      <c r="BX54" s="86">
        <f t="shared" si="3"/>
        <v>285834849</v>
      </c>
    </row>
    <row r="55" spans="1:76" x14ac:dyDescent="0.25">
      <c r="A55" s="91" t="s">
        <v>109</v>
      </c>
      <c r="B55" s="135">
        <v>1208947489</v>
      </c>
      <c r="C55" s="135">
        <v>277559048</v>
      </c>
      <c r="D55" s="135">
        <v>485293625</v>
      </c>
      <c r="E55" s="135">
        <v>11900000</v>
      </c>
      <c r="F55" s="135">
        <v>129461244</v>
      </c>
      <c r="G55" s="135">
        <v>40272610</v>
      </c>
      <c r="H55" s="135">
        <v>17481000</v>
      </c>
      <c r="I55" s="135">
        <v>4217040</v>
      </c>
      <c r="J55" s="135">
        <v>127800</v>
      </c>
      <c r="K55" s="135">
        <v>74800</v>
      </c>
      <c r="L55" s="135">
        <v>320915548</v>
      </c>
      <c r="M55" s="135">
        <v>170275360</v>
      </c>
      <c r="N55" s="135">
        <v>3984</v>
      </c>
      <c r="O55" s="135">
        <v>1329</v>
      </c>
      <c r="P55" s="135">
        <v>22395200</v>
      </c>
      <c r="Q55" s="135">
        <v>10730581</v>
      </c>
      <c r="R55" s="135">
        <v>20778700</v>
      </c>
      <c r="S55" s="135">
        <v>15221705</v>
      </c>
      <c r="T55" s="135">
        <v>5648640</v>
      </c>
      <c r="U55" s="135">
        <v>11003640</v>
      </c>
      <c r="V55" s="135">
        <v>22395200</v>
      </c>
      <c r="W55" s="135">
        <v>17551781</v>
      </c>
      <c r="X55" s="135">
        <v>20778700</v>
      </c>
      <c r="Y55" s="135">
        <v>15221705</v>
      </c>
      <c r="Z55" s="135">
        <v>9094040</v>
      </c>
      <c r="AA55" s="135">
        <v>11003640</v>
      </c>
      <c r="AB55" s="135">
        <v>-3598301</v>
      </c>
      <c r="AC55" s="135">
        <v>0</v>
      </c>
      <c r="AD55" s="135">
        <v>88324</v>
      </c>
      <c r="AE55" s="135">
        <v>37865</v>
      </c>
      <c r="AF55" s="135">
        <v>17132519</v>
      </c>
      <c r="AG55" s="135">
        <v>323942</v>
      </c>
      <c r="AH55" s="135">
        <v>2815377.05</v>
      </c>
      <c r="AI55" s="135">
        <v>397885.25</v>
      </c>
      <c r="AJ55" s="139">
        <v>18701049.18</v>
      </c>
      <c r="AK55" s="82">
        <v>341576332</v>
      </c>
      <c r="AL55" s="82">
        <v>9406162</v>
      </c>
      <c r="AM55" s="135">
        <v>0</v>
      </c>
      <c r="AN55" s="135">
        <v>209713785</v>
      </c>
      <c r="AO55" s="135">
        <v>12052862</v>
      </c>
      <c r="AP55" s="135">
        <v>214910926</v>
      </c>
      <c r="AQ55" s="135">
        <v>91586212</v>
      </c>
      <c r="AR55" s="135">
        <v>102164725</v>
      </c>
      <c r="AS55" s="135">
        <v>230118769</v>
      </c>
      <c r="AT55" s="135">
        <v>9330192</v>
      </c>
      <c r="AU55" s="135">
        <v>0</v>
      </c>
      <c r="AV55" s="135">
        <v>1644230</v>
      </c>
      <c r="AW55" s="135">
        <v>4391049</v>
      </c>
      <c r="AX55" s="135">
        <v>3890488</v>
      </c>
      <c r="AY55" s="135">
        <v>3201055</v>
      </c>
      <c r="BD55" s="82">
        <v>20508074.98</v>
      </c>
      <c r="BE55" s="82">
        <v>10254037.49</v>
      </c>
      <c r="BF55" s="117">
        <v>1253886.0103626943</v>
      </c>
      <c r="BG55" s="118">
        <v>10935117</v>
      </c>
      <c r="BH55" s="118">
        <v>21870234</v>
      </c>
      <c r="BI55" s="117">
        <v>99535970</v>
      </c>
      <c r="BJ55" s="117">
        <v>94705684</v>
      </c>
      <c r="BK55" s="117">
        <v>199721519</v>
      </c>
      <c r="BL55" s="117">
        <v>188948400</v>
      </c>
      <c r="BM55" s="117">
        <v>0</v>
      </c>
      <c r="BN55" s="117">
        <v>0</v>
      </c>
      <c r="BO55" s="138"/>
      <c r="BP55" s="86">
        <v>2962893064.9699998</v>
      </c>
      <c r="BQ55" s="86">
        <v>2307067332.48</v>
      </c>
      <c r="BR55" s="87"/>
      <c r="BT55" s="86">
        <v>1971800162</v>
      </c>
      <c r="BU55" s="82">
        <f t="shared" si="4"/>
        <v>341576332</v>
      </c>
      <c r="BV55" s="82">
        <f t="shared" si="5"/>
        <v>9406162</v>
      </c>
      <c r="BW55" s="86">
        <f t="shared" si="6"/>
        <v>543471628</v>
      </c>
      <c r="BX55" s="86">
        <f t="shared" si="3"/>
        <v>2866254284</v>
      </c>
    </row>
    <row r="56" spans="1:76" x14ac:dyDescent="0.25">
      <c r="A56" s="91" t="s">
        <v>110</v>
      </c>
      <c r="B56" s="135">
        <v>143239516</v>
      </c>
      <c r="C56" s="135">
        <v>75152650</v>
      </c>
      <c r="D56" s="135">
        <v>40968000</v>
      </c>
      <c r="E56" s="135">
        <v>0</v>
      </c>
      <c r="F56" s="135">
        <v>25408300</v>
      </c>
      <c r="G56" s="135">
        <v>20308325</v>
      </c>
      <c r="H56" s="135">
        <v>14029900</v>
      </c>
      <c r="I56" s="135">
        <v>5477925</v>
      </c>
      <c r="J56" s="135">
        <v>108600</v>
      </c>
      <c r="K56" s="135">
        <v>39300</v>
      </c>
      <c r="L56" s="135">
        <v>118053385</v>
      </c>
      <c r="M56" s="135">
        <v>67652340</v>
      </c>
      <c r="N56" s="135">
        <v>1206</v>
      </c>
      <c r="O56" s="135">
        <v>851</v>
      </c>
      <c r="P56" s="135">
        <v>3846800</v>
      </c>
      <c r="Q56" s="135">
        <v>1018275</v>
      </c>
      <c r="R56" s="135">
        <v>1725000</v>
      </c>
      <c r="S56" s="135">
        <v>521400</v>
      </c>
      <c r="T56" s="135">
        <v>33000</v>
      </c>
      <c r="U56" s="135">
        <v>62000</v>
      </c>
      <c r="V56" s="135">
        <v>3846800</v>
      </c>
      <c r="W56" s="135">
        <v>1022775</v>
      </c>
      <c r="X56" s="135">
        <v>1725000</v>
      </c>
      <c r="Y56" s="135">
        <v>521400</v>
      </c>
      <c r="Z56" s="135">
        <v>21000</v>
      </c>
      <c r="AA56" s="135">
        <v>62000</v>
      </c>
      <c r="AB56" s="135">
        <v>-2096375</v>
      </c>
      <c r="AC56" s="135">
        <v>-1683309</v>
      </c>
      <c r="AD56" s="135">
        <v>75294</v>
      </c>
      <c r="AE56" s="135">
        <v>3092</v>
      </c>
      <c r="AF56" s="135">
        <v>3524276</v>
      </c>
      <c r="AG56" s="135">
        <v>142603</v>
      </c>
      <c r="AH56" s="135">
        <v>0</v>
      </c>
      <c r="AI56" s="135">
        <v>274901.64</v>
      </c>
      <c r="AJ56" s="139">
        <v>0</v>
      </c>
      <c r="AK56" s="82">
        <v>75189629</v>
      </c>
      <c r="AL56" s="82">
        <v>1321290</v>
      </c>
      <c r="AM56" s="135">
        <v>0</v>
      </c>
      <c r="AN56" s="135">
        <v>5122342</v>
      </c>
      <c r="AO56" s="135">
        <v>115655</v>
      </c>
      <c r="AP56" s="135">
        <v>5588175</v>
      </c>
      <c r="AQ56" s="135">
        <v>5213149</v>
      </c>
      <c r="AR56" s="135">
        <v>186413</v>
      </c>
      <c r="AS56" s="135">
        <v>128935</v>
      </c>
      <c r="AT56" s="135">
        <v>561615</v>
      </c>
      <c r="AU56" s="135">
        <v>0</v>
      </c>
      <c r="AV56" s="135">
        <v>0</v>
      </c>
      <c r="AW56" s="135">
        <v>0</v>
      </c>
      <c r="AX56" s="135">
        <v>0</v>
      </c>
      <c r="AY56" s="135">
        <v>0</v>
      </c>
      <c r="BD56" s="82">
        <v>4514348.3499999996</v>
      </c>
      <c r="BE56" s="82">
        <v>2257174.1800000002</v>
      </c>
      <c r="BF56" s="117">
        <v>0</v>
      </c>
      <c r="BG56" s="118">
        <v>0</v>
      </c>
      <c r="BH56" s="118">
        <v>0</v>
      </c>
      <c r="BI56" s="117">
        <v>5904945</v>
      </c>
      <c r="BJ56" s="117">
        <v>5904945</v>
      </c>
      <c r="BK56" s="117">
        <v>53276504</v>
      </c>
      <c r="BL56" s="117">
        <v>53249579</v>
      </c>
      <c r="BM56" s="117">
        <v>0</v>
      </c>
      <c r="BN56" s="117">
        <v>0</v>
      </c>
      <c r="BO56" s="138"/>
      <c r="BP56" s="86">
        <v>408008830.81999999</v>
      </c>
      <c r="BQ56" s="86">
        <v>270086213.63999999</v>
      </c>
      <c r="BR56" s="87">
        <v>3908000</v>
      </c>
      <c r="BT56" s="86">
        <v>259360166</v>
      </c>
      <c r="BU56" s="82">
        <f t="shared" si="4"/>
        <v>75189629</v>
      </c>
      <c r="BV56" s="82">
        <f t="shared" si="5"/>
        <v>1321290</v>
      </c>
      <c r="BW56" s="86">
        <f t="shared" si="6"/>
        <v>10580081</v>
      </c>
      <c r="BX56" s="86">
        <f t="shared" si="3"/>
        <v>346451166</v>
      </c>
    </row>
    <row r="57" spans="1:76" x14ac:dyDescent="0.25">
      <c r="A57" s="91" t="s">
        <v>111</v>
      </c>
      <c r="B57" s="135">
        <v>43459498109</v>
      </c>
      <c r="C57" s="135">
        <v>172648220</v>
      </c>
      <c r="D57" s="135">
        <v>22009819472</v>
      </c>
      <c r="E57" s="135">
        <v>298015080</v>
      </c>
      <c r="F57" s="135">
        <v>2297068410</v>
      </c>
      <c r="G57" s="135">
        <v>175393870</v>
      </c>
      <c r="H57" s="135">
        <v>7349100</v>
      </c>
      <c r="I57" s="135">
        <v>117900</v>
      </c>
      <c r="J57" s="135">
        <v>4665090</v>
      </c>
      <c r="K57" s="135">
        <v>228680</v>
      </c>
      <c r="L57" s="135">
        <v>343232660</v>
      </c>
      <c r="M57" s="135">
        <v>523347880</v>
      </c>
      <c r="N57" s="135">
        <v>59429</v>
      </c>
      <c r="O57" s="135">
        <v>4672</v>
      </c>
      <c r="P57" s="135">
        <v>477614245</v>
      </c>
      <c r="Q57" s="135">
        <v>11391410</v>
      </c>
      <c r="R57" s="135">
        <v>908310890</v>
      </c>
      <c r="S57" s="135">
        <v>234452368</v>
      </c>
      <c r="T57" s="135">
        <v>12510040</v>
      </c>
      <c r="U57" s="135">
        <v>336620196</v>
      </c>
      <c r="V57" s="135">
        <v>477614245</v>
      </c>
      <c r="W57" s="135">
        <v>41481250</v>
      </c>
      <c r="X57" s="135">
        <v>908310890</v>
      </c>
      <c r="Y57" s="135">
        <v>234452368</v>
      </c>
      <c r="Z57" s="135">
        <v>47823010</v>
      </c>
      <c r="AA57" s="135">
        <v>336620196</v>
      </c>
      <c r="AB57" s="135">
        <v>-102075310</v>
      </c>
      <c r="AC57" s="135">
        <v>61751298</v>
      </c>
      <c r="AD57" s="135">
        <v>0</v>
      </c>
      <c r="AE57" s="135">
        <v>0</v>
      </c>
      <c r="AF57" s="135">
        <v>0</v>
      </c>
      <c r="AG57" s="135">
        <v>0</v>
      </c>
      <c r="AH57" s="135">
        <v>0</v>
      </c>
      <c r="AI57" s="135">
        <v>192245.9</v>
      </c>
      <c r="AJ57" s="139">
        <v>0</v>
      </c>
      <c r="AK57" s="82">
        <v>5673034581</v>
      </c>
      <c r="AL57" s="82">
        <v>72743703</v>
      </c>
      <c r="AM57" s="135">
        <v>3102428</v>
      </c>
      <c r="AN57" s="135">
        <v>2625389532</v>
      </c>
      <c r="AO57" s="135">
        <v>132202790</v>
      </c>
      <c r="AP57" s="135">
        <v>4135098322</v>
      </c>
      <c r="AQ57" s="135">
        <v>2531974173</v>
      </c>
      <c r="AR57" s="135">
        <v>1623413891</v>
      </c>
      <c r="AS57" s="135">
        <v>2268843220</v>
      </c>
      <c r="AT57" s="135">
        <f>6278194+1795366349</f>
        <v>1801644543</v>
      </c>
      <c r="AU57" s="135">
        <v>800728</v>
      </c>
      <c r="AV57" s="135">
        <v>810</v>
      </c>
      <c r="AW57" s="135">
        <v>64612114</v>
      </c>
      <c r="AX57" s="135">
        <v>22587479</v>
      </c>
      <c r="AY57" s="135">
        <v>113079797</v>
      </c>
      <c r="BD57" s="82">
        <v>340606206.16000003</v>
      </c>
      <c r="BE57" s="82">
        <v>170303103.08000001</v>
      </c>
      <c r="BF57" s="117">
        <v>42632124.352331601</v>
      </c>
      <c r="BG57" s="118">
        <v>22265273</v>
      </c>
      <c r="BH57" s="118">
        <v>44530546</v>
      </c>
      <c r="BI57" s="117">
        <v>932568296.22000003</v>
      </c>
      <c r="BJ57" s="117">
        <v>928260625.22000003</v>
      </c>
      <c r="BK57" s="117">
        <v>1840843538.6600001</v>
      </c>
      <c r="BL57" s="117">
        <v>1712135478.6600001</v>
      </c>
      <c r="BM57" s="117">
        <v>283410346</v>
      </c>
      <c r="BN57" s="117">
        <v>0</v>
      </c>
      <c r="BO57" s="138"/>
      <c r="BP57" s="86">
        <v>79793877651.860001</v>
      </c>
      <c r="BQ57" s="86">
        <v>70931724541.899994</v>
      </c>
      <c r="BR57" s="87">
        <v>120431740</v>
      </c>
      <c r="BT57" s="86">
        <v>65641965801</v>
      </c>
      <c r="BU57" s="82">
        <f t="shared" si="4"/>
        <v>5673034581</v>
      </c>
      <c r="BV57" s="82">
        <f t="shared" si="5"/>
        <v>72743703</v>
      </c>
      <c r="BW57" s="86">
        <f t="shared" si="6"/>
        <v>7558409715</v>
      </c>
      <c r="BX57" s="86">
        <f t="shared" si="3"/>
        <v>78946153800</v>
      </c>
    </row>
    <row r="58" spans="1:76" x14ac:dyDescent="0.25">
      <c r="A58" s="91" t="s">
        <v>112</v>
      </c>
      <c r="B58" s="135">
        <v>3042857115</v>
      </c>
      <c r="C58" s="135">
        <v>272670002</v>
      </c>
      <c r="D58" s="135">
        <v>738482696</v>
      </c>
      <c r="E58" s="135">
        <v>0</v>
      </c>
      <c r="F58" s="135">
        <v>131719807</v>
      </c>
      <c r="G58" s="135">
        <v>14267575</v>
      </c>
      <c r="H58" s="135">
        <v>12514078</v>
      </c>
      <c r="I58" s="135">
        <v>994645</v>
      </c>
      <c r="J58" s="135">
        <v>117900</v>
      </c>
      <c r="K58" s="135">
        <v>0</v>
      </c>
      <c r="L58" s="135">
        <v>549963822</v>
      </c>
      <c r="M58" s="135">
        <v>200395702</v>
      </c>
      <c r="N58" s="135">
        <v>3713</v>
      </c>
      <c r="O58" s="135">
        <v>403</v>
      </c>
      <c r="P58" s="135">
        <v>96015268</v>
      </c>
      <c r="Q58" s="135">
        <v>1356989</v>
      </c>
      <c r="R58" s="135">
        <v>17250000</v>
      </c>
      <c r="S58" s="135">
        <v>10362841</v>
      </c>
      <c r="T58" s="135">
        <v>3018291</v>
      </c>
      <c r="U58" s="135">
        <v>5833400</v>
      </c>
      <c r="V58" s="135">
        <v>96015268</v>
      </c>
      <c r="W58" s="135">
        <v>2222014</v>
      </c>
      <c r="X58" s="135">
        <v>17250000</v>
      </c>
      <c r="Y58" s="135">
        <v>10362841</v>
      </c>
      <c r="Z58" s="135">
        <v>6406805</v>
      </c>
      <c r="AA58" s="135">
        <v>5833400</v>
      </c>
      <c r="AB58" s="135">
        <v>-6339798</v>
      </c>
      <c r="AC58" s="135">
        <v>189578</v>
      </c>
      <c r="AD58" s="135">
        <v>0</v>
      </c>
      <c r="AE58" s="135">
        <v>0</v>
      </c>
      <c r="AF58" s="135">
        <v>0</v>
      </c>
      <c r="AG58" s="135">
        <v>83436</v>
      </c>
      <c r="AH58" s="135">
        <v>0</v>
      </c>
      <c r="AI58" s="135">
        <v>300893.44</v>
      </c>
      <c r="AJ58" s="139">
        <v>0</v>
      </c>
      <c r="AK58" s="82">
        <v>421247201</v>
      </c>
      <c r="AL58" s="82">
        <v>11264385</v>
      </c>
      <c r="AM58" s="135">
        <v>4200</v>
      </c>
      <c r="AN58" s="135">
        <v>138400100</v>
      </c>
      <c r="AO58" s="135">
        <v>3183050</v>
      </c>
      <c r="AP58" s="135">
        <v>98182218</v>
      </c>
      <c r="AQ58" s="135">
        <v>97958241</v>
      </c>
      <c r="AR58" s="135">
        <v>123110210</v>
      </c>
      <c r="AS58" s="135">
        <v>53745234</v>
      </c>
      <c r="AT58" s="135">
        <v>6273706</v>
      </c>
      <c r="AU58" s="135">
        <v>0</v>
      </c>
      <c r="AV58" s="135">
        <v>0</v>
      </c>
      <c r="AW58" s="135">
        <v>63585</v>
      </c>
      <c r="AX58" s="135">
        <v>42399</v>
      </c>
      <c r="AY58" s="135">
        <v>12522960</v>
      </c>
      <c r="BD58" s="82">
        <v>25291474.77</v>
      </c>
      <c r="BE58" s="82">
        <v>12645737.390000001</v>
      </c>
      <c r="BF58" s="117">
        <v>0</v>
      </c>
      <c r="BG58" s="118">
        <v>1712549</v>
      </c>
      <c r="BH58" s="118">
        <v>3425098</v>
      </c>
      <c r="BI58" s="117">
        <v>46685801</v>
      </c>
      <c r="BJ58" s="117">
        <v>46685801</v>
      </c>
      <c r="BK58" s="117">
        <v>68618509</v>
      </c>
      <c r="BL58" s="117">
        <v>64629676</v>
      </c>
      <c r="BM58" s="117">
        <v>34188387</v>
      </c>
      <c r="BN58" s="117">
        <v>0</v>
      </c>
      <c r="BO58" s="138"/>
      <c r="BP58" s="86">
        <v>4886225833.8300009</v>
      </c>
      <c r="BQ58" s="86">
        <v>4293852097.4400001</v>
      </c>
      <c r="BR58" s="87">
        <v>1915350</v>
      </c>
      <c r="BT58" s="86">
        <v>4054009813</v>
      </c>
      <c r="BU58" s="82">
        <f t="shared" si="4"/>
        <v>421247201</v>
      </c>
      <c r="BV58" s="82">
        <f t="shared" si="5"/>
        <v>11264385</v>
      </c>
      <c r="BW58" s="86">
        <f t="shared" si="6"/>
        <v>293286625</v>
      </c>
      <c r="BX58" s="86">
        <f t="shared" si="3"/>
        <v>4779808024</v>
      </c>
    </row>
    <row r="59" spans="1:76" x14ac:dyDescent="0.25">
      <c r="A59" s="91" t="s">
        <v>113</v>
      </c>
      <c r="B59" s="135">
        <v>441353509</v>
      </c>
      <c r="C59" s="135">
        <v>99975229</v>
      </c>
      <c r="D59" s="135">
        <v>194184711</v>
      </c>
      <c r="E59" s="135">
        <v>0</v>
      </c>
      <c r="F59" s="135">
        <v>64738855</v>
      </c>
      <c r="G59" s="135">
        <v>26743500</v>
      </c>
      <c r="H59" s="135">
        <v>20292512</v>
      </c>
      <c r="I59" s="135">
        <v>6360781</v>
      </c>
      <c r="J59" s="135">
        <v>0</v>
      </c>
      <c r="K59" s="135">
        <v>39300</v>
      </c>
      <c r="L59" s="135">
        <v>110060794</v>
      </c>
      <c r="M59" s="135">
        <v>97827535</v>
      </c>
      <c r="N59" s="135">
        <v>2433</v>
      </c>
      <c r="O59" s="135">
        <v>1070</v>
      </c>
      <c r="P59" s="135">
        <v>165000</v>
      </c>
      <c r="Q59" s="135">
        <v>0</v>
      </c>
      <c r="R59" s="135">
        <v>0</v>
      </c>
      <c r="S59" s="135">
        <v>1100100</v>
      </c>
      <c r="T59" s="135">
        <v>165750</v>
      </c>
      <c r="U59" s="135">
        <v>293500</v>
      </c>
      <c r="V59" s="135">
        <v>165000</v>
      </c>
      <c r="W59" s="135">
        <v>0</v>
      </c>
      <c r="X59" s="135">
        <v>0</v>
      </c>
      <c r="Y59" s="135">
        <v>1100100</v>
      </c>
      <c r="Z59" s="135">
        <v>201300</v>
      </c>
      <c r="AA59" s="135">
        <v>293500</v>
      </c>
      <c r="AB59" s="135">
        <v>-3390750</v>
      </c>
      <c r="AC59" s="135">
        <v>0</v>
      </c>
      <c r="AD59" s="135">
        <v>126297</v>
      </c>
      <c r="AE59" s="135">
        <v>2</v>
      </c>
      <c r="AF59" s="135">
        <v>0</v>
      </c>
      <c r="AG59" s="135">
        <v>133907</v>
      </c>
      <c r="AH59" s="135">
        <v>1198311.48</v>
      </c>
      <c r="AI59" s="135">
        <v>5077745.9000000004</v>
      </c>
      <c r="AJ59" s="139">
        <v>1322950.82</v>
      </c>
      <c r="AK59" s="82">
        <v>166526717</v>
      </c>
      <c r="AL59" s="82">
        <v>4563140</v>
      </c>
      <c r="AM59" s="135">
        <v>135000</v>
      </c>
      <c r="AN59" s="135">
        <v>42825719</v>
      </c>
      <c r="AO59" s="135">
        <v>1087619</v>
      </c>
      <c r="AP59" s="135">
        <v>3518964</v>
      </c>
      <c r="AQ59" s="135">
        <v>25248623</v>
      </c>
      <c r="AR59" s="135">
        <v>19246888</v>
      </c>
      <c r="AS59" s="135">
        <v>1157854</v>
      </c>
      <c r="AT59" s="135">
        <f>216+73729</f>
        <v>73945</v>
      </c>
      <c r="AU59" s="135">
        <v>0</v>
      </c>
      <c r="AV59" s="135">
        <v>0</v>
      </c>
      <c r="AW59" s="135">
        <v>0</v>
      </c>
      <c r="AX59" s="135">
        <v>28143</v>
      </c>
      <c r="AY59" s="135">
        <v>60000</v>
      </c>
      <c r="BD59" s="82">
        <v>9998182.1899999995</v>
      </c>
      <c r="BE59" s="82">
        <v>4999091.0999999996</v>
      </c>
      <c r="BF59" s="117">
        <v>0</v>
      </c>
      <c r="BG59" s="118">
        <v>2892685</v>
      </c>
      <c r="BH59" s="118">
        <v>5785369</v>
      </c>
      <c r="BI59" s="117">
        <v>63236708</v>
      </c>
      <c r="BJ59" s="117">
        <v>63236708</v>
      </c>
      <c r="BK59" s="117">
        <v>89868707</v>
      </c>
      <c r="BL59" s="117">
        <v>88074479</v>
      </c>
      <c r="BM59" s="117">
        <v>0</v>
      </c>
      <c r="BN59" s="117">
        <v>0</v>
      </c>
      <c r="BO59" s="138"/>
      <c r="BP59" s="86">
        <v>1142567238.3000002</v>
      </c>
      <c r="BQ59" s="86">
        <v>812274418.20000005</v>
      </c>
      <c r="BR59" s="87">
        <v>9393195</v>
      </c>
      <c r="BT59" s="86">
        <v>735513449</v>
      </c>
      <c r="BU59" s="82">
        <f t="shared" si="4"/>
        <v>166526717</v>
      </c>
      <c r="BV59" s="82">
        <f t="shared" si="5"/>
        <v>4563140</v>
      </c>
      <c r="BW59" s="86">
        <f t="shared" si="6"/>
        <v>70319815</v>
      </c>
      <c r="BX59" s="86">
        <f t="shared" si="3"/>
        <v>976923121</v>
      </c>
    </row>
    <row r="60" spans="1:76" x14ac:dyDescent="0.25">
      <c r="A60" s="91" t="s">
        <v>114</v>
      </c>
      <c r="B60" s="135">
        <v>8171757796</v>
      </c>
      <c r="C60" s="135">
        <v>123725700</v>
      </c>
      <c r="D60" s="135">
        <v>2655172879</v>
      </c>
      <c r="E60" s="135">
        <v>2051400</v>
      </c>
      <c r="F60" s="135">
        <v>456729950</v>
      </c>
      <c r="G60" s="135">
        <v>33536100</v>
      </c>
      <c r="H60" s="135">
        <v>8060900</v>
      </c>
      <c r="I60" s="135">
        <v>365800</v>
      </c>
      <c r="J60" s="135">
        <v>1414800</v>
      </c>
      <c r="K60" s="135">
        <v>39300</v>
      </c>
      <c r="L60" s="135">
        <v>209553500</v>
      </c>
      <c r="M60" s="135">
        <v>333279200</v>
      </c>
      <c r="N60" s="135">
        <v>11953</v>
      </c>
      <c r="O60" s="135">
        <v>889</v>
      </c>
      <c r="P60" s="135">
        <v>131848900</v>
      </c>
      <c r="Q60" s="135">
        <v>5055800</v>
      </c>
      <c r="R60" s="135">
        <v>54507000</v>
      </c>
      <c r="S60" s="135">
        <v>29118550</v>
      </c>
      <c r="T60" s="135">
        <v>4972100</v>
      </c>
      <c r="U60" s="135">
        <v>20737100</v>
      </c>
      <c r="V60" s="135">
        <v>131848900</v>
      </c>
      <c r="W60" s="135">
        <v>5055800</v>
      </c>
      <c r="X60" s="135">
        <v>54507000</v>
      </c>
      <c r="Y60" s="135">
        <v>29118550</v>
      </c>
      <c r="Z60" s="135">
        <v>4972100</v>
      </c>
      <c r="AA60" s="135">
        <v>20737750</v>
      </c>
      <c r="AB60" s="135">
        <v>-13624350</v>
      </c>
      <c r="AC60" s="135">
        <v>-251234</v>
      </c>
      <c r="AD60" s="135">
        <v>69231</v>
      </c>
      <c r="AE60" s="135">
        <v>0</v>
      </c>
      <c r="AF60" s="135">
        <v>0</v>
      </c>
      <c r="AG60" s="135">
        <v>40274</v>
      </c>
      <c r="AJ60" s="139"/>
      <c r="AK60" s="82">
        <v>1149472315</v>
      </c>
      <c r="AL60" s="82">
        <v>19216744</v>
      </c>
      <c r="AM60" s="135">
        <v>0</v>
      </c>
      <c r="AN60" s="135">
        <v>265178673</v>
      </c>
      <c r="AO60" s="135">
        <v>8990044</v>
      </c>
      <c r="AP60" s="135">
        <v>361398564</v>
      </c>
      <c r="AQ60" s="135">
        <v>253680897</v>
      </c>
      <c r="AR60" s="135">
        <v>259903571</v>
      </c>
      <c r="AS60" s="135">
        <v>239499528</v>
      </c>
      <c r="AT60" s="135">
        <v>144880</v>
      </c>
      <c r="AU60" s="135">
        <v>0</v>
      </c>
      <c r="AV60" s="135">
        <v>0</v>
      </c>
      <c r="AW60" s="135">
        <v>74829</v>
      </c>
      <c r="AX60" s="135">
        <v>329488</v>
      </c>
      <c r="AY60" s="135">
        <v>0</v>
      </c>
      <c r="BD60" s="82">
        <v>69013752.459999993</v>
      </c>
      <c r="BE60" s="82">
        <v>34506876.229999997</v>
      </c>
      <c r="BF60" s="117">
        <v>12196891.191709844</v>
      </c>
      <c r="BG60" s="118">
        <v>14536025</v>
      </c>
      <c r="BH60" s="118">
        <v>29072051</v>
      </c>
      <c r="BI60" s="117">
        <v>173274531</v>
      </c>
      <c r="BJ60" s="117">
        <v>173274531</v>
      </c>
      <c r="BK60" s="117">
        <v>287240115</v>
      </c>
      <c r="BL60" s="117">
        <v>275590860</v>
      </c>
      <c r="BM60" s="117">
        <v>13520</v>
      </c>
      <c r="BN60" s="117">
        <v>0</v>
      </c>
      <c r="BO60" s="138"/>
      <c r="BP60" s="86">
        <v>13145116860.23</v>
      </c>
      <c r="BQ60" s="86">
        <v>11478505989</v>
      </c>
      <c r="BR60" s="87">
        <v>8128500</v>
      </c>
      <c r="BT60" s="86">
        <v>10950656375</v>
      </c>
      <c r="BU60" s="82">
        <f t="shared" si="4"/>
        <v>1149472315</v>
      </c>
      <c r="BV60" s="82">
        <f t="shared" si="5"/>
        <v>19216744</v>
      </c>
      <c r="BW60" s="86">
        <f t="shared" si="6"/>
        <v>767349142</v>
      </c>
      <c r="BX60" s="86">
        <f t="shared" si="3"/>
        <v>12886694576</v>
      </c>
    </row>
    <row r="61" spans="1:76" x14ac:dyDescent="0.25">
      <c r="A61" s="91" t="s">
        <v>115</v>
      </c>
      <c r="B61" s="135">
        <v>161742783</v>
      </c>
      <c r="C61" s="135">
        <v>50182733</v>
      </c>
      <c r="D61" s="135">
        <v>76940426</v>
      </c>
      <c r="E61" s="135">
        <v>0</v>
      </c>
      <c r="F61" s="135">
        <v>40819866</v>
      </c>
      <c r="G61" s="135">
        <v>34369850</v>
      </c>
      <c r="H61" s="135">
        <v>16061615</v>
      </c>
      <c r="I61" s="135">
        <v>8004100</v>
      </c>
      <c r="J61" s="135">
        <v>157200</v>
      </c>
      <c r="K61" s="135">
        <v>39300</v>
      </c>
      <c r="L61" s="135">
        <v>70664947</v>
      </c>
      <c r="M61" s="135">
        <v>60977549</v>
      </c>
      <c r="N61" s="135">
        <v>1547</v>
      </c>
      <c r="O61" s="135">
        <v>1197</v>
      </c>
      <c r="P61" s="135">
        <v>2970300</v>
      </c>
      <c r="Q61" s="135">
        <v>1218400</v>
      </c>
      <c r="R61" s="135">
        <v>1032800</v>
      </c>
      <c r="S61" s="135">
        <v>3046000</v>
      </c>
      <c r="T61" s="135">
        <v>1325200</v>
      </c>
      <c r="U61" s="135">
        <v>455300</v>
      </c>
      <c r="V61" s="135">
        <v>2970300</v>
      </c>
      <c r="W61" s="135">
        <v>1010500</v>
      </c>
      <c r="X61" s="135">
        <v>1032800</v>
      </c>
      <c r="Y61" s="135">
        <v>3046000</v>
      </c>
      <c r="Z61" s="135">
        <v>1439900</v>
      </c>
      <c r="AA61" s="135">
        <v>455300</v>
      </c>
      <c r="AB61" s="135">
        <v>-1925600</v>
      </c>
      <c r="AC61" s="135">
        <v>0</v>
      </c>
      <c r="AD61" s="135">
        <v>0</v>
      </c>
      <c r="AE61" s="135">
        <v>0</v>
      </c>
      <c r="AF61" s="135">
        <v>0</v>
      </c>
      <c r="AG61" s="135">
        <v>0</v>
      </c>
      <c r="AH61" s="135">
        <v>3587950.82</v>
      </c>
      <c r="AI61" s="135">
        <v>40518467.210000001</v>
      </c>
      <c r="AJ61" s="139">
        <v>15882483.609999999</v>
      </c>
      <c r="AK61" s="82">
        <v>98480643</v>
      </c>
      <c r="AL61" s="82">
        <v>1724050</v>
      </c>
      <c r="AM61" s="135">
        <v>0</v>
      </c>
      <c r="AN61" s="135">
        <v>18380253</v>
      </c>
      <c r="AO61" s="135">
        <v>141584</v>
      </c>
      <c r="AP61" s="135">
        <v>38494340</v>
      </c>
      <c r="AQ61" s="135">
        <v>4369231</v>
      </c>
      <c r="AR61" s="135">
        <v>1979524</v>
      </c>
      <c r="AS61" s="135">
        <v>0</v>
      </c>
      <c r="AT61" s="135">
        <v>56510</v>
      </c>
      <c r="AU61" s="135">
        <v>0</v>
      </c>
      <c r="AV61" s="135">
        <v>0</v>
      </c>
      <c r="AW61" s="135">
        <v>0</v>
      </c>
      <c r="AX61" s="135">
        <v>0</v>
      </c>
      <c r="AY61" s="135">
        <v>0</v>
      </c>
      <c r="BD61" s="82">
        <v>5912729.3700000001</v>
      </c>
      <c r="BE61" s="82">
        <v>2956364.69</v>
      </c>
      <c r="BF61" s="117">
        <v>0</v>
      </c>
      <c r="BG61" s="118">
        <v>1295444</v>
      </c>
      <c r="BH61" s="118">
        <v>2590889</v>
      </c>
      <c r="BI61" s="117">
        <v>58240021</v>
      </c>
      <c r="BJ61" s="117">
        <v>58240021</v>
      </c>
      <c r="BK61" s="117">
        <v>89564460</v>
      </c>
      <c r="BL61" s="117">
        <v>88893008</v>
      </c>
      <c r="BM61" s="117">
        <v>0</v>
      </c>
      <c r="BN61" s="117">
        <v>0</v>
      </c>
      <c r="BO61" s="138"/>
      <c r="BP61" s="86">
        <v>623335442.32999992</v>
      </c>
      <c r="BQ61" s="86">
        <v>371745911.63999999</v>
      </c>
      <c r="BR61" s="87"/>
      <c r="BT61" s="86">
        <v>288865942</v>
      </c>
      <c r="BU61" s="82">
        <f t="shared" si="4"/>
        <v>98480643</v>
      </c>
      <c r="BV61" s="82">
        <f t="shared" si="5"/>
        <v>1724050</v>
      </c>
      <c r="BW61" s="86">
        <f t="shared" si="6"/>
        <v>22891068</v>
      </c>
      <c r="BX61" s="86">
        <f t="shared" si="3"/>
        <v>411961703</v>
      </c>
    </row>
    <row r="62" spans="1:76" x14ac:dyDescent="0.25">
      <c r="A62" s="91" t="s">
        <v>116</v>
      </c>
      <c r="B62" s="135">
        <v>514827499</v>
      </c>
      <c r="C62" s="135">
        <v>97075099</v>
      </c>
      <c r="D62" s="135">
        <v>243786939</v>
      </c>
      <c r="E62" s="135">
        <v>0</v>
      </c>
      <c r="F62" s="135">
        <v>82672218</v>
      </c>
      <c r="G62" s="135">
        <v>30051700</v>
      </c>
      <c r="H62" s="135">
        <v>17953168</v>
      </c>
      <c r="I62" s="135">
        <v>4298423</v>
      </c>
      <c r="J62" s="135">
        <v>353700</v>
      </c>
      <c r="K62" s="135">
        <v>77800</v>
      </c>
      <c r="L62" s="135">
        <v>164092296</v>
      </c>
      <c r="M62" s="135">
        <v>85219099</v>
      </c>
      <c r="N62" s="135">
        <v>3061</v>
      </c>
      <c r="O62" s="135">
        <v>1218</v>
      </c>
      <c r="P62" s="135">
        <v>7173100</v>
      </c>
      <c r="Q62" s="135">
        <v>2897260</v>
      </c>
      <c r="R62" s="135">
        <v>508000</v>
      </c>
      <c r="S62" s="135">
        <v>4961481</v>
      </c>
      <c r="T62" s="135">
        <v>852150</v>
      </c>
      <c r="U62" s="135">
        <v>614721</v>
      </c>
      <c r="V62" s="135">
        <v>7173100</v>
      </c>
      <c r="W62" s="135">
        <v>3130000</v>
      </c>
      <c r="X62" s="135">
        <v>508000</v>
      </c>
      <c r="Y62" s="135">
        <v>4961481</v>
      </c>
      <c r="Z62" s="135">
        <v>809800</v>
      </c>
      <c r="AA62" s="135">
        <v>614721</v>
      </c>
      <c r="AB62" s="135">
        <v>-5394899</v>
      </c>
      <c r="AC62" s="135">
        <v>-48293</v>
      </c>
      <c r="AD62" s="135">
        <v>0</v>
      </c>
      <c r="AE62" s="135">
        <v>0</v>
      </c>
      <c r="AF62" s="135">
        <v>0</v>
      </c>
      <c r="AG62" s="135">
        <v>0</v>
      </c>
      <c r="AH62" s="135">
        <v>-3869415.1</v>
      </c>
      <c r="AI62" s="135">
        <v>8066926.2300000004</v>
      </c>
      <c r="AJ62" s="139">
        <v>861401.64</v>
      </c>
      <c r="AK62" s="82">
        <v>168765029</v>
      </c>
      <c r="AL62" s="82">
        <v>4243864</v>
      </c>
      <c r="AM62" s="135">
        <v>0</v>
      </c>
      <c r="AN62" s="135">
        <v>36996085</v>
      </c>
      <c r="AO62" s="135">
        <v>3993273</v>
      </c>
      <c r="AP62" s="135">
        <v>44216629</v>
      </c>
      <c r="AQ62" s="135">
        <v>29684276</v>
      </c>
      <c r="AR62" s="135">
        <v>42314003</v>
      </c>
      <c r="AS62" s="135">
        <v>26737353</v>
      </c>
      <c r="AT62" s="135">
        <v>400498</v>
      </c>
      <c r="AU62" s="135">
        <v>0</v>
      </c>
      <c r="AV62" s="135">
        <v>0</v>
      </c>
      <c r="AW62" s="135">
        <v>0</v>
      </c>
      <c r="AX62" s="135">
        <v>95512</v>
      </c>
      <c r="AY62" s="135">
        <v>1000</v>
      </c>
      <c r="BD62" s="82">
        <v>10132569.34</v>
      </c>
      <c r="BE62" s="82">
        <v>5066284.67</v>
      </c>
      <c r="BF62" s="117">
        <v>0</v>
      </c>
      <c r="BG62" s="118">
        <v>3216546</v>
      </c>
      <c r="BH62" s="118">
        <v>6433092</v>
      </c>
      <c r="BI62" s="117">
        <v>24674152</v>
      </c>
      <c r="BJ62" s="117">
        <v>24674152</v>
      </c>
      <c r="BK62" s="117">
        <v>63753530</v>
      </c>
      <c r="BL62" s="117">
        <v>60925341</v>
      </c>
      <c r="BM62" s="117">
        <v>0</v>
      </c>
      <c r="BN62" s="117">
        <v>0</v>
      </c>
      <c r="BO62" s="138"/>
      <c r="BP62" s="86">
        <v>1198313300.4400001</v>
      </c>
      <c r="BQ62" s="86">
        <v>931422083.76999998</v>
      </c>
      <c r="BR62" s="87">
        <v>570090</v>
      </c>
      <c r="BT62" s="86">
        <v>855689537</v>
      </c>
      <c r="BU62" s="82">
        <f t="shared" si="4"/>
        <v>168765029</v>
      </c>
      <c r="BV62" s="82">
        <f t="shared" si="5"/>
        <v>4243864</v>
      </c>
      <c r="BW62" s="86">
        <f t="shared" si="6"/>
        <v>97410987</v>
      </c>
      <c r="BX62" s="86">
        <f t="shared" si="3"/>
        <v>1126109417</v>
      </c>
    </row>
    <row r="63" spans="1:76" x14ac:dyDescent="0.25">
      <c r="A63" s="91" t="s">
        <v>117</v>
      </c>
      <c r="B63" s="135">
        <v>374218581</v>
      </c>
      <c r="C63" s="135">
        <v>158140196</v>
      </c>
      <c r="D63" s="135">
        <v>78840960</v>
      </c>
      <c r="E63" s="135">
        <v>0</v>
      </c>
      <c r="F63" s="135">
        <v>40347648</v>
      </c>
      <c r="G63" s="135">
        <v>9243722</v>
      </c>
      <c r="H63" s="135">
        <v>15207140</v>
      </c>
      <c r="I63" s="135">
        <v>1225900</v>
      </c>
      <c r="J63" s="135">
        <v>196500</v>
      </c>
      <c r="K63" s="135">
        <v>39300</v>
      </c>
      <c r="L63" s="135">
        <v>384607940</v>
      </c>
      <c r="M63" s="135">
        <v>115255094</v>
      </c>
      <c r="N63" s="135">
        <v>1457</v>
      </c>
      <c r="O63" s="135">
        <v>289</v>
      </c>
      <c r="P63" s="135">
        <v>8005405</v>
      </c>
      <c r="Q63" s="135">
        <v>2714112</v>
      </c>
      <c r="R63" s="135">
        <v>1863600</v>
      </c>
      <c r="S63" s="135">
        <v>3520191</v>
      </c>
      <c r="T63" s="135">
        <v>2739918</v>
      </c>
      <c r="U63" s="135">
        <v>216400</v>
      </c>
      <c r="V63" s="135">
        <v>8005405</v>
      </c>
      <c r="W63" s="135">
        <v>4928955</v>
      </c>
      <c r="X63" s="135">
        <v>1863600</v>
      </c>
      <c r="Y63" s="135">
        <v>3520191</v>
      </c>
      <c r="Z63" s="135">
        <v>6514055</v>
      </c>
      <c r="AA63" s="135">
        <v>216400</v>
      </c>
      <c r="AB63" s="135">
        <v>-1472350</v>
      </c>
      <c r="AC63" s="135">
        <v>848041</v>
      </c>
      <c r="AD63" s="135">
        <v>53085</v>
      </c>
      <c r="AE63" s="135">
        <v>0</v>
      </c>
      <c r="AF63" s="135">
        <v>0</v>
      </c>
      <c r="AG63" s="135">
        <v>0</v>
      </c>
      <c r="AJ63" s="139"/>
      <c r="AK63" s="82">
        <v>101779600</v>
      </c>
      <c r="AL63" s="82">
        <v>2687054</v>
      </c>
      <c r="AM63" s="135">
        <v>0</v>
      </c>
      <c r="AN63" s="135">
        <v>10362133</v>
      </c>
      <c r="AO63" s="135">
        <v>326739</v>
      </c>
      <c r="AP63" s="135">
        <v>14317556</v>
      </c>
      <c r="AQ63" s="135">
        <v>14493303</v>
      </c>
      <c r="AR63" s="135">
        <v>13131752</v>
      </c>
      <c r="AS63" s="135">
        <v>2564606</v>
      </c>
      <c r="AT63" s="135">
        <v>2279430</v>
      </c>
      <c r="AU63" s="135">
        <v>0</v>
      </c>
      <c r="AV63" s="135">
        <v>75597</v>
      </c>
      <c r="AW63" s="135">
        <v>0</v>
      </c>
      <c r="AX63" s="135">
        <v>0</v>
      </c>
      <c r="AY63" s="135">
        <v>28250</v>
      </c>
      <c r="BD63" s="82">
        <v>6110797.1299999999</v>
      </c>
      <c r="BE63" s="82">
        <v>3055398.57</v>
      </c>
      <c r="BF63" s="117">
        <v>0</v>
      </c>
      <c r="BG63" s="118">
        <v>86837</v>
      </c>
      <c r="BH63" s="118">
        <v>173675</v>
      </c>
      <c r="BI63" s="117">
        <v>16449626</v>
      </c>
      <c r="BJ63" s="117">
        <v>16449626</v>
      </c>
      <c r="BK63" s="117">
        <v>65981757</v>
      </c>
      <c r="BL63" s="117">
        <v>65970749</v>
      </c>
      <c r="BM63" s="117">
        <v>0</v>
      </c>
      <c r="BN63" s="117">
        <v>0</v>
      </c>
      <c r="BO63" s="138"/>
      <c r="BP63" s="86">
        <v>826411176.57000005</v>
      </c>
      <c r="BQ63" s="86">
        <v>636381912</v>
      </c>
      <c r="BR63" s="87">
        <v>2345397</v>
      </c>
      <c r="BT63" s="86">
        <v>611199737</v>
      </c>
      <c r="BU63" s="82">
        <f t="shared" si="4"/>
        <v>101779600</v>
      </c>
      <c r="BV63" s="82">
        <f t="shared" si="5"/>
        <v>2687054</v>
      </c>
      <c r="BW63" s="86">
        <f t="shared" si="6"/>
        <v>27746781</v>
      </c>
      <c r="BX63" s="86">
        <f t="shared" si="3"/>
        <v>743413172</v>
      </c>
    </row>
    <row r="64" spans="1:76" x14ac:dyDescent="0.25">
      <c r="A64" s="91" t="s">
        <v>118</v>
      </c>
      <c r="B64" s="135">
        <v>1554204481</v>
      </c>
      <c r="C64" s="135">
        <v>205471341</v>
      </c>
      <c r="D64" s="135">
        <v>761361133</v>
      </c>
      <c r="E64" s="135">
        <v>43773169</v>
      </c>
      <c r="F64" s="135">
        <v>158855809</v>
      </c>
      <c r="G64" s="135">
        <v>51683105</v>
      </c>
      <c r="H64" s="135">
        <v>30341183</v>
      </c>
      <c r="I64" s="135">
        <v>5073276</v>
      </c>
      <c r="J64" s="135">
        <v>314400</v>
      </c>
      <c r="K64" s="135">
        <v>46500</v>
      </c>
      <c r="L64" s="135">
        <v>428441750</v>
      </c>
      <c r="M64" s="135">
        <v>185416700</v>
      </c>
      <c r="N64" s="135">
        <v>5222</v>
      </c>
      <c r="O64" s="135">
        <v>1717</v>
      </c>
      <c r="P64" s="135">
        <v>19356200</v>
      </c>
      <c r="Q64" s="135">
        <v>4039400</v>
      </c>
      <c r="R64" s="135">
        <v>11868800</v>
      </c>
      <c r="S64" s="135">
        <v>9334460</v>
      </c>
      <c r="T64" s="135">
        <v>1627400</v>
      </c>
      <c r="U64" s="135">
        <v>5887000</v>
      </c>
      <c r="V64" s="135">
        <v>19356200</v>
      </c>
      <c r="W64" s="135">
        <v>2415500</v>
      </c>
      <c r="X64" s="135">
        <v>11868800</v>
      </c>
      <c r="Y64" s="135">
        <v>9334460</v>
      </c>
      <c r="Z64" s="135">
        <v>3179000</v>
      </c>
      <c r="AA64" s="135">
        <v>5887000</v>
      </c>
      <c r="AB64" s="135">
        <v>-8681997</v>
      </c>
      <c r="AC64" s="135">
        <v>-208336</v>
      </c>
      <c r="AD64" s="135">
        <v>81642</v>
      </c>
      <c r="AE64" s="135">
        <v>0</v>
      </c>
      <c r="AF64" s="135">
        <v>0</v>
      </c>
      <c r="AG64" s="135">
        <v>163449</v>
      </c>
      <c r="AH64" s="135">
        <v>24172.13</v>
      </c>
      <c r="AI64" s="135">
        <v>45590.16</v>
      </c>
      <c r="AJ64" s="139">
        <v>2565.5700000000002</v>
      </c>
      <c r="AK64" s="82">
        <v>445352415</v>
      </c>
      <c r="AL64" s="82">
        <v>18191097</v>
      </c>
      <c r="AM64" s="135">
        <v>1650090</v>
      </c>
      <c r="AN64" s="135">
        <v>147220777</v>
      </c>
      <c r="AO64" s="135">
        <v>35076771</v>
      </c>
      <c r="AP64" s="135">
        <v>229383943</v>
      </c>
      <c r="AQ64" s="135">
        <v>159691421</v>
      </c>
      <c r="AR64" s="135">
        <v>125304574</v>
      </c>
      <c r="AS64" s="135">
        <v>31563363</v>
      </c>
      <c r="AT64" s="135">
        <v>1727609</v>
      </c>
      <c r="AU64" s="135">
        <v>0</v>
      </c>
      <c r="AV64" s="135">
        <v>55350</v>
      </c>
      <c r="AW64" s="135">
        <v>12160160</v>
      </c>
      <c r="AX64" s="135">
        <v>3232948</v>
      </c>
      <c r="AY64" s="135">
        <v>2496000</v>
      </c>
      <c r="BD64" s="82">
        <v>26738739.969999999</v>
      </c>
      <c r="BE64" s="82">
        <v>13369369.99</v>
      </c>
      <c r="BF64" s="117">
        <v>0</v>
      </c>
      <c r="BG64" s="118">
        <v>2680573</v>
      </c>
      <c r="BH64" s="118">
        <v>5361147</v>
      </c>
      <c r="BI64" s="117">
        <v>32989109</v>
      </c>
      <c r="BJ64" s="117">
        <v>32989109</v>
      </c>
      <c r="BK64" s="117">
        <v>125130438</v>
      </c>
      <c r="BL64" s="117">
        <v>118928682</v>
      </c>
      <c r="BM64" s="117">
        <v>0</v>
      </c>
      <c r="BN64" s="117">
        <v>0</v>
      </c>
      <c r="BO64" s="138"/>
      <c r="BP64" s="86">
        <v>3494609497.8499999</v>
      </c>
      <c r="BQ64" s="86">
        <v>2863098251.8600001</v>
      </c>
      <c r="BR64" s="87">
        <v>2843532</v>
      </c>
      <c r="BT64" s="86">
        <v>2521036955</v>
      </c>
      <c r="BU64" s="82">
        <f t="shared" si="4"/>
        <v>445352415</v>
      </c>
      <c r="BV64" s="82">
        <f t="shared" si="5"/>
        <v>18191097</v>
      </c>
      <c r="BW64" s="86">
        <f t="shared" si="6"/>
        <v>373552332</v>
      </c>
      <c r="BX64" s="86">
        <f t="shared" si="3"/>
        <v>3358132799</v>
      </c>
    </row>
    <row r="65" spans="1:76" x14ac:dyDescent="0.25">
      <c r="A65" s="91" t="s">
        <v>119</v>
      </c>
      <c r="B65" s="135">
        <v>254126496</v>
      </c>
      <c r="C65" s="135">
        <v>105679864</v>
      </c>
      <c r="D65" s="135">
        <v>102470150</v>
      </c>
      <c r="E65" s="135">
        <v>0</v>
      </c>
      <c r="F65" s="135">
        <v>30469165</v>
      </c>
      <c r="G65" s="135">
        <v>19811722</v>
      </c>
      <c r="H65" s="135">
        <v>16644672</v>
      </c>
      <c r="I65" s="135">
        <v>6638364</v>
      </c>
      <c r="J65" s="135">
        <v>314400</v>
      </c>
      <c r="K65" s="135">
        <v>37500</v>
      </c>
      <c r="L65" s="135">
        <v>116262345</v>
      </c>
      <c r="M65" s="135">
        <v>82420850</v>
      </c>
      <c r="N65" s="135">
        <v>1382</v>
      </c>
      <c r="O65" s="135">
        <v>844</v>
      </c>
      <c r="P65" s="135">
        <v>2754500</v>
      </c>
      <c r="Q65" s="135">
        <v>834900</v>
      </c>
      <c r="R65" s="135">
        <v>855000</v>
      </c>
      <c r="S65" s="135">
        <v>675100</v>
      </c>
      <c r="T65" s="135">
        <v>333400</v>
      </c>
      <c r="U65" s="135">
        <v>106500</v>
      </c>
      <c r="V65" s="135">
        <v>2754500</v>
      </c>
      <c r="W65" s="135">
        <v>830000</v>
      </c>
      <c r="X65" s="135">
        <v>855000</v>
      </c>
      <c r="Y65" s="135">
        <v>675100</v>
      </c>
      <c r="Z65" s="135">
        <v>388800</v>
      </c>
      <c r="AA65" s="135">
        <v>106500</v>
      </c>
      <c r="AB65" s="135">
        <v>-2775350</v>
      </c>
      <c r="AC65" s="135">
        <v>0</v>
      </c>
      <c r="AD65" s="135">
        <v>192523</v>
      </c>
      <c r="AE65" s="135">
        <v>0</v>
      </c>
      <c r="AF65" s="135">
        <v>0</v>
      </c>
      <c r="AG65" s="135">
        <v>223013</v>
      </c>
      <c r="AH65" s="135">
        <v>21497688.52</v>
      </c>
      <c r="AI65" s="135">
        <v>9777229.5099999998</v>
      </c>
      <c r="AJ65" s="139">
        <v>272754.09999999998</v>
      </c>
      <c r="AK65" s="82">
        <v>107480291</v>
      </c>
      <c r="AL65" s="82">
        <v>4042721</v>
      </c>
      <c r="AM65" s="135">
        <v>355969</v>
      </c>
      <c r="AN65" s="135">
        <v>26523847</v>
      </c>
      <c r="AO65" s="135">
        <v>320312</v>
      </c>
      <c r="AP65" s="135">
        <v>12571663</v>
      </c>
      <c r="AQ65" s="135">
        <v>18862946</v>
      </c>
      <c r="AR65" s="135">
        <v>2039704</v>
      </c>
      <c r="AS65" s="135">
        <v>100000</v>
      </c>
      <c r="AT65" s="135">
        <v>231863</v>
      </c>
      <c r="AU65" s="135">
        <v>0</v>
      </c>
      <c r="AV65" s="135">
        <v>0</v>
      </c>
      <c r="AW65" s="135">
        <v>0</v>
      </c>
      <c r="AX65" s="135">
        <v>0</v>
      </c>
      <c r="AY65" s="135">
        <v>0</v>
      </c>
      <c r="BD65" s="82">
        <v>6453063.8099999996</v>
      </c>
      <c r="BE65" s="82">
        <v>3226531.91</v>
      </c>
      <c r="BF65" s="117">
        <v>0</v>
      </c>
      <c r="BG65" s="118">
        <v>3314060</v>
      </c>
      <c r="BH65" s="118">
        <v>6628120</v>
      </c>
      <c r="BI65" s="117">
        <v>79845117</v>
      </c>
      <c r="BJ65" s="117">
        <v>79845117</v>
      </c>
      <c r="BK65" s="117">
        <v>103806847</v>
      </c>
      <c r="BL65" s="117">
        <v>100754124</v>
      </c>
      <c r="BM65" s="117">
        <v>0</v>
      </c>
      <c r="BN65" s="117">
        <v>0</v>
      </c>
      <c r="BO65" s="138"/>
      <c r="BP65" s="86">
        <v>838194132.03999996</v>
      </c>
      <c r="BQ65" s="86">
        <v>539531287.13</v>
      </c>
      <c r="BR65" s="87"/>
      <c r="BT65" s="86">
        <v>462276510</v>
      </c>
      <c r="BU65" s="82">
        <f t="shared" si="4"/>
        <v>107480291</v>
      </c>
      <c r="BV65" s="82">
        <f t="shared" si="5"/>
        <v>4042721</v>
      </c>
      <c r="BW65" s="86">
        <f t="shared" si="6"/>
        <v>45807105</v>
      </c>
      <c r="BX65" s="86">
        <f t="shared" si="3"/>
        <v>619606627</v>
      </c>
    </row>
    <row r="66" spans="1:76" x14ac:dyDescent="0.25">
      <c r="A66" s="91" t="s">
        <v>120</v>
      </c>
      <c r="B66" s="135">
        <v>94637003</v>
      </c>
      <c r="C66" s="135">
        <v>45103856</v>
      </c>
      <c r="D66" s="135">
        <v>54305938</v>
      </c>
      <c r="E66" s="135">
        <v>0</v>
      </c>
      <c r="F66" s="135">
        <v>16498375</v>
      </c>
      <c r="G66" s="135">
        <v>8512230</v>
      </c>
      <c r="H66" s="135">
        <v>7215273</v>
      </c>
      <c r="I66" s="135">
        <v>2063823</v>
      </c>
      <c r="J66" s="135">
        <v>0</v>
      </c>
      <c r="K66" s="135">
        <v>0</v>
      </c>
      <c r="L66" s="135">
        <v>60072291</v>
      </c>
      <c r="M66" s="135">
        <v>28852130</v>
      </c>
      <c r="N66" s="135">
        <v>735</v>
      </c>
      <c r="O66" s="135">
        <v>395</v>
      </c>
      <c r="P66" s="135">
        <v>2156425</v>
      </c>
      <c r="Q66" s="135">
        <v>578650</v>
      </c>
      <c r="R66" s="135">
        <v>1350600</v>
      </c>
      <c r="S66" s="135">
        <v>825450</v>
      </c>
      <c r="T66" s="135">
        <v>792300</v>
      </c>
      <c r="U66" s="135">
        <v>987650</v>
      </c>
      <c r="V66" s="135">
        <v>2156425</v>
      </c>
      <c r="W66" s="135">
        <v>943950</v>
      </c>
      <c r="X66" s="135">
        <v>1350600</v>
      </c>
      <c r="Y66" s="135">
        <v>825450</v>
      </c>
      <c r="Z66" s="135">
        <v>1085500</v>
      </c>
      <c r="AA66" s="135">
        <v>987650</v>
      </c>
      <c r="AB66" s="135">
        <v>-845025</v>
      </c>
      <c r="AC66" s="135">
        <v>0</v>
      </c>
      <c r="AD66" s="135">
        <v>95443</v>
      </c>
      <c r="AE66" s="135">
        <v>0</v>
      </c>
      <c r="AF66" s="135">
        <v>0</v>
      </c>
      <c r="AG66" s="135">
        <v>106234</v>
      </c>
      <c r="AH66" s="135">
        <v>13110713.109999999</v>
      </c>
      <c r="AI66" s="135">
        <v>0</v>
      </c>
      <c r="AJ66" s="139">
        <v>0</v>
      </c>
      <c r="AK66" s="82">
        <v>36046330</v>
      </c>
      <c r="AL66" s="82">
        <v>698162</v>
      </c>
      <c r="AM66" s="135">
        <v>0</v>
      </c>
      <c r="AN66" s="135">
        <v>14851434</v>
      </c>
      <c r="AO66" s="135">
        <v>272102</v>
      </c>
      <c r="AP66" s="135">
        <v>954705</v>
      </c>
      <c r="AQ66" s="135">
        <v>7472331</v>
      </c>
      <c r="AR66" s="135">
        <v>608690</v>
      </c>
      <c r="AS66" s="135">
        <v>0</v>
      </c>
      <c r="AT66" s="135">
        <v>73625</v>
      </c>
      <c r="AU66" s="135">
        <v>0</v>
      </c>
      <c r="AV66" s="135">
        <v>0</v>
      </c>
      <c r="AW66" s="135">
        <v>0</v>
      </c>
      <c r="AX66" s="135">
        <v>0</v>
      </c>
      <c r="AY66" s="135">
        <v>0</v>
      </c>
      <c r="BD66" s="82">
        <v>2164203.9300000002</v>
      </c>
      <c r="BE66" s="82">
        <v>1082101.97</v>
      </c>
      <c r="BF66" s="117">
        <v>0</v>
      </c>
      <c r="BG66" s="118">
        <v>2379489</v>
      </c>
      <c r="BH66" s="118">
        <v>4758979</v>
      </c>
      <c r="BI66" s="117">
        <v>15039019</v>
      </c>
      <c r="BJ66" s="117">
        <v>15039019</v>
      </c>
      <c r="BK66" s="117">
        <v>31446947</v>
      </c>
      <c r="BL66" s="117">
        <v>26547359</v>
      </c>
      <c r="BM66" s="117">
        <v>0</v>
      </c>
      <c r="BN66" s="117">
        <v>0</v>
      </c>
      <c r="BO66" s="138"/>
      <c r="BP66" s="86">
        <v>311545838.08000004</v>
      </c>
      <c r="BQ66" s="86">
        <v>229753377.11000001</v>
      </c>
      <c r="BR66" s="87">
        <v>397033</v>
      </c>
      <c r="BT66" s="86">
        <v>194046797</v>
      </c>
      <c r="BU66" s="82">
        <f t="shared" ref="BU66:BU97" si="7">AK66</f>
        <v>36046330</v>
      </c>
      <c r="BV66" s="82">
        <f t="shared" ref="BV66:BV97" si="8">AL66</f>
        <v>698162</v>
      </c>
      <c r="BW66" s="86">
        <f t="shared" ref="BW66:BW97" si="9">AN66+AO66+AQ66+AS66</f>
        <v>22595867</v>
      </c>
      <c r="BX66" s="86">
        <f t="shared" si="3"/>
        <v>253387156</v>
      </c>
    </row>
    <row r="67" spans="1:76" x14ac:dyDescent="0.25">
      <c r="A67" s="91" t="s">
        <v>121</v>
      </c>
      <c r="B67" s="135">
        <v>115701586</v>
      </c>
      <c r="C67" s="135">
        <v>55624411</v>
      </c>
      <c r="D67" s="135">
        <v>32527910</v>
      </c>
      <c r="E67" s="135">
        <v>0</v>
      </c>
      <c r="F67" s="135">
        <v>23511715</v>
      </c>
      <c r="G67" s="135">
        <v>26676632</v>
      </c>
      <c r="H67" s="135">
        <v>6432906</v>
      </c>
      <c r="I67" s="135">
        <v>3671295</v>
      </c>
      <c r="J67" s="135">
        <v>78600</v>
      </c>
      <c r="K67" s="135">
        <v>0</v>
      </c>
      <c r="L67" s="135">
        <v>43481011</v>
      </c>
      <c r="M67" s="135">
        <v>0</v>
      </c>
      <c r="N67" s="135">
        <v>983</v>
      </c>
      <c r="O67" s="135">
        <v>1075</v>
      </c>
      <c r="P67" s="135">
        <v>1874950</v>
      </c>
      <c r="Q67" s="135">
        <v>190500</v>
      </c>
      <c r="R67" s="135">
        <v>590000</v>
      </c>
      <c r="S67" s="135">
        <v>1909070</v>
      </c>
      <c r="T67" s="135">
        <v>437160</v>
      </c>
      <c r="U67" s="135">
        <v>244730</v>
      </c>
      <c r="V67" s="135">
        <v>1874950</v>
      </c>
      <c r="W67" s="135">
        <v>190500</v>
      </c>
      <c r="X67" s="135">
        <v>590000</v>
      </c>
      <c r="Y67" s="135">
        <v>1909070</v>
      </c>
      <c r="Z67" s="135">
        <v>402510</v>
      </c>
      <c r="AA67" s="135">
        <v>244730</v>
      </c>
      <c r="AB67" s="135">
        <v>-1517473</v>
      </c>
      <c r="AC67" s="135">
        <v>0</v>
      </c>
      <c r="AD67" s="135">
        <v>178476</v>
      </c>
      <c r="AE67" s="135">
        <v>0</v>
      </c>
      <c r="AF67" s="135">
        <v>0</v>
      </c>
      <c r="AG67" s="135">
        <v>188993</v>
      </c>
      <c r="AH67" s="135">
        <v>8844049.1799999997</v>
      </c>
      <c r="AI67" s="135">
        <v>7313319.6699999999</v>
      </c>
      <c r="AJ67" s="139">
        <v>15491475.41</v>
      </c>
      <c r="AK67" s="82">
        <v>69439027</v>
      </c>
      <c r="AL67" s="82">
        <v>2472181</v>
      </c>
      <c r="AM67" s="135">
        <v>0</v>
      </c>
      <c r="AN67" s="135">
        <v>24587586</v>
      </c>
      <c r="AO67" s="135">
        <v>374447</v>
      </c>
      <c r="AP67" s="135">
        <v>142287</v>
      </c>
      <c r="AQ67" s="135">
        <v>2329828</v>
      </c>
      <c r="AR67" s="135">
        <v>221760</v>
      </c>
      <c r="AS67" s="135">
        <v>0</v>
      </c>
      <c r="AT67" s="135">
        <v>0</v>
      </c>
      <c r="AU67" s="135">
        <v>0</v>
      </c>
      <c r="AV67" s="135">
        <v>0</v>
      </c>
      <c r="AW67" s="135">
        <v>0</v>
      </c>
      <c r="AX67" s="135">
        <v>405</v>
      </c>
      <c r="AY67" s="135">
        <v>0</v>
      </c>
      <c r="BD67" s="82">
        <v>4169085.03</v>
      </c>
      <c r="BE67" s="82">
        <v>2084542.52</v>
      </c>
      <c r="BF67" s="117">
        <v>0</v>
      </c>
      <c r="BG67" s="118">
        <v>0</v>
      </c>
      <c r="BH67" s="118">
        <v>0</v>
      </c>
      <c r="BI67" s="117">
        <v>10794830</v>
      </c>
      <c r="BJ67" s="117">
        <v>10794830</v>
      </c>
      <c r="BK67" s="117">
        <v>42078735</v>
      </c>
      <c r="BL67" s="117">
        <v>41967893</v>
      </c>
      <c r="BM67" s="117">
        <v>0</v>
      </c>
      <c r="BN67" s="117">
        <v>0</v>
      </c>
      <c r="BO67" s="138"/>
      <c r="BP67" s="86">
        <v>389553085.77999997</v>
      </c>
      <c r="BQ67" s="86">
        <v>262794612.25999999</v>
      </c>
      <c r="BR67" s="87"/>
      <c r="BT67" s="86">
        <v>203853907</v>
      </c>
      <c r="BU67" s="82">
        <f t="shared" si="7"/>
        <v>69439027</v>
      </c>
      <c r="BV67" s="82">
        <f t="shared" si="8"/>
        <v>2472181</v>
      </c>
      <c r="BW67" s="86">
        <f t="shared" si="9"/>
        <v>27291861</v>
      </c>
      <c r="BX67" s="86">
        <f t="shared" ref="BX67:BX121" si="10">SUM(BT67:BW67)</f>
        <v>303056976</v>
      </c>
    </row>
    <row r="68" spans="1:76" x14ac:dyDescent="0.25">
      <c r="A68" s="91" t="s">
        <v>122</v>
      </c>
      <c r="B68" s="135">
        <v>215903688</v>
      </c>
      <c r="C68" s="135">
        <v>45617851</v>
      </c>
      <c r="D68" s="135">
        <v>109513124</v>
      </c>
      <c r="E68" s="135">
        <v>0</v>
      </c>
      <c r="F68" s="135">
        <v>58677600</v>
      </c>
      <c r="G68" s="135">
        <v>33195500</v>
      </c>
      <c r="H68" s="135">
        <v>14610500</v>
      </c>
      <c r="I68" s="135">
        <v>5495550</v>
      </c>
      <c r="J68" s="135">
        <v>0</v>
      </c>
      <c r="K68" s="135">
        <v>0</v>
      </c>
      <c r="L68" s="135">
        <v>72909709</v>
      </c>
      <c r="N68" s="135">
        <v>2627</v>
      </c>
      <c r="O68" s="135">
        <v>1434</v>
      </c>
      <c r="P68" s="135">
        <v>2534800</v>
      </c>
      <c r="Q68" s="135">
        <v>341200</v>
      </c>
      <c r="R68" s="135">
        <v>225000</v>
      </c>
      <c r="S68" s="135">
        <v>1776400</v>
      </c>
      <c r="T68" s="135">
        <v>472650</v>
      </c>
      <c r="U68" s="135">
        <v>180300</v>
      </c>
      <c r="V68" s="135">
        <v>2534800</v>
      </c>
      <c r="W68" s="135">
        <v>398500</v>
      </c>
      <c r="X68" s="135">
        <v>225000</v>
      </c>
      <c r="Y68" s="135">
        <v>1776400</v>
      </c>
      <c r="Z68" s="135">
        <v>812500</v>
      </c>
      <c r="AA68" s="135">
        <v>180300</v>
      </c>
      <c r="AB68" s="135">
        <v>-4258050</v>
      </c>
      <c r="AC68" s="135">
        <v>-349484</v>
      </c>
      <c r="AD68" s="135">
        <v>0</v>
      </c>
      <c r="AE68" s="135">
        <v>0</v>
      </c>
      <c r="AF68" s="135">
        <v>0</v>
      </c>
      <c r="AG68" s="135">
        <v>0</v>
      </c>
      <c r="AH68" s="135">
        <v>6603863.3300000001</v>
      </c>
      <c r="AI68" s="135">
        <v>36138000</v>
      </c>
      <c r="AJ68" s="139">
        <v>6598172.1299999999</v>
      </c>
      <c r="AK68" s="82">
        <v>127843120</v>
      </c>
      <c r="AL68" s="82">
        <v>3069758</v>
      </c>
      <c r="AM68" s="135">
        <v>0</v>
      </c>
      <c r="AN68" s="135">
        <v>19120103</v>
      </c>
      <c r="AO68" s="135">
        <v>490431</v>
      </c>
      <c r="AP68" s="135">
        <v>56453368</v>
      </c>
      <c r="AQ68" s="135">
        <v>19627640</v>
      </c>
      <c r="AR68" s="135">
        <v>4194202</v>
      </c>
      <c r="AS68" s="135">
        <v>30890</v>
      </c>
      <c r="AT68" s="135">
        <v>47748</v>
      </c>
      <c r="AU68" s="135">
        <v>0</v>
      </c>
      <c r="AV68" s="135">
        <v>0</v>
      </c>
      <c r="AW68" s="135">
        <v>0</v>
      </c>
      <c r="AX68" s="135">
        <v>74939</v>
      </c>
      <c r="AY68" s="135">
        <v>0</v>
      </c>
      <c r="BD68" s="82">
        <v>7675638.0499999998</v>
      </c>
      <c r="BE68" s="82">
        <v>3837819.03</v>
      </c>
      <c r="BF68" s="117">
        <v>0</v>
      </c>
      <c r="BG68" s="118">
        <v>2911191</v>
      </c>
      <c r="BH68" s="118">
        <v>5822382</v>
      </c>
      <c r="BI68" s="117">
        <v>89685907</v>
      </c>
      <c r="BJ68" s="117">
        <v>89685907</v>
      </c>
      <c r="BK68" s="117">
        <v>74652238</v>
      </c>
      <c r="BL68" s="117">
        <v>70653720</v>
      </c>
      <c r="BM68" s="117">
        <v>0</v>
      </c>
      <c r="BN68" s="117">
        <v>0</v>
      </c>
      <c r="BO68" s="138"/>
      <c r="BP68" s="86">
        <v>757614387.49000001</v>
      </c>
      <c r="BQ68" s="86">
        <v>459612872.45999998</v>
      </c>
      <c r="BR68" s="87">
        <v>144750</v>
      </c>
      <c r="BT68" s="86">
        <v>371034663</v>
      </c>
      <c r="BU68" s="82">
        <f t="shared" si="7"/>
        <v>127843120</v>
      </c>
      <c r="BV68" s="82">
        <f t="shared" si="8"/>
        <v>3069758</v>
      </c>
      <c r="BW68" s="86">
        <f t="shared" si="9"/>
        <v>39269064</v>
      </c>
      <c r="BX68" s="86">
        <f t="shared" si="10"/>
        <v>541216605</v>
      </c>
    </row>
    <row r="69" spans="1:76" x14ac:dyDescent="0.25">
      <c r="A69" s="91" t="s">
        <v>123</v>
      </c>
      <c r="B69" s="135">
        <v>189772832</v>
      </c>
      <c r="C69" s="135">
        <v>114470122</v>
      </c>
      <c r="D69" s="135">
        <v>38427710</v>
      </c>
      <c r="E69" s="135">
        <v>0</v>
      </c>
      <c r="F69" s="135">
        <v>32961800</v>
      </c>
      <c r="G69" s="135">
        <v>13388200</v>
      </c>
      <c r="H69" s="135">
        <v>11676250</v>
      </c>
      <c r="I69" s="135">
        <v>2029650</v>
      </c>
      <c r="J69" s="135">
        <v>39300</v>
      </c>
      <c r="K69" s="135">
        <v>0</v>
      </c>
      <c r="L69" s="135">
        <v>172815443</v>
      </c>
      <c r="M69" s="135">
        <v>52443921</v>
      </c>
      <c r="N69" s="135">
        <v>1327</v>
      </c>
      <c r="O69" s="135">
        <v>498</v>
      </c>
      <c r="P69" s="135">
        <v>3028200</v>
      </c>
      <c r="Q69" s="135">
        <v>1287091</v>
      </c>
      <c r="R69" s="135">
        <v>3186060</v>
      </c>
      <c r="S69" s="135">
        <v>2456970</v>
      </c>
      <c r="T69" s="135">
        <v>903950</v>
      </c>
      <c r="U69" s="135">
        <v>1818500</v>
      </c>
      <c r="V69" s="135">
        <v>3028200</v>
      </c>
      <c r="W69" s="135">
        <v>1788400</v>
      </c>
      <c r="X69" s="135">
        <v>3186060</v>
      </c>
      <c r="Y69" s="135">
        <v>2456970</v>
      </c>
      <c r="Z69" s="135">
        <v>1392199</v>
      </c>
      <c r="AA69" s="135">
        <v>1818500</v>
      </c>
      <c r="AB69" s="135">
        <v>-1349300</v>
      </c>
      <c r="AC69" s="135">
        <v>0</v>
      </c>
      <c r="AD69" s="135">
        <v>201912</v>
      </c>
      <c r="AE69" s="135">
        <v>0</v>
      </c>
      <c r="AF69" s="135">
        <v>0</v>
      </c>
      <c r="AG69" s="135">
        <v>288687</v>
      </c>
      <c r="AH69" s="135">
        <v>0</v>
      </c>
      <c r="AI69" s="135">
        <v>70868.850000000006</v>
      </c>
      <c r="AJ69" s="139">
        <v>0</v>
      </c>
      <c r="AK69" s="82">
        <v>73479449</v>
      </c>
      <c r="AL69" s="82">
        <v>1230439</v>
      </c>
      <c r="AM69" s="135">
        <v>0</v>
      </c>
      <c r="AN69" s="135">
        <v>11659132</v>
      </c>
      <c r="AO69" s="135">
        <v>3874732</v>
      </c>
      <c r="AP69" s="135">
        <v>8631518</v>
      </c>
      <c r="AQ69" s="135">
        <v>5676712</v>
      </c>
      <c r="AR69" s="135">
        <v>2327278</v>
      </c>
      <c r="AS69" s="135">
        <v>0</v>
      </c>
      <c r="AT69" s="135">
        <f>406766+600</f>
        <v>407366</v>
      </c>
      <c r="AU69" s="135">
        <v>0</v>
      </c>
      <c r="AV69" s="135">
        <v>0</v>
      </c>
      <c r="AW69" s="135">
        <v>0</v>
      </c>
      <c r="AX69" s="135">
        <v>0</v>
      </c>
      <c r="AY69" s="135">
        <v>0</v>
      </c>
      <c r="BD69" s="82">
        <v>4411669.9800000004</v>
      </c>
      <c r="BE69" s="82">
        <v>2205834.9900000002</v>
      </c>
      <c r="BF69" s="117">
        <v>50155440.414507769</v>
      </c>
      <c r="BG69" s="118">
        <v>2958880</v>
      </c>
      <c r="BH69" s="118">
        <v>5917761</v>
      </c>
      <c r="BI69" s="117">
        <v>51707925</v>
      </c>
      <c r="BJ69" s="117">
        <v>51707925</v>
      </c>
      <c r="BK69" s="117">
        <v>53176743</v>
      </c>
      <c r="BL69" s="117">
        <v>44450746</v>
      </c>
      <c r="BM69" s="117">
        <v>0</v>
      </c>
      <c r="BN69" s="117">
        <v>0</v>
      </c>
      <c r="BO69" s="138"/>
      <c r="BP69" s="86">
        <v>539985382.84000003</v>
      </c>
      <c r="BQ69" s="86">
        <v>363952108.85000002</v>
      </c>
      <c r="BR69" s="87">
        <v>1881800</v>
      </c>
      <c r="BT69" s="86">
        <v>342670664</v>
      </c>
      <c r="BU69" s="82">
        <f t="shared" si="7"/>
        <v>73479449</v>
      </c>
      <c r="BV69" s="82">
        <f t="shared" si="8"/>
        <v>1230439</v>
      </c>
      <c r="BW69" s="86">
        <f t="shared" si="9"/>
        <v>21210576</v>
      </c>
      <c r="BX69" s="86">
        <f t="shared" si="10"/>
        <v>438591128</v>
      </c>
    </row>
    <row r="70" spans="1:76" x14ac:dyDescent="0.25">
      <c r="A70" s="91" t="s">
        <v>124</v>
      </c>
      <c r="B70" s="135">
        <v>512890965</v>
      </c>
      <c r="C70" s="135">
        <v>194495557</v>
      </c>
      <c r="D70" s="135">
        <v>127981782</v>
      </c>
      <c r="E70" s="135">
        <v>0</v>
      </c>
      <c r="F70" s="135">
        <v>75606175</v>
      </c>
      <c r="G70" s="135">
        <v>17018039</v>
      </c>
      <c r="H70" s="135">
        <v>22262200</v>
      </c>
      <c r="I70" s="135">
        <v>2528190</v>
      </c>
      <c r="J70" s="135">
        <v>387700</v>
      </c>
      <c r="K70" s="135">
        <v>78600</v>
      </c>
      <c r="L70" s="135">
        <v>296495402</v>
      </c>
      <c r="M70" s="135">
        <v>113267051</v>
      </c>
      <c r="N70" s="135">
        <v>2783</v>
      </c>
      <c r="O70" s="135">
        <v>625</v>
      </c>
      <c r="P70" s="135">
        <v>5511345</v>
      </c>
      <c r="Q70" s="135">
        <v>6577995</v>
      </c>
      <c r="R70" s="135">
        <v>1738900</v>
      </c>
      <c r="S70" s="135">
        <v>3707584</v>
      </c>
      <c r="T70" s="135">
        <v>2300983</v>
      </c>
      <c r="U70" s="135">
        <v>1436300</v>
      </c>
      <c r="V70" s="135">
        <v>5511345</v>
      </c>
      <c r="W70" s="135">
        <v>5149919</v>
      </c>
      <c r="X70" s="135">
        <v>1738900</v>
      </c>
      <c r="Y70" s="135">
        <v>3707584</v>
      </c>
      <c r="Z70" s="135">
        <v>3504250</v>
      </c>
      <c r="AA70" s="135">
        <v>1436300</v>
      </c>
      <c r="AB70" s="135">
        <v>-2486450</v>
      </c>
      <c r="AC70" s="135">
        <v>-72100</v>
      </c>
      <c r="AD70" s="135">
        <v>56206</v>
      </c>
      <c r="AE70" s="135">
        <v>0</v>
      </c>
      <c r="AF70" s="135">
        <v>0</v>
      </c>
      <c r="AG70" s="135">
        <v>0</v>
      </c>
      <c r="AH70" s="135">
        <v>21836.07</v>
      </c>
      <c r="AI70" s="135">
        <v>0</v>
      </c>
      <c r="AJ70" s="139">
        <v>0</v>
      </c>
      <c r="AK70" s="82">
        <v>157390791</v>
      </c>
      <c r="AL70" s="82">
        <v>4131368</v>
      </c>
      <c r="AM70" s="135">
        <v>0</v>
      </c>
      <c r="AN70" s="135">
        <v>14534728</v>
      </c>
      <c r="AO70" s="135">
        <v>4624378</v>
      </c>
      <c r="AP70" s="135">
        <v>16167502</v>
      </c>
      <c r="AQ70" s="135">
        <v>25868013</v>
      </c>
      <c r="AR70" s="135">
        <v>10878089</v>
      </c>
      <c r="AS70" s="135">
        <v>0</v>
      </c>
      <c r="AT70" s="135">
        <v>9803043</v>
      </c>
      <c r="AU70" s="135">
        <v>0</v>
      </c>
      <c r="AV70" s="135">
        <v>0</v>
      </c>
      <c r="AW70" s="135">
        <v>27588</v>
      </c>
      <c r="AX70" s="135">
        <v>444013</v>
      </c>
      <c r="AY70" s="135">
        <v>0</v>
      </c>
      <c r="BD70" s="82">
        <v>9449665.6799999997</v>
      </c>
      <c r="BE70" s="82">
        <v>4724832.84</v>
      </c>
      <c r="BF70" s="117">
        <v>0</v>
      </c>
      <c r="BG70" s="118">
        <v>2553876</v>
      </c>
      <c r="BH70" s="118">
        <v>5107752</v>
      </c>
      <c r="BI70" s="117">
        <v>54700451.420000002</v>
      </c>
      <c r="BJ70" s="117">
        <v>54700451.420000002</v>
      </c>
      <c r="BK70" s="117">
        <v>138884820.34</v>
      </c>
      <c r="BL70" s="117">
        <v>132797369.34</v>
      </c>
      <c r="BM70" s="117">
        <v>43819</v>
      </c>
      <c r="BN70" s="117">
        <v>0</v>
      </c>
      <c r="BO70" s="138"/>
      <c r="BP70" s="86">
        <v>1236759766.6700001</v>
      </c>
      <c r="BQ70" s="86">
        <v>880417259.07000005</v>
      </c>
      <c r="BR70" s="87">
        <v>513600</v>
      </c>
      <c r="BT70" s="86">
        <v>835368304</v>
      </c>
      <c r="BU70" s="82">
        <f t="shared" si="7"/>
        <v>157390791</v>
      </c>
      <c r="BV70" s="82">
        <f t="shared" si="8"/>
        <v>4131368</v>
      </c>
      <c r="BW70" s="86">
        <f t="shared" si="9"/>
        <v>45027119</v>
      </c>
      <c r="BX70" s="86">
        <f t="shared" si="10"/>
        <v>1041917582</v>
      </c>
    </row>
    <row r="71" spans="1:76" x14ac:dyDescent="0.25">
      <c r="A71" s="91" t="s">
        <v>125</v>
      </c>
      <c r="B71" s="135">
        <v>253646323</v>
      </c>
      <c r="C71" s="135">
        <v>124502250</v>
      </c>
      <c r="D71" s="135">
        <v>93245301</v>
      </c>
      <c r="E71" s="135">
        <v>0</v>
      </c>
      <c r="F71" s="135">
        <v>34586000</v>
      </c>
      <c r="G71" s="135">
        <v>6012600</v>
      </c>
      <c r="H71" s="135">
        <v>10309900</v>
      </c>
      <c r="I71" s="135">
        <v>1174200</v>
      </c>
      <c r="J71" s="135">
        <v>78600</v>
      </c>
      <c r="K71" s="135">
        <v>0</v>
      </c>
      <c r="L71" s="135">
        <v>242615247</v>
      </c>
      <c r="M71" s="135">
        <v>67320800</v>
      </c>
      <c r="N71" s="135">
        <v>1236</v>
      </c>
      <c r="O71" s="135">
        <v>215</v>
      </c>
      <c r="P71" s="135">
        <v>3716030</v>
      </c>
      <c r="Q71" s="135">
        <v>1542400</v>
      </c>
      <c r="R71" s="135">
        <v>254800</v>
      </c>
      <c r="S71" s="135">
        <v>3071280</v>
      </c>
      <c r="T71" s="135">
        <v>1512200</v>
      </c>
      <c r="U71" s="135">
        <v>1393450</v>
      </c>
      <c r="V71" s="135">
        <v>3716030</v>
      </c>
      <c r="W71" s="135">
        <v>2446300</v>
      </c>
      <c r="X71" s="135">
        <v>254800</v>
      </c>
      <c r="Y71" s="135">
        <v>3071280</v>
      </c>
      <c r="Z71" s="135">
        <v>4457100</v>
      </c>
      <c r="AA71" s="135">
        <v>1393450</v>
      </c>
      <c r="AB71" s="135">
        <v>-1052917</v>
      </c>
      <c r="AC71" s="135">
        <v>-132971</v>
      </c>
      <c r="AD71" s="135">
        <v>88017</v>
      </c>
      <c r="AE71" s="135">
        <v>0</v>
      </c>
      <c r="AF71" s="135">
        <v>0</v>
      </c>
      <c r="AG71" s="135">
        <v>16522</v>
      </c>
      <c r="AH71" s="135">
        <v>0</v>
      </c>
      <c r="AI71" s="135">
        <v>19189655.739999998</v>
      </c>
      <c r="AJ71" s="139">
        <v>0</v>
      </c>
      <c r="AK71" s="82">
        <v>83998901</v>
      </c>
      <c r="AL71" s="82">
        <v>5456143</v>
      </c>
      <c r="AM71" s="135">
        <v>9511661</v>
      </c>
      <c r="AN71" s="135">
        <v>62501814</v>
      </c>
      <c r="AO71" s="135">
        <v>2758023</v>
      </c>
      <c r="AP71" s="135">
        <v>78647946</v>
      </c>
      <c r="AQ71" s="135">
        <v>33130479</v>
      </c>
      <c r="AR71" s="135">
        <v>791172</v>
      </c>
      <c r="AS71" s="135">
        <v>20161665</v>
      </c>
      <c r="AT71" s="135">
        <v>3322506</v>
      </c>
      <c r="AU71" s="135">
        <v>0</v>
      </c>
      <c r="AV71" s="135">
        <v>0</v>
      </c>
      <c r="AW71" s="135">
        <v>0</v>
      </c>
      <c r="AX71" s="135">
        <v>0</v>
      </c>
      <c r="AY71" s="135">
        <v>0</v>
      </c>
      <c r="BD71" s="82">
        <v>5043252.7</v>
      </c>
      <c r="BE71" s="82">
        <v>2521626.35</v>
      </c>
      <c r="BF71" s="117">
        <v>89994818.652849749</v>
      </c>
      <c r="BG71" s="118">
        <v>406428</v>
      </c>
      <c r="BH71" s="118">
        <v>812856</v>
      </c>
      <c r="BI71" s="117">
        <v>155328946</v>
      </c>
      <c r="BJ71" s="117">
        <v>154929636</v>
      </c>
      <c r="BK71" s="117">
        <v>66662459</v>
      </c>
      <c r="BL71" s="117">
        <v>66092562</v>
      </c>
      <c r="BM71" s="117">
        <v>0</v>
      </c>
      <c r="BN71" s="117">
        <v>0</v>
      </c>
      <c r="BO71" s="138"/>
      <c r="BP71" s="86">
        <v>902379142.09000003</v>
      </c>
      <c r="BQ71" s="86">
        <v>588973845.74000001</v>
      </c>
      <c r="BR71" s="87">
        <v>490886</v>
      </c>
      <c r="BT71" s="86">
        <v>471393874</v>
      </c>
      <c r="BU71" s="82">
        <f t="shared" si="7"/>
        <v>83998901</v>
      </c>
      <c r="BV71" s="82">
        <f t="shared" si="8"/>
        <v>5456143</v>
      </c>
      <c r="BW71" s="86">
        <f t="shared" si="9"/>
        <v>118551981</v>
      </c>
      <c r="BX71" s="86">
        <f t="shared" si="10"/>
        <v>679400899</v>
      </c>
    </row>
    <row r="72" spans="1:76" x14ac:dyDescent="0.25">
      <c r="A72" s="91" t="s">
        <v>126</v>
      </c>
      <c r="B72" s="135">
        <v>658567139</v>
      </c>
      <c r="C72" s="135">
        <v>336948683</v>
      </c>
      <c r="D72" s="135">
        <v>255793348</v>
      </c>
      <c r="E72" s="135">
        <v>0</v>
      </c>
      <c r="F72" s="135">
        <v>76947375</v>
      </c>
      <c r="G72" s="135">
        <v>13184780</v>
      </c>
      <c r="H72" s="135">
        <v>17927760</v>
      </c>
      <c r="I72" s="135">
        <v>1299875</v>
      </c>
      <c r="J72" s="135">
        <v>107600</v>
      </c>
      <c r="K72" s="135">
        <v>0</v>
      </c>
      <c r="L72" s="135">
        <v>1101319045</v>
      </c>
      <c r="M72" s="135">
        <v>141638090</v>
      </c>
      <c r="N72" s="135">
        <v>2557</v>
      </c>
      <c r="O72" s="135">
        <v>412</v>
      </c>
      <c r="P72" s="135">
        <v>10335645</v>
      </c>
      <c r="Q72" s="135">
        <v>3196685</v>
      </c>
      <c r="R72" s="135">
        <v>2542258</v>
      </c>
      <c r="S72" s="135">
        <v>3547894</v>
      </c>
      <c r="T72" s="135">
        <v>2496779</v>
      </c>
      <c r="U72" s="135">
        <v>1907510</v>
      </c>
      <c r="V72" s="135">
        <v>10335645</v>
      </c>
      <c r="W72" s="135">
        <v>3641400</v>
      </c>
      <c r="X72" s="135">
        <v>2542258</v>
      </c>
      <c r="Y72" s="135">
        <v>3547894</v>
      </c>
      <c r="Z72" s="135">
        <v>3309796</v>
      </c>
      <c r="AA72" s="135">
        <v>1907510</v>
      </c>
      <c r="AB72" s="135">
        <v>-3145772</v>
      </c>
      <c r="AC72" s="135">
        <v>1327366</v>
      </c>
      <c r="AD72" s="135">
        <v>107360</v>
      </c>
      <c r="AE72" s="135">
        <v>0</v>
      </c>
      <c r="AF72" s="135">
        <v>703823040</v>
      </c>
      <c r="AG72" s="135">
        <v>322810</v>
      </c>
      <c r="AH72" s="135">
        <v>17532.79</v>
      </c>
      <c r="AI72" s="135">
        <v>238622.95</v>
      </c>
      <c r="AJ72" s="139">
        <v>0</v>
      </c>
      <c r="AK72" s="82">
        <v>194816155</v>
      </c>
      <c r="AL72" s="82">
        <v>5662974</v>
      </c>
      <c r="AM72" s="135">
        <v>0</v>
      </c>
      <c r="AN72" s="135">
        <v>46232213</v>
      </c>
      <c r="AO72" s="135">
        <v>21695106</v>
      </c>
      <c r="AP72" s="135">
        <v>834478757</v>
      </c>
      <c r="AQ72" s="135">
        <v>116697213</v>
      </c>
      <c r="AR72" s="135">
        <v>358704507</v>
      </c>
      <c r="AS72" s="135">
        <v>49897323</v>
      </c>
      <c r="AT72" s="135">
        <v>5948945</v>
      </c>
      <c r="AU72" s="135">
        <v>0</v>
      </c>
      <c r="AV72" s="135">
        <v>82705</v>
      </c>
      <c r="AW72" s="135">
        <v>18625594</v>
      </c>
      <c r="AX72" s="135">
        <v>6013019</v>
      </c>
      <c r="AY72" s="135">
        <v>1207800</v>
      </c>
      <c r="BD72" s="82">
        <v>11696666.130000001</v>
      </c>
      <c r="BE72" s="82">
        <v>5848333.0700000003</v>
      </c>
      <c r="BF72" s="117">
        <v>0</v>
      </c>
      <c r="BG72" s="118">
        <v>2615801</v>
      </c>
      <c r="BH72" s="118">
        <v>5231602</v>
      </c>
      <c r="BI72" s="117">
        <v>15408276</v>
      </c>
      <c r="BJ72" s="117">
        <v>15408276</v>
      </c>
      <c r="BK72" s="117">
        <v>65035537</v>
      </c>
      <c r="BL72" s="117">
        <v>59452466</v>
      </c>
      <c r="BM72" s="117">
        <v>0</v>
      </c>
      <c r="BN72" s="117">
        <v>8432245</v>
      </c>
      <c r="BO72" s="138"/>
      <c r="BP72" s="86">
        <v>1728426107.8099999</v>
      </c>
      <c r="BQ72" s="86">
        <v>1436189857.74</v>
      </c>
      <c r="BR72" s="87">
        <v>3733392</v>
      </c>
      <c r="BT72" s="86">
        <v>1251309170</v>
      </c>
      <c r="BU72" s="82">
        <f t="shared" si="7"/>
        <v>194816155</v>
      </c>
      <c r="BV72" s="82">
        <f t="shared" si="8"/>
        <v>5662974</v>
      </c>
      <c r="BW72" s="86">
        <f t="shared" si="9"/>
        <v>234521855</v>
      </c>
      <c r="BX72" s="86">
        <f t="shared" si="10"/>
        <v>1686310154</v>
      </c>
    </row>
    <row r="73" spans="1:76" x14ac:dyDescent="0.25">
      <c r="A73" s="91" t="s">
        <v>127</v>
      </c>
      <c r="B73" s="135">
        <v>514099288</v>
      </c>
      <c r="C73" s="135">
        <v>66453366</v>
      </c>
      <c r="D73" s="135">
        <v>91554994</v>
      </c>
      <c r="E73" s="135">
        <v>0</v>
      </c>
      <c r="F73" s="135">
        <v>32078360</v>
      </c>
      <c r="G73" s="135">
        <v>5878900</v>
      </c>
      <c r="H73" s="135">
        <v>6058560</v>
      </c>
      <c r="I73" s="135">
        <v>879400</v>
      </c>
      <c r="J73" s="135">
        <v>117900</v>
      </c>
      <c r="K73" s="135">
        <v>0</v>
      </c>
      <c r="L73" s="135">
        <v>169588117</v>
      </c>
      <c r="M73" s="135">
        <v>47570960</v>
      </c>
      <c r="N73" s="135">
        <v>1012</v>
      </c>
      <c r="O73" s="135">
        <v>192</v>
      </c>
      <c r="P73" s="135">
        <v>2046220</v>
      </c>
      <c r="Q73" s="135">
        <v>1377000</v>
      </c>
      <c r="R73" s="135">
        <v>0</v>
      </c>
      <c r="S73" s="135">
        <v>3193683</v>
      </c>
      <c r="T73" s="135">
        <v>748428</v>
      </c>
      <c r="U73" s="135">
        <v>805660</v>
      </c>
      <c r="V73" s="135">
        <v>2046220</v>
      </c>
      <c r="W73" s="135">
        <v>1377000</v>
      </c>
      <c r="X73" s="135">
        <v>0</v>
      </c>
      <c r="Y73" s="135">
        <v>3193683</v>
      </c>
      <c r="Z73" s="135">
        <v>1520338</v>
      </c>
      <c r="AA73" s="135">
        <v>805660</v>
      </c>
      <c r="AB73" s="135">
        <v>-1971830</v>
      </c>
      <c r="AC73" s="135">
        <v>321</v>
      </c>
      <c r="AD73" s="135">
        <v>28877</v>
      </c>
      <c r="AE73" s="135">
        <v>0</v>
      </c>
      <c r="AF73" s="135">
        <v>0</v>
      </c>
      <c r="AG73" s="135">
        <v>63080</v>
      </c>
      <c r="AJ73" s="139"/>
      <c r="AK73" s="82">
        <v>69412043</v>
      </c>
      <c r="AL73" s="82">
        <v>15443628</v>
      </c>
      <c r="AM73" s="135">
        <v>3115978</v>
      </c>
      <c r="AN73" s="135">
        <v>12874286</v>
      </c>
      <c r="AO73" s="135">
        <v>646510</v>
      </c>
      <c r="AP73" s="135">
        <v>4206645</v>
      </c>
      <c r="AQ73" s="135">
        <v>9168553</v>
      </c>
      <c r="AR73" s="135">
        <v>6414365</v>
      </c>
      <c r="AS73" s="135">
        <v>23143961</v>
      </c>
      <c r="AT73" s="135">
        <v>671219</v>
      </c>
      <c r="AU73" s="135">
        <v>0</v>
      </c>
      <c r="AV73" s="135">
        <v>25402</v>
      </c>
      <c r="AW73" s="135">
        <v>0</v>
      </c>
      <c r="AX73" s="135">
        <v>27080</v>
      </c>
      <c r="AY73" s="135">
        <v>0</v>
      </c>
      <c r="BD73" s="82">
        <v>4167464.92</v>
      </c>
      <c r="BE73" s="82">
        <v>2083732.46</v>
      </c>
      <c r="BF73" s="117">
        <v>37901554.404145084</v>
      </c>
      <c r="BG73" s="118">
        <v>1064827</v>
      </c>
      <c r="BH73" s="118">
        <v>2129654</v>
      </c>
      <c r="BI73" s="117">
        <v>18625592</v>
      </c>
      <c r="BJ73" s="117">
        <v>16558244</v>
      </c>
      <c r="BK73" s="117">
        <v>22018430</v>
      </c>
      <c r="BL73" s="117">
        <v>20721627</v>
      </c>
      <c r="BM73" s="117">
        <v>0</v>
      </c>
      <c r="BN73" s="117">
        <v>0</v>
      </c>
      <c r="BO73" s="138"/>
      <c r="BP73" s="86">
        <v>820081098.46000004</v>
      </c>
      <c r="BQ73" s="86">
        <v>694796997</v>
      </c>
      <c r="BR73" s="87">
        <v>671625</v>
      </c>
      <c r="BT73" s="86">
        <v>672107648</v>
      </c>
      <c r="BU73" s="82">
        <f t="shared" si="7"/>
        <v>69412043</v>
      </c>
      <c r="BV73" s="82">
        <f t="shared" si="8"/>
        <v>15443628</v>
      </c>
      <c r="BW73" s="86">
        <f t="shared" si="9"/>
        <v>45833310</v>
      </c>
      <c r="BX73" s="86">
        <f t="shared" si="10"/>
        <v>802796629</v>
      </c>
    </row>
    <row r="74" spans="1:76" x14ac:dyDescent="0.25">
      <c r="A74" s="91" t="s">
        <v>128</v>
      </c>
      <c r="B74" s="135">
        <v>2643450560</v>
      </c>
      <c r="C74" s="135">
        <v>211982454</v>
      </c>
      <c r="D74" s="135">
        <v>1279568232</v>
      </c>
      <c r="E74" s="135">
        <v>7815000</v>
      </c>
      <c r="F74" s="135">
        <v>237452361</v>
      </c>
      <c r="G74" s="135">
        <v>28389829</v>
      </c>
      <c r="H74" s="135">
        <v>12204082</v>
      </c>
      <c r="I74" s="135">
        <v>1021800</v>
      </c>
      <c r="J74" s="135">
        <v>745500</v>
      </c>
      <c r="K74" s="135">
        <v>78600</v>
      </c>
      <c r="L74" s="135">
        <v>217501404</v>
      </c>
      <c r="M74" s="135">
        <v>150718542</v>
      </c>
      <c r="N74" s="135">
        <v>6658</v>
      </c>
      <c r="O74" s="135">
        <v>872</v>
      </c>
      <c r="P74" s="135">
        <v>53218245</v>
      </c>
      <c r="Q74" s="135">
        <v>14361387</v>
      </c>
      <c r="R74" s="135">
        <v>44639095</v>
      </c>
      <c r="S74" s="135">
        <v>26345045</v>
      </c>
      <c r="T74" s="135">
        <v>10127991</v>
      </c>
      <c r="U74" s="135">
        <v>17813329</v>
      </c>
      <c r="V74" s="135">
        <v>53218245</v>
      </c>
      <c r="W74" s="135">
        <v>21341887</v>
      </c>
      <c r="X74" s="135">
        <v>44639095</v>
      </c>
      <c r="Y74" s="135">
        <v>26345045</v>
      </c>
      <c r="Z74" s="135">
        <v>16966631</v>
      </c>
      <c r="AA74" s="135">
        <v>17813329</v>
      </c>
      <c r="AB74" s="135">
        <v>-13036169</v>
      </c>
      <c r="AC74" s="135">
        <v>2186236</v>
      </c>
      <c r="AD74" s="135">
        <v>0</v>
      </c>
      <c r="AE74" s="135">
        <v>0</v>
      </c>
      <c r="AF74" s="135">
        <v>0</v>
      </c>
      <c r="AG74" s="135">
        <v>781</v>
      </c>
      <c r="AH74" s="135">
        <v>0</v>
      </c>
      <c r="AI74" s="135">
        <v>1729.51</v>
      </c>
      <c r="AJ74" s="139">
        <v>0</v>
      </c>
      <c r="AK74" s="82">
        <v>509064261</v>
      </c>
      <c r="AL74" s="82">
        <v>15425406</v>
      </c>
      <c r="AM74" s="135">
        <v>3500</v>
      </c>
      <c r="AN74" s="135">
        <v>224101009</v>
      </c>
      <c r="AO74" s="135">
        <v>11402172</v>
      </c>
      <c r="AP74" s="135">
        <v>57124407</v>
      </c>
      <c r="AQ74" s="135">
        <v>241865094</v>
      </c>
      <c r="AR74" s="135">
        <v>90772088</v>
      </c>
      <c r="AS74" s="135">
        <v>48281815</v>
      </c>
      <c r="AT74" s="135">
        <f>5288642+721</f>
        <v>5289363</v>
      </c>
      <c r="AU74" s="135">
        <v>0</v>
      </c>
      <c r="AV74" s="135">
        <v>0</v>
      </c>
      <c r="AW74" s="135">
        <v>1</v>
      </c>
      <c r="AX74" s="135">
        <v>10473988</v>
      </c>
      <c r="AY74" s="135">
        <v>32062192</v>
      </c>
      <c r="BD74" s="82">
        <v>30563967.260000002</v>
      </c>
      <c r="BE74" s="82">
        <v>15281983.630000001</v>
      </c>
      <c r="BF74" s="117">
        <v>36590673.575129531</v>
      </c>
      <c r="BG74" s="118">
        <v>5241567</v>
      </c>
      <c r="BH74" s="118">
        <v>10483135</v>
      </c>
      <c r="BI74" s="117">
        <v>92692865</v>
      </c>
      <c r="BJ74" s="117">
        <v>82706654</v>
      </c>
      <c r="BK74" s="117">
        <v>151637425</v>
      </c>
      <c r="BL74" s="117">
        <v>122131238</v>
      </c>
      <c r="BM74" s="117">
        <v>29033</v>
      </c>
      <c r="BN74" s="117">
        <v>69573280</v>
      </c>
      <c r="BO74" s="138"/>
      <c r="BP74" s="86">
        <v>5431824673.1400003</v>
      </c>
      <c r="BQ74" s="86">
        <v>4612371250.5100002</v>
      </c>
      <c r="BR74" s="87">
        <v>5046898</v>
      </c>
      <c r="BT74" s="86">
        <v>4135001246</v>
      </c>
      <c r="BU74" s="82">
        <f t="shared" si="7"/>
        <v>509064261</v>
      </c>
      <c r="BV74" s="82">
        <f t="shared" si="8"/>
        <v>15425406</v>
      </c>
      <c r="BW74" s="86">
        <f t="shared" si="9"/>
        <v>525650090</v>
      </c>
      <c r="BX74" s="86">
        <f t="shared" si="10"/>
        <v>5185141003</v>
      </c>
    </row>
    <row r="75" spans="1:76" x14ac:dyDescent="0.25">
      <c r="A75" s="91" t="s">
        <v>129</v>
      </c>
      <c r="B75" s="135">
        <v>241281219</v>
      </c>
      <c r="C75" s="135">
        <v>42290643</v>
      </c>
      <c r="D75" s="135">
        <v>84596010</v>
      </c>
      <c r="E75" s="135">
        <v>0</v>
      </c>
      <c r="F75" s="135">
        <v>48333650</v>
      </c>
      <c r="G75" s="135">
        <v>19392920</v>
      </c>
      <c r="H75" s="135">
        <v>6334900</v>
      </c>
      <c r="I75" s="135">
        <v>1321250</v>
      </c>
      <c r="J75" s="135">
        <v>98600</v>
      </c>
      <c r="K75" s="135">
        <v>30000</v>
      </c>
      <c r="L75" s="135">
        <v>24194217</v>
      </c>
      <c r="M75" s="135">
        <v>0</v>
      </c>
      <c r="N75" s="135">
        <v>1588</v>
      </c>
      <c r="O75" s="135">
        <v>667</v>
      </c>
      <c r="P75" s="135">
        <v>3687100</v>
      </c>
      <c r="Q75" s="135">
        <v>430000</v>
      </c>
      <c r="R75" s="135">
        <v>264800</v>
      </c>
      <c r="S75" s="135">
        <v>1852500</v>
      </c>
      <c r="T75" s="135">
        <v>320500</v>
      </c>
      <c r="U75" s="135">
        <v>622000</v>
      </c>
      <c r="V75" s="135">
        <v>3687100</v>
      </c>
      <c r="W75" s="135">
        <v>535000</v>
      </c>
      <c r="X75" s="135">
        <v>264800</v>
      </c>
      <c r="Y75" s="135">
        <v>1852500</v>
      </c>
      <c r="Z75" s="135">
        <v>828000</v>
      </c>
      <c r="AA75" s="135">
        <v>622000</v>
      </c>
      <c r="AB75" s="135">
        <v>-1093185</v>
      </c>
      <c r="AC75" s="135">
        <v>0</v>
      </c>
      <c r="AD75" s="135">
        <v>0</v>
      </c>
      <c r="AE75" s="135">
        <v>0</v>
      </c>
      <c r="AF75" s="135">
        <v>0</v>
      </c>
      <c r="AG75" s="135">
        <v>0</v>
      </c>
      <c r="AH75" s="135">
        <v>33581.97</v>
      </c>
      <c r="AI75" s="135">
        <v>353778.69</v>
      </c>
      <c r="AJ75" s="139">
        <v>26081.97</v>
      </c>
      <c r="AK75" s="82">
        <v>60488381</v>
      </c>
      <c r="AL75" s="82">
        <v>2253971</v>
      </c>
      <c r="AM75" s="135">
        <v>0</v>
      </c>
      <c r="AN75" s="135">
        <v>7376088</v>
      </c>
      <c r="AO75" s="135">
        <v>65709</v>
      </c>
      <c r="AP75" s="135">
        <v>4292668</v>
      </c>
      <c r="AQ75" s="135">
        <v>7969795</v>
      </c>
      <c r="AR75" s="135">
        <v>7333785</v>
      </c>
      <c r="AS75" s="135">
        <v>0</v>
      </c>
      <c r="AT75" s="135">
        <v>1164899</v>
      </c>
      <c r="AU75" s="135">
        <v>0</v>
      </c>
      <c r="AV75" s="135">
        <v>0</v>
      </c>
      <c r="AW75" s="135">
        <v>0</v>
      </c>
      <c r="AX75" s="135">
        <v>0</v>
      </c>
      <c r="AY75" s="135">
        <v>0</v>
      </c>
      <c r="BD75" s="82">
        <v>3631692.65</v>
      </c>
      <c r="BE75" s="82">
        <v>1815846.33</v>
      </c>
      <c r="BF75" s="117">
        <v>0</v>
      </c>
      <c r="BG75" s="118">
        <v>3830814</v>
      </c>
      <c r="BH75" s="118">
        <v>7661628</v>
      </c>
      <c r="BI75" s="117">
        <v>44157000</v>
      </c>
      <c r="BJ75" s="117">
        <v>44157000</v>
      </c>
      <c r="BK75" s="117">
        <v>44298224</v>
      </c>
      <c r="BL75" s="117">
        <v>37033295</v>
      </c>
      <c r="BM75" s="117">
        <v>0</v>
      </c>
      <c r="BN75" s="117">
        <v>0</v>
      </c>
      <c r="BO75" s="138"/>
      <c r="BP75" s="86">
        <v>533572213.96000004</v>
      </c>
      <c r="BQ75" s="86">
        <v>383992906.63000005</v>
      </c>
      <c r="BR75" s="87">
        <v>642100</v>
      </c>
      <c r="BT75" s="86">
        <v>368167872</v>
      </c>
      <c r="BU75" s="82">
        <f t="shared" si="7"/>
        <v>60488381</v>
      </c>
      <c r="BV75" s="82">
        <f t="shared" si="8"/>
        <v>2253971</v>
      </c>
      <c r="BW75" s="86">
        <f t="shared" si="9"/>
        <v>15411592</v>
      </c>
      <c r="BX75" s="86">
        <f t="shared" si="10"/>
        <v>446321816</v>
      </c>
    </row>
    <row r="76" spans="1:76" x14ac:dyDescent="0.25">
      <c r="A76" s="91" t="s">
        <v>130</v>
      </c>
      <c r="B76" s="135">
        <v>194827917</v>
      </c>
      <c r="C76" s="135">
        <v>159056650</v>
      </c>
      <c r="D76" s="135">
        <v>60137662</v>
      </c>
      <c r="E76" s="135">
        <v>0</v>
      </c>
      <c r="F76" s="135">
        <v>30784710</v>
      </c>
      <c r="G76" s="135">
        <v>8487750</v>
      </c>
      <c r="H76" s="135">
        <v>7124300</v>
      </c>
      <c r="I76" s="135">
        <v>732500</v>
      </c>
      <c r="J76" s="135">
        <v>57400</v>
      </c>
      <c r="K76" s="135">
        <v>0</v>
      </c>
      <c r="L76" s="135">
        <v>413519340</v>
      </c>
      <c r="M76" s="135">
        <v>50229890</v>
      </c>
      <c r="N76" s="135">
        <v>1065</v>
      </c>
      <c r="O76" s="135">
        <v>277</v>
      </c>
      <c r="P76" s="135">
        <v>1902856</v>
      </c>
      <c r="Q76" s="135">
        <v>2929140</v>
      </c>
      <c r="R76" s="135">
        <v>72000</v>
      </c>
      <c r="S76" s="135">
        <v>691350</v>
      </c>
      <c r="T76" s="135">
        <v>179060</v>
      </c>
      <c r="U76" s="135">
        <v>585300</v>
      </c>
      <c r="V76" s="135">
        <v>1902856</v>
      </c>
      <c r="W76" s="135">
        <v>2929140</v>
      </c>
      <c r="X76" s="135">
        <v>72000</v>
      </c>
      <c r="Y76" s="135">
        <v>691350</v>
      </c>
      <c r="Z76" s="135">
        <v>179060</v>
      </c>
      <c r="AA76" s="135">
        <v>585300</v>
      </c>
      <c r="AB76" s="135">
        <v>-1331550</v>
      </c>
      <c r="AC76" s="135">
        <v>-260570</v>
      </c>
      <c r="AD76" s="135">
        <v>15635</v>
      </c>
      <c r="AE76" s="135">
        <v>2942</v>
      </c>
      <c r="AF76" s="135">
        <v>6198514</v>
      </c>
      <c r="AG76" s="135">
        <v>153231</v>
      </c>
      <c r="AH76" s="135">
        <v>5158147.54</v>
      </c>
      <c r="AI76" s="135">
        <v>1540.98</v>
      </c>
      <c r="AJ76" s="139">
        <v>7128278.6900000004</v>
      </c>
      <c r="AK76" s="82">
        <v>78518354</v>
      </c>
      <c r="AL76" s="82">
        <v>2433395</v>
      </c>
      <c r="AM76" s="135">
        <v>0</v>
      </c>
      <c r="AN76" s="135">
        <v>26490267</v>
      </c>
      <c r="AO76" s="135">
        <v>1764833</v>
      </c>
      <c r="AP76" s="135">
        <v>15723087</v>
      </c>
      <c r="AQ76" s="135">
        <v>17983934</v>
      </c>
      <c r="AR76" s="135">
        <v>6116185</v>
      </c>
      <c r="AS76" s="135">
        <v>0</v>
      </c>
      <c r="AT76" s="135">
        <v>20176254</v>
      </c>
      <c r="AU76" s="135">
        <v>0</v>
      </c>
      <c r="AV76" s="135">
        <v>1161641</v>
      </c>
      <c r="AW76" s="135">
        <v>17045250</v>
      </c>
      <c r="AX76" s="135">
        <v>17343</v>
      </c>
      <c r="AY76" s="135">
        <v>180700</v>
      </c>
      <c r="BD76" s="82">
        <v>4714203.3600000003</v>
      </c>
      <c r="BE76" s="82">
        <v>2357101.6800000002</v>
      </c>
      <c r="BF76" s="117">
        <v>16300518.134715026</v>
      </c>
      <c r="BG76" s="118">
        <v>0</v>
      </c>
      <c r="BH76" s="118">
        <v>0</v>
      </c>
      <c r="BI76" s="117">
        <v>11078171</v>
      </c>
      <c r="BJ76" s="117">
        <v>11078171</v>
      </c>
      <c r="BK76" s="117">
        <v>23628595</v>
      </c>
      <c r="BL76" s="117">
        <v>23628595</v>
      </c>
      <c r="BM76" s="117">
        <v>0</v>
      </c>
      <c r="BN76" s="117">
        <v>0</v>
      </c>
      <c r="BO76" s="138"/>
      <c r="BP76" s="86">
        <v>590564846.88999999</v>
      </c>
      <c r="BQ76" s="86">
        <v>472549230.21000004</v>
      </c>
      <c r="BR76" s="87"/>
      <c r="BT76" s="86">
        <v>414022229</v>
      </c>
      <c r="BU76" s="82">
        <f t="shared" si="7"/>
        <v>78518354</v>
      </c>
      <c r="BV76" s="82">
        <f t="shared" si="8"/>
        <v>2433395</v>
      </c>
      <c r="BW76" s="86">
        <f t="shared" si="9"/>
        <v>46239034</v>
      </c>
      <c r="BX76" s="86">
        <f t="shared" si="10"/>
        <v>541213012</v>
      </c>
    </row>
    <row r="77" spans="1:76" x14ac:dyDescent="0.25">
      <c r="A77" s="91" t="s">
        <v>131</v>
      </c>
      <c r="B77" s="135">
        <v>3446708919</v>
      </c>
      <c r="C77" s="135">
        <v>289654049</v>
      </c>
      <c r="D77" s="135">
        <v>1155757798</v>
      </c>
      <c r="E77" s="135">
        <v>0</v>
      </c>
      <c r="F77" s="135">
        <v>238399353</v>
      </c>
      <c r="G77" s="135">
        <v>21293515</v>
      </c>
      <c r="H77" s="135">
        <v>23155179</v>
      </c>
      <c r="I77" s="135">
        <v>1067800</v>
      </c>
      <c r="J77" s="135">
        <v>550200</v>
      </c>
      <c r="K77" s="135">
        <v>0</v>
      </c>
      <c r="L77" s="135">
        <v>479184832</v>
      </c>
      <c r="M77" s="135">
        <v>200658900</v>
      </c>
      <c r="N77" s="135">
        <v>6875</v>
      </c>
      <c r="O77" s="135">
        <v>614</v>
      </c>
      <c r="P77" s="135">
        <v>72677934</v>
      </c>
      <c r="Q77" s="135">
        <v>3423725</v>
      </c>
      <c r="R77" s="135">
        <v>35121171</v>
      </c>
      <c r="S77" s="135">
        <v>16871412</v>
      </c>
      <c r="T77" s="135">
        <v>3727063</v>
      </c>
      <c r="U77" s="135">
        <v>11138298</v>
      </c>
      <c r="V77" s="135">
        <v>72677934</v>
      </c>
      <c r="W77" s="135">
        <v>4202625</v>
      </c>
      <c r="X77" s="135">
        <v>35121171</v>
      </c>
      <c r="Y77" s="135">
        <v>16871412</v>
      </c>
      <c r="Z77" s="135">
        <v>7377267</v>
      </c>
      <c r="AA77" s="135">
        <v>11138298</v>
      </c>
      <c r="AB77" s="135">
        <v>-5399711</v>
      </c>
      <c r="AC77" s="135">
        <v>-454183</v>
      </c>
      <c r="AD77" s="135">
        <v>1993</v>
      </c>
      <c r="AE77" s="135">
        <v>0</v>
      </c>
      <c r="AF77" s="135">
        <v>0</v>
      </c>
      <c r="AG77" s="135">
        <v>79791</v>
      </c>
      <c r="AH77" s="135">
        <v>0</v>
      </c>
      <c r="AI77" s="135">
        <v>885254.1</v>
      </c>
      <c r="AJ77" s="139">
        <v>0</v>
      </c>
      <c r="AK77" s="82">
        <v>623475680</v>
      </c>
      <c r="AL77" s="82">
        <v>13920672</v>
      </c>
      <c r="AM77" s="135">
        <v>40000</v>
      </c>
      <c r="AN77" s="135">
        <v>154204433</v>
      </c>
      <c r="AO77" s="135">
        <v>18912355</v>
      </c>
      <c r="AP77" s="135">
        <v>578007097</v>
      </c>
      <c r="AQ77" s="135">
        <v>169846800</v>
      </c>
      <c r="AR77" s="135">
        <v>165519183</v>
      </c>
      <c r="AS77" s="135">
        <v>77049790</v>
      </c>
      <c r="AT77" s="135">
        <f>5076680+140730155</f>
        <v>145806835</v>
      </c>
      <c r="AU77" s="135">
        <v>0</v>
      </c>
      <c r="AV77" s="135">
        <v>0</v>
      </c>
      <c r="AW77" s="135">
        <v>1010104</v>
      </c>
      <c r="AX77" s="135">
        <v>149812</v>
      </c>
      <c r="AY77" s="135">
        <v>816581</v>
      </c>
      <c r="BD77" s="82">
        <v>37433173.189999998</v>
      </c>
      <c r="BE77" s="82">
        <v>18716586.600000001</v>
      </c>
      <c r="BF77" s="117">
        <v>0</v>
      </c>
      <c r="BG77" s="118">
        <v>2094776</v>
      </c>
      <c r="BH77" s="118">
        <v>4189553</v>
      </c>
      <c r="BI77" s="117">
        <v>53537896</v>
      </c>
      <c r="BJ77" s="117">
        <v>53537896</v>
      </c>
      <c r="BK77" s="117">
        <v>202222273</v>
      </c>
      <c r="BL77" s="117">
        <v>198381235</v>
      </c>
      <c r="BM77" s="117">
        <v>0</v>
      </c>
      <c r="BN77" s="117">
        <v>0</v>
      </c>
      <c r="BO77" s="138"/>
      <c r="BP77" s="86">
        <v>6146096453.7000008</v>
      </c>
      <c r="BQ77" s="86">
        <v>5235969608.1000004</v>
      </c>
      <c r="BR77" s="87">
        <v>3264114</v>
      </c>
      <c r="BT77" s="86">
        <v>4892120766</v>
      </c>
      <c r="BU77" s="82">
        <f t="shared" si="7"/>
        <v>623475680</v>
      </c>
      <c r="BV77" s="82">
        <f t="shared" si="8"/>
        <v>13920672</v>
      </c>
      <c r="BW77" s="86">
        <f t="shared" si="9"/>
        <v>420013378</v>
      </c>
      <c r="BX77" s="86">
        <f t="shared" si="10"/>
        <v>5949530496</v>
      </c>
    </row>
    <row r="78" spans="1:76" x14ac:dyDescent="0.25">
      <c r="A78" s="91" t="s">
        <v>132</v>
      </c>
      <c r="B78" s="135">
        <v>106562800</v>
      </c>
      <c r="C78" s="135">
        <v>46904158</v>
      </c>
      <c r="D78" s="135">
        <v>40520511</v>
      </c>
      <c r="E78" s="135">
        <v>0</v>
      </c>
      <c r="F78" s="135">
        <v>23075600</v>
      </c>
      <c r="G78" s="135">
        <v>25037910</v>
      </c>
      <c r="H78" s="135">
        <v>10498771</v>
      </c>
      <c r="I78" s="135">
        <v>7494890</v>
      </c>
      <c r="J78" s="135">
        <v>0</v>
      </c>
      <c r="K78" s="135">
        <v>0</v>
      </c>
      <c r="L78" s="135">
        <v>80992190</v>
      </c>
      <c r="M78" s="135">
        <v>38025650</v>
      </c>
      <c r="N78" s="135">
        <v>1112</v>
      </c>
      <c r="O78" s="135">
        <v>1207</v>
      </c>
      <c r="P78" s="135">
        <v>905800</v>
      </c>
      <c r="Q78" s="135">
        <v>373100</v>
      </c>
      <c r="R78" s="135">
        <v>0</v>
      </c>
      <c r="S78" s="135">
        <v>2853100</v>
      </c>
      <c r="T78" s="135">
        <v>551100</v>
      </c>
      <c r="U78" s="135">
        <v>156000</v>
      </c>
      <c r="V78" s="135">
        <v>905800</v>
      </c>
      <c r="W78" s="135">
        <v>433000</v>
      </c>
      <c r="X78" s="135">
        <v>0</v>
      </c>
      <c r="Y78" s="135">
        <v>2880100</v>
      </c>
      <c r="Z78" s="135">
        <v>522500</v>
      </c>
      <c r="AA78" s="135">
        <v>156000</v>
      </c>
      <c r="AB78" s="135">
        <v>-1913600</v>
      </c>
      <c r="AC78" s="135">
        <v>0</v>
      </c>
      <c r="AD78" s="135">
        <v>146475</v>
      </c>
      <c r="AE78" s="135">
        <v>0</v>
      </c>
      <c r="AF78" s="135">
        <v>0</v>
      </c>
      <c r="AG78" s="135">
        <v>2451581</v>
      </c>
      <c r="AH78" s="135">
        <v>3128008.2</v>
      </c>
      <c r="AI78" s="135">
        <v>3646213.11</v>
      </c>
      <c r="AJ78" s="139">
        <v>133516.39000000001</v>
      </c>
      <c r="AK78" s="82">
        <v>78445026</v>
      </c>
      <c r="AL78" s="82">
        <v>1331699</v>
      </c>
      <c r="AM78" s="135">
        <v>0</v>
      </c>
      <c r="AN78" s="135">
        <v>17330619</v>
      </c>
      <c r="AO78" s="135">
        <v>96497</v>
      </c>
      <c r="AP78" s="135">
        <v>2569284</v>
      </c>
      <c r="AQ78" s="135">
        <v>10596426</v>
      </c>
      <c r="AR78" s="135">
        <v>709219</v>
      </c>
      <c r="AS78" s="135">
        <v>0</v>
      </c>
      <c r="AT78" s="135">
        <v>223592</v>
      </c>
      <c r="AU78" s="135">
        <v>0</v>
      </c>
      <c r="AV78" s="135">
        <v>0</v>
      </c>
      <c r="AW78" s="135">
        <v>0</v>
      </c>
      <c r="AX78" s="135">
        <v>0</v>
      </c>
      <c r="AY78" s="135">
        <v>0</v>
      </c>
      <c r="BD78" s="82">
        <v>4709800.78</v>
      </c>
      <c r="BE78" s="82">
        <v>2354900.39</v>
      </c>
      <c r="BF78" s="117">
        <v>0</v>
      </c>
      <c r="BG78" s="118">
        <v>0</v>
      </c>
      <c r="BH78" s="118">
        <v>0</v>
      </c>
      <c r="BI78" s="117">
        <v>1192769</v>
      </c>
      <c r="BJ78" s="117">
        <v>1192769</v>
      </c>
      <c r="BK78" s="117">
        <v>40483835</v>
      </c>
      <c r="BL78" s="117">
        <v>40460499</v>
      </c>
      <c r="BM78" s="117">
        <v>0</v>
      </c>
      <c r="BN78" s="117">
        <v>0</v>
      </c>
      <c r="BO78" s="138"/>
      <c r="BP78" s="86">
        <v>352703642.08999997</v>
      </c>
      <c r="BQ78" s="86">
        <v>228918748.69999999</v>
      </c>
      <c r="BR78" s="87">
        <v>347414</v>
      </c>
      <c r="BT78" s="86">
        <v>193987469</v>
      </c>
      <c r="BU78" s="82">
        <f t="shared" si="7"/>
        <v>78445026</v>
      </c>
      <c r="BV78" s="82">
        <f t="shared" si="8"/>
        <v>1331699</v>
      </c>
      <c r="BW78" s="86">
        <f t="shared" si="9"/>
        <v>28023542</v>
      </c>
      <c r="BX78" s="86">
        <f t="shared" si="10"/>
        <v>301787736</v>
      </c>
    </row>
    <row r="79" spans="1:76" x14ac:dyDescent="0.25">
      <c r="A79" s="91" t="s">
        <v>133</v>
      </c>
      <c r="B79" s="135">
        <v>511833814</v>
      </c>
      <c r="C79" s="135">
        <v>198807302</v>
      </c>
      <c r="D79" s="135">
        <v>310417551</v>
      </c>
      <c r="E79" s="135">
        <v>24968215</v>
      </c>
      <c r="F79" s="135">
        <v>53520955</v>
      </c>
      <c r="G79" s="135">
        <v>11771360</v>
      </c>
      <c r="H79" s="135">
        <v>15648200</v>
      </c>
      <c r="I79" s="135">
        <v>2587400</v>
      </c>
      <c r="J79" s="135">
        <v>157200</v>
      </c>
      <c r="K79" s="135">
        <v>0</v>
      </c>
      <c r="L79" s="135">
        <v>368459147</v>
      </c>
      <c r="M79" s="135">
        <v>127004450</v>
      </c>
      <c r="N79" s="135">
        <v>1821</v>
      </c>
      <c r="O79" s="135">
        <v>413</v>
      </c>
      <c r="P79" s="135">
        <v>8994941</v>
      </c>
      <c r="Q79" s="135">
        <v>4067700</v>
      </c>
      <c r="R79" s="135">
        <v>4185250</v>
      </c>
      <c r="S79" s="135">
        <v>3420080</v>
      </c>
      <c r="T79" s="135">
        <v>4159450</v>
      </c>
      <c r="U79" s="135">
        <v>5414925</v>
      </c>
      <c r="V79" s="135">
        <v>8994941</v>
      </c>
      <c r="W79" s="135">
        <v>4585860</v>
      </c>
      <c r="X79" s="135">
        <v>4185250</v>
      </c>
      <c r="Y79" s="135">
        <v>3420080</v>
      </c>
      <c r="Z79" s="135">
        <v>5119401</v>
      </c>
      <c r="AA79" s="135">
        <v>5394675</v>
      </c>
      <c r="AB79" s="135">
        <v>-1009000</v>
      </c>
      <c r="AC79" s="135">
        <v>0</v>
      </c>
      <c r="AD79" s="135">
        <v>52854</v>
      </c>
      <c r="AE79" s="135">
        <v>0</v>
      </c>
      <c r="AF79" s="135">
        <v>0</v>
      </c>
      <c r="AG79" s="135">
        <v>204258</v>
      </c>
      <c r="AH79" s="135">
        <v>1942.62</v>
      </c>
      <c r="AI79" s="135">
        <v>242040.98</v>
      </c>
      <c r="AJ79" s="139">
        <v>0</v>
      </c>
      <c r="AK79" s="82">
        <v>131589181</v>
      </c>
      <c r="AL79" s="82">
        <v>2400636</v>
      </c>
      <c r="AM79" s="135">
        <v>0</v>
      </c>
      <c r="AN79" s="135">
        <v>37504653</v>
      </c>
      <c r="AO79" s="135">
        <v>16391404</v>
      </c>
      <c r="AP79" s="135">
        <v>377393721</v>
      </c>
      <c r="AQ79" s="135">
        <v>41920404</v>
      </c>
      <c r="AR79" s="135">
        <v>93374601</v>
      </c>
      <c r="AS79" s="135">
        <v>11523828</v>
      </c>
      <c r="AT79" s="135">
        <v>7999016</v>
      </c>
      <c r="AU79" s="135">
        <v>0</v>
      </c>
      <c r="AV79" s="135">
        <v>1052978</v>
      </c>
      <c r="AW79" s="135">
        <v>49981</v>
      </c>
      <c r="AX79" s="135">
        <v>13172</v>
      </c>
      <c r="AY79" s="135">
        <v>21000</v>
      </c>
      <c r="BD79" s="82">
        <v>7900549.71</v>
      </c>
      <c r="BE79" s="82">
        <v>3950274.86</v>
      </c>
      <c r="BF79" s="117">
        <v>0</v>
      </c>
      <c r="BG79" s="118">
        <v>0</v>
      </c>
      <c r="BH79" s="118">
        <v>0</v>
      </c>
      <c r="BI79" s="117">
        <v>21899984</v>
      </c>
      <c r="BJ79" s="117">
        <v>21899984</v>
      </c>
      <c r="BK79" s="117">
        <v>48166230</v>
      </c>
      <c r="BL79" s="117">
        <v>47925040</v>
      </c>
      <c r="BM79" s="117">
        <v>170801023</v>
      </c>
      <c r="BN79" s="117">
        <v>0</v>
      </c>
      <c r="BO79" s="138"/>
      <c r="BP79" s="86">
        <v>1495685250.4599998</v>
      </c>
      <c r="BQ79" s="86">
        <v>1117119111.5999999</v>
      </c>
      <c r="BR79" s="87">
        <v>1010000</v>
      </c>
      <c r="BT79" s="86">
        <v>1021058667</v>
      </c>
      <c r="BU79" s="82">
        <f t="shared" si="7"/>
        <v>131589181</v>
      </c>
      <c r="BV79" s="82">
        <f t="shared" si="8"/>
        <v>2400636</v>
      </c>
      <c r="BW79" s="86">
        <f t="shared" si="9"/>
        <v>107340289</v>
      </c>
      <c r="BX79" s="86">
        <f t="shared" si="10"/>
        <v>1262388773</v>
      </c>
    </row>
    <row r="80" spans="1:76" x14ac:dyDescent="0.25">
      <c r="A80" s="91" t="s">
        <v>134</v>
      </c>
      <c r="B80" s="135">
        <v>1336208105</v>
      </c>
      <c r="C80" s="135">
        <v>226060604</v>
      </c>
      <c r="D80" s="135">
        <v>441691361</v>
      </c>
      <c r="E80" s="135">
        <v>0</v>
      </c>
      <c r="F80" s="135">
        <v>125809673</v>
      </c>
      <c r="G80" s="135">
        <v>14402620</v>
      </c>
      <c r="H80" s="135">
        <v>22808087</v>
      </c>
      <c r="I80" s="135">
        <v>1627548</v>
      </c>
      <c r="J80" s="135">
        <v>637500</v>
      </c>
      <c r="K80" s="135">
        <v>0</v>
      </c>
      <c r="L80" s="135">
        <v>227366045</v>
      </c>
      <c r="M80" s="135">
        <v>151093005</v>
      </c>
      <c r="N80" s="135">
        <v>4029</v>
      </c>
      <c r="O80" s="135">
        <v>477</v>
      </c>
      <c r="P80" s="135">
        <v>18736256</v>
      </c>
      <c r="Q80" s="135">
        <v>5377896</v>
      </c>
      <c r="R80" s="135">
        <v>24060375</v>
      </c>
      <c r="S80" s="135">
        <v>10384829</v>
      </c>
      <c r="T80" s="135">
        <v>1190585</v>
      </c>
      <c r="U80" s="135">
        <v>11499697</v>
      </c>
      <c r="V80" s="135">
        <v>18967456</v>
      </c>
      <c r="W80" s="135">
        <v>8072210</v>
      </c>
      <c r="X80" s="135">
        <v>24060375</v>
      </c>
      <c r="Y80" s="135">
        <v>10848289</v>
      </c>
      <c r="Z80" s="135">
        <v>3403761</v>
      </c>
      <c r="AA80" s="135">
        <v>11567997</v>
      </c>
      <c r="AB80" s="135">
        <v>-8374167</v>
      </c>
      <c r="AC80" s="135">
        <v>-284379</v>
      </c>
      <c r="AD80" s="135">
        <v>0</v>
      </c>
      <c r="AE80" s="135">
        <v>0</v>
      </c>
      <c r="AF80" s="135">
        <v>0</v>
      </c>
      <c r="AG80" s="135">
        <v>132269</v>
      </c>
      <c r="AH80" s="135">
        <v>0</v>
      </c>
      <c r="AI80" s="135">
        <v>25639.34</v>
      </c>
      <c r="AJ80" s="139">
        <v>0</v>
      </c>
      <c r="AK80" s="82">
        <v>277664782</v>
      </c>
      <c r="AL80" s="82">
        <v>28953900</v>
      </c>
      <c r="AM80" s="135">
        <v>2836168</v>
      </c>
      <c r="AN80" s="135">
        <v>109871147</v>
      </c>
      <c r="AO80" s="135">
        <v>54104945</v>
      </c>
      <c r="AP80" s="135">
        <v>1219220861</v>
      </c>
      <c r="AQ80" s="135">
        <v>77900556</v>
      </c>
      <c r="AR80" s="135">
        <v>127872736</v>
      </c>
      <c r="AS80" s="135">
        <v>111908054</v>
      </c>
      <c r="AT80" s="135">
        <v>2007643</v>
      </c>
      <c r="AU80" s="135">
        <v>0</v>
      </c>
      <c r="AV80" s="135">
        <v>0</v>
      </c>
      <c r="AW80" s="135">
        <v>0</v>
      </c>
      <c r="AX80" s="135">
        <v>80830</v>
      </c>
      <c r="AY80" s="135">
        <v>60500</v>
      </c>
      <c r="BD80" s="82">
        <v>16670856.949999999</v>
      </c>
      <c r="BE80" s="82">
        <v>8335428.4800000004</v>
      </c>
      <c r="BF80" s="117">
        <v>20119170.984455958</v>
      </c>
      <c r="BG80" s="118">
        <v>1266261</v>
      </c>
      <c r="BH80" s="118">
        <v>2532523</v>
      </c>
      <c r="BI80" s="117">
        <v>30497878</v>
      </c>
      <c r="BJ80" s="117">
        <v>27234377</v>
      </c>
      <c r="BK80" s="117">
        <v>63783404</v>
      </c>
      <c r="BL80" s="117">
        <v>62117047</v>
      </c>
      <c r="BM80" s="117">
        <v>0</v>
      </c>
      <c r="BN80" s="117">
        <v>12564926</v>
      </c>
      <c r="BO80" s="138"/>
      <c r="BP80" s="86">
        <v>2663999078.8200002</v>
      </c>
      <c r="BQ80" s="86">
        <v>2245862357.3400002</v>
      </c>
      <c r="BR80" s="87">
        <v>1972180</v>
      </c>
      <c r="BT80" s="86">
        <v>2003960070</v>
      </c>
      <c r="BU80" s="82">
        <f t="shared" si="7"/>
        <v>277664782</v>
      </c>
      <c r="BV80" s="82">
        <f t="shared" si="8"/>
        <v>28953900</v>
      </c>
      <c r="BW80" s="86">
        <f t="shared" si="9"/>
        <v>353784702</v>
      </c>
      <c r="BX80" s="86">
        <f t="shared" si="10"/>
        <v>2664363454</v>
      </c>
    </row>
    <row r="81" spans="1:76" x14ac:dyDescent="0.25">
      <c r="A81" s="91" t="s">
        <v>135</v>
      </c>
      <c r="B81" s="135">
        <v>95779359</v>
      </c>
      <c r="C81" s="135">
        <v>29894761</v>
      </c>
      <c r="D81" s="135">
        <v>79837492</v>
      </c>
      <c r="E81" s="135">
        <v>0</v>
      </c>
      <c r="F81" s="135">
        <v>20035635</v>
      </c>
      <c r="G81" s="135">
        <v>24251255</v>
      </c>
      <c r="H81" s="135">
        <v>7599675</v>
      </c>
      <c r="I81" s="135">
        <v>4310650</v>
      </c>
      <c r="J81" s="135">
        <v>78600</v>
      </c>
      <c r="K81" s="135">
        <v>0</v>
      </c>
      <c r="L81" s="135">
        <v>16383194</v>
      </c>
      <c r="M81" s="135">
        <v>59650</v>
      </c>
      <c r="N81" s="135">
        <v>901</v>
      </c>
      <c r="O81" s="135">
        <v>987</v>
      </c>
      <c r="P81" s="135">
        <v>1864200</v>
      </c>
      <c r="Q81" s="135">
        <v>267575</v>
      </c>
      <c r="R81" s="135">
        <v>433000</v>
      </c>
      <c r="S81" s="135">
        <v>1582850</v>
      </c>
      <c r="T81" s="135">
        <v>73850</v>
      </c>
      <c r="U81" s="135">
        <v>64000</v>
      </c>
      <c r="V81" s="135">
        <v>1864200</v>
      </c>
      <c r="W81" s="135">
        <v>301000</v>
      </c>
      <c r="X81" s="135">
        <v>433000</v>
      </c>
      <c r="Y81" s="135">
        <v>1582850</v>
      </c>
      <c r="Z81" s="135">
        <v>83100</v>
      </c>
      <c r="AA81" s="135">
        <v>64000</v>
      </c>
      <c r="AB81" s="135">
        <v>-2939742</v>
      </c>
      <c r="AC81" s="135">
        <v>-321313</v>
      </c>
      <c r="AD81" s="135">
        <v>0</v>
      </c>
      <c r="AE81" s="135">
        <v>0</v>
      </c>
      <c r="AF81" s="135">
        <v>0</v>
      </c>
      <c r="AG81" s="135">
        <v>0</v>
      </c>
      <c r="AH81" s="135">
        <v>418409.84</v>
      </c>
      <c r="AI81" s="135">
        <v>34887581.969999999</v>
      </c>
      <c r="AJ81" s="139">
        <v>565418.03</v>
      </c>
      <c r="AK81" s="82">
        <v>76763748</v>
      </c>
      <c r="AL81" s="82">
        <v>2677973</v>
      </c>
      <c r="AM81" s="135">
        <v>0</v>
      </c>
      <c r="AN81" s="135">
        <v>17375919</v>
      </c>
      <c r="AO81" s="135">
        <v>95457</v>
      </c>
      <c r="AP81" s="135">
        <v>31798484</v>
      </c>
      <c r="AQ81" s="135">
        <v>13307244</v>
      </c>
      <c r="AR81" s="135">
        <v>2689176</v>
      </c>
      <c r="AS81" s="135">
        <v>91572</v>
      </c>
      <c r="AT81" s="135">
        <v>313463</v>
      </c>
      <c r="AU81" s="135">
        <v>0</v>
      </c>
      <c r="AV81" s="135">
        <v>0</v>
      </c>
      <c r="AW81" s="135">
        <v>0</v>
      </c>
      <c r="AX81" s="135">
        <v>0</v>
      </c>
      <c r="AY81" s="135">
        <v>5527358</v>
      </c>
      <c r="BD81" s="82">
        <v>4608857.68</v>
      </c>
      <c r="BE81" s="82">
        <v>2304428.84</v>
      </c>
      <c r="BF81" s="117">
        <v>0</v>
      </c>
      <c r="BG81" s="118">
        <v>4313403</v>
      </c>
      <c r="BH81" s="118">
        <v>8626806</v>
      </c>
      <c r="BI81" s="117">
        <v>36155909</v>
      </c>
      <c r="BJ81" s="117">
        <v>36155909</v>
      </c>
      <c r="BK81" s="117">
        <v>44492669</v>
      </c>
      <c r="BL81" s="117">
        <v>38542181</v>
      </c>
      <c r="BM81" s="117">
        <v>0</v>
      </c>
      <c r="BN81" s="117">
        <v>0</v>
      </c>
      <c r="BO81" s="138"/>
      <c r="BP81" s="86">
        <v>432919284.68000001</v>
      </c>
      <c r="BQ81" s="86">
        <v>272161641.84000003</v>
      </c>
      <c r="BR81" s="87">
        <v>1288730</v>
      </c>
      <c r="BT81" s="86">
        <v>205511612</v>
      </c>
      <c r="BU81" s="82">
        <f t="shared" si="7"/>
        <v>76763748</v>
      </c>
      <c r="BV81" s="82">
        <f t="shared" si="8"/>
        <v>2677973</v>
      </c>
      <c r="BW81" s="86">
        <f t="shared" si="9"/>
        <v>30870192</v>
      </c>
      <c r="BX81" s="86">
        <f t="shared" si="10"/>
        <v>315823525</v>
      </c>
    </row>
    <row r="82" spans="1:76" x14ac:dyDescent="0.25">
      <c r="A82" s="91" t="s">
        <v>136</v>
      </c>
      <c r="B82" s="135">
        <v>411738499</v>
      </c>
      <c r="C82" s="135">
        <v>113897345</v>
      </c>
      <c r="D82" s="135">
        <v>239901736</v>
      </c>
      <c r="E82" s="135">
        <v>30774080</v>
      </c>
      <c r="F82" s="135">
        <v>51817307</v>
      </c>
      <c r="G82" s="135">
        <v>8405148</v>
      </c>
      <c r="H82" s="135">
        <v>8229014</v>
      </c>
      <c r="I82" s="135">
        <v>903900</v>
      </c>
      <c r="J82" s="135">
        <v>117900</v>
      </c>
      <c r="K82" s="135">
        <v>0</v>
      </c>
      <c r="L82" s="135">
        <v>287599107</v>
      </c>
      <c r="M82" s="135">
        <v>73896744</v>
      </c>
      <c r="N82" s="135">
        <v>1611</v>
      </c>
      <c r="O82" s="135">
        <v>266</v>
      </c>
      <c r="P82" s="135">
        <v>3255652</v>
      </c>
      <c r="Q82" s="135">
        <v>962443</v>
      </c>
      <c r="R82" s="135">
        <v>1309000</v>
      </c>
      <c r="S82" s="135">
        <v>3283634</v>
      </c>
      <c r="T82" s="135">
        <v>256988</v>
      </c>
      <c r="U82" s="135">
        <v>6058465</v>
      </c>
      <c r="V82" s="135">
        <v>3255652</v>
      </c>
      <c r="W82" s="135">
        <v>969263</v>
      </c>
      <c r="X82" s="135">
        <v>1309000</v>
      </c>
      <c r="Y82" s="135">
        <v>3283634</v>
      </c>
      <c r="Z82" s="135">
        <v>1005489</v>
      </c>
      <c r="AA82" s="135">
        <v>6058465</v>
      </c>
      <c r="AB82" s="135">
        <v>-2308265</v>
      </c>
      <c r="AC82" s="135">
        <v>-51978</v>
      </c>
      <c r="AD82" s="135">
        <v>0</v>
      </c>
      <c r="AE82" s="135">
        <v>0</v>
      </c>
      <c r="AF82" s="135">
        <v>0</v>
      </c>
      <c r="AG82" s="135">
        <v>132924</v>
      </c>
      <c r="AH82" s="135">
        <v>0</v>
      </c>
      <c r="AI82" s="135">
        <v>1506254.1</v>
      </c>
      <c r="AJ82" s="139">
        <v>0</v>
      </c>
      <c r="AK82" s="82">
        <v>122156532</v>
      </c>
      <c r="AL82" s="82">
        <v>2357309</v>
      </c>
      <c r="AM82" s="135">
        <v>0</v>
      </c>
      <c r="AN82" s="135">
        <v>71145326</v>
      </c>
      <c r="AO82" s="135">
        <v>17762378</v>
      </c>
      <c r="AP82" s="135">
        <v>319759662</v>
      </c>
      <c r="AQ82" s="135">
        <v>42430236</v>
      </c>
      <c r="AR82" s="135">
        <v>64268597</v>
      </c>
      <c r="AS82" s="135">
        <v>75112815</v>
      </c>
      <c r="AT82" s="135">
        <v>0</v>
      </c>
      <c r="AU82" s="135">
        <v>0</v>
      </c>
      <c r="AV82" s="135">
        <v>0</v>
      </c>
      <c r="AW82" s="135">
        <v>8687793</v>
      </c>
      <c r="AX82" s="135">
        <v>82704</v>
      </c>
      <c r="AY82" s="135">
        <v>755150</v>
      </c>
      <c r="BD82" s="82">
        <v>7334218.0999999996</v>
      </c>
      <c r="BE82" s="82">
        <v>3667109.05</v>
      </c>
      <c r="BF82" s="117">
        <v>22683937.823834196</v>
      </c>
      <c r="BG82" s="118">
        <v>3680628</v>
      </c>
      <c r="BH82" s="118">
        <v>7361256</v>
      </c>
      <c r="BI82" s="117">
        <v>301683743</v>
      </c>
      <c r="BJ82" s="117">
        <v>301683743</v>
      </c>
      <c r="BK82" s="117">
        <v>88026995</v>
      </c>
      <c r="BL82" s="117">
        <v>83412565</v>
      </c>
      <c r="BM82" s="117">
        <v>18424</v>
      </c>
      <c r="BN82" s="117">
        <v>0</v>
      </c>
      <c r="BO82" s="138"/>
      <c r="BP82" s="86">
        <v>1415358084.1500001</v>
      </c>
      <c r="BQ82" s="86">
        <v>898381774.10000002</v>
      </c>
      <c r="BR82" s="87">
        <v>550424</v>
      </c>
      <c r="BT82" s="86">
        <v>765537580</v>
      </c>
      <c r="BU82" s="82">
        <f t="shared" si="7"/>
        <v>122156532</v>
      </c>
      <c r="BV82" s="82">
        <f t="shared" si="8"/>
        <v>2357309</v>
      </c>
      <c r="BW82" s="86">
        <f t="shared" si="9"/>
        <v>206450755</v>
      </c>
      <c r="BX82" s="86">
        <f t="shared" si="10"/>
        <v>1096502176</v>
      </c>
    </row>
    <row r="83" spans="1:76" x14ac:dyDescent="0.25">
      <c r="A83" s="91" t="s">
        <v>137</v>
      </c>
      <c r="B83" s="135">
        <v>964040062</v>
      </c>
      <c r="C83" s="135">
        <v>185636617</v>
      </c>
      <c r="D83" s="135">
        <v>131007630</v>
      </c>
      <c r="E83" s="135">
        <v>0</v>
      </c>
      <c r="F83" s="135">
        <v>73436088</v>
      </c>
      <c r="G83" s="135">
        <v>14853290</v>
      </c>
      <c r="H83" s="135">
        <v>18212583</v>
      </c>
      <c r="I83" s="135">
        <v>1278650</v>
      </c>
      <c r="J83" s="135">
        <v>78600</v>
      </c>
      <c r="K83" s="135">
        <v>0</v>
      </c>
      <c r="L83" s="135">
        <v>443593356</v>
      </c>
      <c r="M83" s="135">
        <v>137746200</v>
      </c>
      <c r="N83" s="135">
        <v>2425</v>
      </c>
      <c r="O83" s="135">
        <v>451</v>
      </c>
      <c r="P83" s="135">
        <v>11331400</v>
      </c>
      <c r="Q83" s="135">
        <v>2329200</v>
      </c>
      <c r="R83" s="135">
        <v>501300</v>
      </c>
      <c r="S83" s="135">
        <v>2566800</v>
      </c>
      <c r="T83" s="135">
        <v>190100</v>
      </c>
      <c r="U83" s="135">
        <v>383500</v>
      </c>
      <c r="V83" s="135">
        <v>11331400</v>
      </c>
      <c r="W83" s="135">
        <v>2329200</v>
      </c>
      <c r="X83" s="135">
        <v>501300</v>
      </c>
      <c r="Y83" s="135">
        <v>2566800</v>
      </c>
      <c r="Z83" s="135">
        <v>190100</v>
      </c>
      <c r="AA83" s="135">
        <v>383500</v>
      </c>
      <c r="AB83" s="135">
        <v>-2543400</v>
      </c>
      <c r="AC83" s="135">
        <v>0</v>
      </c>
      <c r="AD83" s="135">
        <v>57130</v>
      </c>
      <c r="AE83" s="135">
        <v>0</v>
      </c>
      <c r="AF83" s="135">
        <v>0</v>
      </c>
      <c r="AG83" s="135">
        <v>141720</v>
      </c>
      <c r="AH83" s="135">
        <v>0</v>
      </c>
      <c r="AI83" s="135">
        <v>9048093.7699999996</v>
      </c>
      <c r="AJ83" s="139">
        <v>0</v>
      </c>
      <c r="AK83" s="82">
        <v>208999524</v>
      </c>
      <c r="AL83" s="82">
        <v>8174517</v>
      </c>
      <c r="AM83" s="135">
        <v>0</v>
      </c>
      <c r="AN83" s="135">
        <v>39783116</v>
      </c>
      <c r="AO83" s="135">
        <v>3166813</v>
      </c>
      <c r="AP83" s="135">
        <v>60101880</v>
      </c>
      <c r="AQ83" s="135">
        <v>18119048</v>
      </c>
      <c r="AR83" s="135">
        <v>27529565</v>
      </c>
      <c r="AS83" s="135">
        <v>20892759</v>
      </c>
      <c r="AT83" s="135">
        <v>972993</v>
      </c>
      <c r="AU83" s="135">
        <v>0</v>
      </c>
      <c r="AV83" s="135">
        <v>0</v>
      </c>
      <c r="AW83" s="135">
        <v>1571941</v>
      </c>
      <c r="AX83" s="135">
        <v>5381</v>
      </c>
      <c r="AY83" s="135">
        <v>0</v>
      </c>
      <c r="BD83" s="82">
        <v>12548228.630000001</v>
      </c>
      <c r="BE83" s="82">
        <v>6274114.3200000003</v>
      </c>
      <c r="BF83" s="117">
        <v>64974093.264248706</v>
      </c>
      <c r="BG83" s="118">
        <v>1958114</v>
      </c>
      <c r="BH83" s="118">
        <v>3916228</v>
      </c>
      <c r="BI83" s="117">
        <v>32575595</v>
      </c>
      <c r="BJ83" s="117">
        <v>32222709</v>
      </c>
      <c r="BK83" s="117">
        <v>72310535</v>
      </c>
      <c r="BL83" s="117">
        <v>70457342</v>
      </c>
      <c r="BM83" s="117">
        <v>0</v>
      </c>
      <c r="BN83" s="117">
        <v>0</v>
      </c>
      <c r="BO83" s="138"/>
      <c r="BP83" s="86">
        <v>1678887700.0899999</v>
      </c>
      <c r="BQ83" s="86">
        <v>1350801379.77</v>
      </c>
      <c r="BR83" s="87">
        <v>4140300</v>
      </c>
      <c r="BT83" s="86">
        <v>1280684309</v>
      </c>
      <c r="BU83" s="82">
        <f t="shared" si="7"/>
        <v>208999524</v>
      </c>
      <c r="BV83" s="82">
        <f t="shared" si="8"/>
        <v>8174517</v>
      </c>
      <c r="BW83" s="86">
        <f t="shared" si="9"/>
        <v>81961736</v>
      </c>
      <c r="BX83" s="86">
        <f t="shared" si="10"/>
        <v>1579820086</v>
      </c>
    </row>
    <row r="84" spans="1:76" x14ac:dyDescent="0.25">
      <c r="A84" s="91" t="s">
        <v>138</v>
      </c>
      <c r="B84" s="135">
        <v>98993645</v>
      </c>
      <c r="C84" s="135">
        <v>33171981</v>
      </c>
      <c r="D84" s="135">
        <v>10478530</v>
      </c>
      <c r="E84" s="135">
        <v>0</v>
      </c>
      <c r="F84" s="135">
        <v>12531211</v>
      </c>
      <c r="G84" s="135">
        <v>11230930</v>
      </c>
      <c r="H84" s="135">
        <v>5800645</v>
      </c>
      <c r="I84" s="135">
        <v>2071290</v>
      </c>
      <c r="J84" s="135">
        <v>0</v>
      </c>
      <c r="K84" s="135">
        <v>0</v>
      </c>
      <c r="L84" s="135">
        <v>36584854</v>
      </c>
      <c r="M84" s="135">
        <v>23945289</v>
      </c>
      <c r="N84" s="135">
        <v>571</v>
      </c>
      <c r="O84" s="135">
        <v>457</v>
      </c>
      <c r="P84" s="135">
        <v>3598561</v>
      </c>
      <c r="Q84" s="135">
        <v>0</v>
      </c>
      <c r="R84" s="135">
        <v>767000</v>
      </c>
      <c r="S84" s="135">
        <v>1698528</v>
      </c>
      <c r="T84" s="135">
        <v>0</v>
      </c>
      <c r="U84" s="135">
        <v>342100</v>
      </c>
      <c r="V84" s="135">
        <v>3598561</v>
      </c>
      <c r="W84" s="135">
        <v>0</v>
      </c>
      <c r="X84" s="135">
        <v>767000</v>
      </c>
      <c r="Y84" s="135">
        <v>1698528</v>
      </c>
      <c r="Z84" s="135">
        <v>0</v>
      </c>
      <c r="AA84" s="135">
        <v>342100</v>
      </c>
      <c r="AB84" s="135">
        <v>-887369</v>
      </c>
      <c r="AC84" s="135">
        <v>0</v>
      </c>
      <c r="AD84" s="135">
        <v>0</v>
      </c>
      <c r="AE84" s="135">
        <v>0</v>
      </c>
      <c r="AF84" s="135">
        <v>0</v>
      </c>
      <c r="AG84" s="135">
        <v>0</v>
      </c>
      <c r="AJ84" s="139"/>
      <c r="AK84" s="82">
        <v>35698022</v>
      </c>
      <c r="AL84" s="82">
        <v>1411775</v>
      </c>
      <c r="AM84" s="135">
        <v>0</v>
      </c>
      <c r="AN84" s="135">
        <v>2448896</v>
      </c>
      <c r="AO84" s="135">
        <v>26494</v>
      </c>
      <c r="AP84" s="135">
        <v>3930390</v>
      </c>
      <c r="AQ84" s="135">
        <v>4755975</v>
      </c>
      <c r="AR84" s="135">
        <v>3012788</v>
      </c>
      <c r="AS84" s="135">
        <v>0</v>
      </c>
      <c r="AT84" s="135">
        <v>348359</v>
      </c>
      <c r="AU84" s="135">
        <v>0</v>
      </c>
      <c r="AV84" s="135">
        <v>0</v>
      </c>
      <c r="AW84" s="135">
        <v>0</v>
      </c>
      <c r="AX84" s="135">
        <v>0</v>
      </c>
      <c r="AY84" s="135">
        <v>0</v>
      </c>
      <c r="BD84" s="82">
        <v>2143291.6800000002</v>
      </c>
      <c r="BE84" s="82">
        <v>1071645.8400000001</v>
      </c>
      <c r="BF84" s="117">
        <v>0</v>
      </c>
      <c r="BG84" s="118">
        <v>0</v>
      </c>
      <c r="BH84" s="118">
        <v>0</v>
      </c>
      <c r="BI84" s="117">
        <v>5047387</v>
      </c>
      <c r="BJ84" s="117">
        <v>5047387</v>
      </c>
      <c r="BK84" s="117">
        <v>55545114</v>
      </c>
      <c r="BL84" s="117">
        <v>55543318</v>
      </c>
      <c r="BM84" s="117">
        <v>0</v>
      </c>
      <c r="BN84" s="117">
        <v>0</v>
      </c>
      <c r="BO84" s="138"/>
      <c r="BP84" s="86">
        <v>248647668.84</v>
      </c>
      <c r="BQ84" s="86">
        <v>149875521</v>
      </c>
      <c r="BR84" s="87">
        <v>210092</v>
      </c>
      <c r="BT84" s="86">
        <v>142644156</v>
      </c>
      <c r="BU84" s="82">
        <f t="shared" si="7"/>
        <v>35698022</v>
      </c>
      <c r="BV84" s="82">
        <f t="shared" si="8"/>
        <v>1411775</v>
      </c>
      <c r="BW84" s="86">
        <f t="shared" si="9"/>
        <v>7231365</v>
      </c>
      <c r="BX84" s="86">
        <f t="shared" si="10"/>
        <v>186985318</v>
      </c>
    </row>
    <row r="85" spans="1:76" x14ac:dyDescent="0.25">
      <c r="A85" s="91" t="s">
        <v>139</v>
      </c>
      <c r="B85" s="135">
        <v>773950749</v>
      </c>
      <c r="C85" s="135">
        <v>262422573</v>
      </c>
      <c r="D85" s="135">
        <v>234261201</v>
      </c>
      <c r="E85" s="135">
        <v>0</v>
      </c>
      <c r="F85" s="135">
        <v>71643765</v>
      </c>
      <c r="G85" s="135">
        <v>10692225</v>
      </c>
      <c r="H85" s="135">
        <v>20059847</v>
      </c>
      <c r="I85" s="135">
        <v>2362268</v>
      </c>
      <c r="J85" s="135">
        <v>157200</v>
      </c>
      <c r="K85" s="135">
        <v>39300</v>
      </c>
      <c r="L85" s="135">
        <v>332076645</v>
      </c>
      <c r="M85" s="135">
        <v>198528231</v>
      </c>
      <c r="N85" s="135">
        <v>2378</v>
      </c>
      <c r="O85" s="135">
        <v>343</v>
      </c>
      <c r="P85" s="135">
        <v>6553786</v>
      </c>
      <c r="Q85" s="135">
        <v>2837559</v>
      </c>
      <c r="R85" s="135">
        <v>1776101</v>
      </c>
      <c r="S85" s="135">
        <v>3975095</v>
      </c>
      <c r="T85" s="135">
        <v>919631</v>
      </c>
      <c r="U85" s="135">
        <v>4394193</v>
      </c>
      <c r="V85" s="135">
        <v>6553786</v>
      </c>
      <c r="W85" s="135">
        <v>3251913</v>
      </c>
      <c r="X85" s="135">
        <v>1776101</v>
      </c>
      <c r="Y85" s="135">
        <v>3975095</v>
      </c>
      <c r="Z85" s="135">
        <v>1670050</v>
      </c>
      <c r="AA85" s="135">
        <v>4394193</v>
      </c>
      <c r="AB85" s="135">
        <v>-3159686</v>
      </c>
      <c r="AC85" s="135">
        <v>-1022352</v>
      </c>
      <c r="AD85" s="135">
        <v>3565</v>
      </c>
      <c r="AE85" s="135">
        <v>0</v>
      </c>
      <c r="AF85" s="135">
        <v>0</v>
      </c>
      <c r="AG85" s="135">
        <v>136996</v>
      </c>
      <c r="AH85" s="135">
        <v>0</v>
      </c>
      <c r="AI85" s="135">
        <v>161147.54</v>
      </c>
      <c r="AJ85" s="139">
        <v>0</v>
      </c>
      <c r="AK85" s="82">
        <v>169618376</v>
      </c>
      <c r="AL85" s="82">
        <v>10215316</v>
      </c>
      <c r="AM85" s="135">
        <v>284890</v>
      </c>
      <c r="AN85" s="135">
        <v>25178379</v>
      </c>
      <c r="AO85" s="135">
        <v>13596979</v>
      </c>
      <c r="AP85" s="135">
        <v>419456544</v>
      </c>
      <c r="AQ85" s="135">
        <v>25964436</v>
      </c>
      <c r="AR85" s="135">
        <v>39545162</v>
      </c>
      <c r="AS85" s="135">
        <v>996222</v>
      </c>
      <c r="AT85" s="135">
        <f>853794+254396520</f>
        <v>255250314</v>
      </c>
      <c r="AU85" s="135">
        <v>0</v>
      </c>
      <c r="AV85" s="135">
        <v>0</v>
      </c>
      <c r="AW85" s="135">
        <v>43451</v>
      </c>
      <c r="AX85" s="135">
        <v>6312</v>
      </c>
      <c r="AY85" s="135">
        <v>0</v>
      </c>
      <c r="BD85" s="82">
        <v>10183803.869999999</v>
      </c>
      <c r="BE85" s="82">
        <v>5091901.9400000004</v>
      </c>
      <c r="BF85" s="117">
        <v>0</v>
      </c>
      <c r="BG85" s="118">
        <v>2447821</v>
      </c>
      <c r="BH85" s="118">
        <v>4895641</v>
      </c>
      <c r="BI85" s="117">
        <v>82874670</v>
      </c>
      <c r="BJ85" s="117">
        <v>82874670</v>
      </c>
      <c r="BK85" s="117">
        <v>77593235</v>
      </c>
      <c r="BL85" s="117">
        <v>73846549</v>
      </c>
      <c r="BM85" s="117">
        <v>0</v>
      </c>
      <c r="BN85" s="117">
        <v>0</v>
      </c>
      <c r="BO85" s="138"/>
      <c r="BP85" s="86">
        <v>1679630098.48</v>
      </c>
      <c r="BQ85" s="86">
        <v>1335535464.54</v>
      </c>
      <c r="BR85" s="87"/>
      <c r="BT85" s="86">
        <v>1270634523</v>
      </c>
      <c r="BU85" s="82">
        <f t="shared" si="7"/>
        <v>169618376</v>
      </c>
      <c r="BV85" s="82">
        <f t="shared" si="8"/>
        <v>10215316</v>
      </c>
      <c r="BW85" s="86">
        <f t="shared" si="9"/>
        <v>65736016</v>
      </c>
      <c r="BX85" s="86">
        <f t="shared" si="10"/>
        <v>1516204231</v>
      </c>
    </row>
    <row r="86" spans="1:76" x14ac:dyDescent="0.25">
      <c r="A86" s="91" t="s">
        <v>140</v>
      </c>
      <c r="B86" s="135">
        <v>117383472</v>
      </c>
      <c r="C86" s="135">
        <v>116428538</v>
      </c>
      <c r="D86" s="135">
        <v>50061703</v>
      </c>
      <c r="E86" s="135">
        <v>0</v>
      </c>
      <c r="F86" s="135">
        <v>24120000</v>
      </c>
      <c r="G86" s="135">
        <v>6838540</v>
      </c>
      <c r="H86" s="135">
        <v>16862300</v>
      </c>
      <c r="I86" s="135">
        <v>2137979</v>
      </c>
      <c r="J86" s="135">
        <v>116600</v>
      </c>
      <c r="K86" s="135">
        <v>0</v>
      </c>
      <c r="L86" s="135">
        <v>209615206</v>
      </c>
      <c r="M86" s="135">
        <v>24368000</v>
      </c>
      <c r="N86" s="135">
        <v>1156</v>
      </c>
      <c r="O86" s="135">
        <v>298</v>
      </c>
      <c r="P86" s="135">
        <v>1233560</v>
      </c>
      <c r="Q86" s="135">
        <v>2933036</v>
      </c>
      <c r="R86" s="135">
        <v>39000</v>
      </c>
      <c r="S86" s="135">
        <v>1396335</v>
      </c>
      <c r="T86" s="135">
        <v>1035176</v>
      </c>
      <c r="U86" s="135">
        <v>54800</v>
      </c>
      <c r="V86" s="135">
        <v>1233560</v>
      </c>
      <c r="W86" s="135">
        <v>4694704</v>
      </c>
      <c r="X86" s="135">
        <v>39000</v>
      </c>
      <c r="Y86" s="135">
        <v>1396335</v>
      </c>
      <c r="Z86" s="135">
        <v>2115500</v>
      </c>
      <c r="AA86" s="135">
        <v>54800</v>
      </c>
      <c r="AB86" s="135">
        <v>-1715273</v>
      </c>
      <c r="AC86" s="135">
        <v>-110019</v>
      </c>
      <c r="AD86" s="135">
        <v>73232</v>
      </c>
      <c r="AE86" s="135">
        <v>0</v>
      </c>
      <c r="AF86" s="135">
        <v>0</v>
      </c>
      <c r="AG86" s="135">
        <v>92701</v>
      </c>
      <c r="AH86" s="135">
        <v>377245.9</v>
      </c>
      <c r="AI86" s="135">
        <v>0</v>
      </c>
      <c r="AJ86" s="139">
        <v>0</v>
      </c>
      <c r="AK86" s="82">
        <v>60755952</v>
      </c>
      <c r="AL86" s="82">
        <v>1372776</v>
      </c>
      <c r="AM86" s="135">
        <v>0</v>
      </c>
      <c r="AN86" s="135">
        <v>8611646</v>
      </c>
      <c r="AO86" s="135">
        <v>2245107</v>
      </c>
      <c r="AP86" s="135">
        <v>69462141</v>
      </c>
      <c r="AQ86" s="135">
        <v>16030606</v>
      </c>
      <c r="AR86" s="135">
        <v>46198693</v>
      </c>
      <c r="AS86" s="135">
        <v>3956928</v>
      </c>
      <c r="AT86" s="135">
        <v>2377411</v>
      </c>
      <c r="AU86" s="135">
        <v>0</v>
      </c>
      <c r="AV86" s="135">
        <v>0</v>
      </c>
      <c r="AW86" s="135">
        <v>0</v>
      </c>
      <c r="AX86" s="135">
        <v>0</v>
      </c>
      <c r="AY86" s="135">
        <v>0</v>
      </c>
      <c r="BD86" s="82">
        <v>3647757.48</v>
      </c>
      <c r="BE86" s="82">
        <v>1823878.74</v>
      </c>
      <c r="BF86" s="117">
        <v>0</v>
      </c>
      <c r="BG86" s="118">
        <v>0</v>
      </c>
      <c r="BH86" s="118">
        <v>0</v>
      </c>
      <c r="BI86" s="117">
        <v>24652546</v>
      </c>
      <c r="BJ86" s="117">
        <v>24652546</v>
      </c>
      <c r="BK86" s="117">
        <v>57430598</v>
      </c>
      <c r="BL86" s="117">
        <v>57415455</v>
      </c>
      <c r="BM86" s="117">
        <v>0</v>
      </c>
      <c r="BN86" s="117">
        <v>0</v>
      </c>
      <c r="BO86" s="138"/>
      <c r="BP86" s="86">
        <v>457158925.63999999</v>
      </c>
      <c r="BQ86" s="86">
        <v>311138317.89999998</v>
      </c>
      <c r="BR86" s="87"/>
      <c r="BT86" s="86">
        <v>283873713</v>
      </c>
      <c r="BU86" s="82">
        <f t="shared" si="7"/>
        <v>60755952</v>
      </c>
      <c r="BV86" s="82">
        <f t="shared" si="8"/>
        <v>1372776</v>
      </c>
      <c r="BW86" s="86">
        <f t="shared" si="9"/>
        <v>30844287</v>
      </c>
      <c r="BX86" s="86">
        <f t="shared" si="10"/>
        <v>376846728</v>
      </c>
    </row>
    <row r="87" spans="1:76" x14ac:dyDescent="0.25">
      <c r="A87" s="91" t="s">
        <v>141</v>
      </c>
      <c r="B87" s="135">
        <v>155292671</v>
      </c>
      <c r="C87" s="135">
        <v>122926905</v>
      </c>
      <c r="D87" s="135">
        <v>53715781</v>
      </c>
      <c r="E87" s="135">
        <v>0</v>
      </c>
      <c r="F87" s="135">
        <v>32643550</v>
      </c>
      <c r="G87" s="135">
        <v>7627400</v>
      </c>
      <c r="H87" s="135">
        <v>10652877</v>
      </c>
      <c r="I87" s="135">
        <v>662673</v>
      </c>
      <c r="J87" s="135">
        <v>39300</v>
      </c>
      <c r="K87" s="135">
        <v>0</v>
      </c>
      <c r="L87" s="135">
        <v>332833150</v>
      </c>
      <c r="M87" s="135">
        <v>0</v>
      </c>
      <c r="N87" s="135">
        <v>1196</v>
      </c>
      <c r="O87" s="135">
        <v>278</v>
      </c>
      <c r="P87" s="135">
        <v>2903330</v>
      </c>
      <c r="Q87" s="135">
        <v>2126600</v>
      </c>
      <c r="R87" s="135">
        <v>258450</v>
      </c>
      <c r="S87" s="135">
        <v>1855543</v>
      </c>
      <c r="T87" s="135">
        <v>750186</v>
      </c>
      <c r="U87" s="135">
        <v>525300</v>
      </c>
      <c r="V87" s="135">
        <v>2903330</v>
      </c>
      <c r="W87" s="135">
        <v>2436050</v>
      </c>
      <c r="X87" s="135">
        <v>258450</v>
      </c>
      <c r="Y87" s="135">
        <v>1855543</v>
      </c>
      <c r="Z87" s="135">
        <v>2436400</v>
      </c>
      <c r="AA87" s="135">
        <v>525300</v>
      </c>
      <c r="AB87" s="135">
        <v>-687560</v>
      </c>
      <c r="AC87" s="135">
        <v>0</v>
      </c>
      <c r="AD87" s="135">
        <v>87941</v>
      </c>
      <c r="AE87" s="135">
        <v>0</v>
      </c>
      <c r="AF87" s="135">
        <v>0</v>
      </c>
      <c r="AG87" s="135">
        <v>199627</v>
      </c>
      <c r="AH87" s="135">
        <v>749901.54</v>
      </c>
      <c r="AI87" s="135">
        <v>0</v>
      </c>
      <c r="AJ87" s="139">
        <v>0</v>
      </c>
      <c r="AK87" s="82">
        <v>72199705</v>
      </c>
      <c r="AL87" s="82">
        <v>1605869</v>
      </c>
      <c r="AM87" s="135">
        <v>0</v>
      </c>
      <c r="AN87" s="135">
        <v>22640177</v>
      </c>
      <c r="AO87" s="135">
        <v>248341</v>
      </c>
      <c r="AP87" s="135">
        <v>24428728</v>
      </c>
      <c r="AQ87" s="135">
        <v>22164135</v>
      </c>
      <c r="AR87" s="135">
        <v>62861504</v>
      </c>
      <c r="AS87" s="135">
        <v>144108</v>
      </c>
      <c r="AT87" s="135">
        <v>3640827</v>
      </c>
      <c r="AU87" s="135">
        <v>0</v>
      </c>
      <c r="AV87" s="135">
        <v>0</v>
      </c>
      <c r="AW87" s="135">
        <v>0</v>
      </c>
      <c r="AX87" s="135">
        <v>2165</v>
      </c>
      <c r="AY87" s="135">
        <v>0</v>
      </c>
      <c r="BD87" s="82">
        <v>4334834.78</v>
      </c>
      <c r="BE87" s="82">
        <v>2167417.39</v>
      </c>
      <c r="BF87" s="117">
        <v>0</v>
      </c>
      <c r="BG87" s="118">
        <v>0</v>
      </c>
      <c r="BH87" s="118">
        <v>0</v>
      </c>
      <c r="BI87" s="117">
        <v>11588856</v>
      </c>
      <c r="BJ87" s="117">
        <v>11588856</v>
      </c>
      <c r="BK87" s="117">
        <v>103466464</v>
      </c>
      <c r="BL87" s="117">
        <v>103340301</v>
      </c>
      <c r="BM87" s="117">
        <v>0</v>
      </c>
      <c r="BN87" s="117">
        <v>0</v>
      </c>
      <c r="BO87" s="138"/>
      <c r="BP87" s="86">
        <v>568640059.93000007</v>
      </c>
      <c r="BQ87" s="86">
        <v>377737911.54000002</v>
      </c>
      <c r="BR87" s="87">
        <v>361816</v>
      </c>
      <c r="BT87" s="86">
        <v>331935357</v>
      </c>
      <c r="BU87" s="82">
        <f t="shared" si="7"/>
        <v>72199705</v>
      </c>
      <c r="BV87" s="82">
        <f t="shared" si="8"/>
        <v>1605869</v>
      </c>
      <c r="BW87" s="86">
        <f t="shared" si="9"/>
        <v>45196761</v>
      </c>
      <c r="BX87" s="86">
        <f t="shared" si="10"/>
        <v>450937692</v>
      </c>
    </row>
    <row r="88" spans="1:76" x14ac:dyDescent="0.25">
      <c r="A88" s="91" t="s">
        <v>142</v>
      </c>
      <c r="B88" s="135">
        <v>764260764</v>
      </c>
      <c r="C88" s="135">
        <v>119242127</v>
      </c>
      <c r="D88" s="135">
        <v>338143242</v>
      </c>
      <c r="E88" s="135">
        <v>19360000</v>
      </c>
      <c r="F88" s="135">
        <v>73626930</v>
      </c>
      <c r="G88" s="135">
        <v>19562031</v>
      </c>
      <c r="H88" s="135">
        <v>11381600</v>
      </c>
      <c r="I88" s="135">
        <v>2464700</v>
      </c>
      <c r="J88" s="135">
        <v>235800</v>
      </c>
      <c r="K88" s="135">
        <v>39300</v>
      </c>
      <c r="L88" s="135">
        <v>254802184</v>
      </c>
      <c r="M88" s="135">
        <v>93891200</v>
      </c>
      <c r="N88" s="135">
        <v>2252</v>
      </c>
      <c r="O88" s="135">
        <v>639</v>
      </c>
      <c r="P88" s="135">
        <v>6496000</v>
      </c>
      <c r="Q88" s="135">
        <v>951400</v>
      </c>
      <c r="R88" s="135">
        <v>13058900</v>
      </c>
      <c r="S88" s="135">
        <v>2783530</v>
      </c>
      <c r="T88" s="135">
        <v>198000</v>
      </c>
      <c r="U88" s="135">
        <v>8618000</v>
      </c>
      <c r="V88" s="135">
        <v>6496000</v>
      </c>
      <c r="W88" s="135">
        <v>1249000</v>
      </c>
      <c r="X88" s="135">
        <v>13058900</v>
      </c>
      <c r="Y88" s="135">
        <v>2783530</v>
      </c>
      <c r="Z88" s="135">
        <v>257000</v>
      </c>
      <c r="AA88" s="135">
        <v>8618000</v>
      </c>
      <c r="AB88" s="135">
        <v>-4047100</v>
      </c>
      <c r="AC88" s="135">
        <v>-1166487</v>
      </c>
      <c r="AD88" s="135">
        <v>5145</v>
      </c>
      <c r="AE88" s="135">
        <v>1012018</v>
      </c>
      <c r="AF88" s="135">
        <v>0</v>
      </c>
      <c r="AG88" s="135">
        <v>110518</v>
      </c>
      <c r="AJ88" s="139"/>
      <c r="AK88" s="82">
        <v>190377407</v>
      </c>
      <c r="AL88" s="82">
        <v>4612495</v>
      </c>
      <c r="AM88" s="135">
        <v>0</v>
      </c>
      <c r="AN88" s="135">
        <v>53176593</v>
      </c>
      <c r="AO88" s="135">
        <v>5727123</v>
      </c>
      <c r="AP88" s="135">
        <v>168200227</v>
      </c>
      <c r="AQ88" s="135">
        <v>48385268</v>
      </c>
      <c r="AR88" s="135">
        <v>85374817</v>
      </c>
      <c r="AS88" s="135">
        <v>28265242</v>
      </c>
      <c r="AT88" s="135">
        <v>1287391</v>
      </c>
      <c r="AU88" s="135">
        <v>0</v>
      </c>
      <c r="AV88" s="135">
        <v>1232363</v>
      </c>
      <c r="AW88" s="135">
        <v>26228</v>
      </c>
      <c r="AX88" s="135">
        <v>13886</v>
      </c>
      <c r="AY88" s="135">
        <v>1998775</v>
      </c>
      <c r="BD88" s="131">
        <v>11430165.890000001</v>
      </c>
      <c r="BE88" s="82">
        <v>5715082.9500000002</v>
      </c>
      <c r="BF88" s="117">
        <v>0</v>
      </c>
      <c r="BG88" s="118">
        <v>0</v>
      </c>
      <c r="BH88" s="118">
        <v>0</v>
      </c>
      <c r="BI88" s="117">
        <v>54747090.280000001</v>
      </c>
      <c r="BJ88" s="117">
        <v>54747090.280000001</v>
      </c>
      <c r="BK88" s="117">
        <v>57096764.100000001</v>
      </c>
      <c r="BL88" s="117">
        <v>56222462.100000001</v>
      </c>
      <c r="BM88" s="117">
        <v>0</v>
      </c>
      <c r="BN88" s="117">
        <v>0</v>
      </c>
      <c r="BO88" s="138"/>
      <c r="BP88" s="86">
        <v>1640609654.3299999</v>
      </c>
      <c r="BQ88" s="86">
        <v>1328935117</v>
      </c>
      <c r="BR88" s="87">
        <v>1307100</v>
      </c>
      <c r="BT88" s="86">
        <v>1221646133</v>
      </c>
      <c r="BU88" s="82">
        <f t="shared" si="7"/>
        <v>190377407</v>
      </c>
      <c r="BV88" s="82">
        <f t="shared" si="8"/>
        <v>4612495</v>
      </c>
      <c r="BW88" s="86">
        <f t="shared" si="9"/>
        <v>135554226</v>
      </c>
      <c r="BX88" s="86">
        <f t="shared" si="10"/>
        <v>1552190261</v>
      </c>
    </row>
    <row r="89" spans="1:76" x14ac:dyDescent="0.25">
      <c r="A89" s="91" t="s">
        <v>143</v>
      </c>
      <c r="B89" s="135">
        <v>127660650</v>
      </c>
      <c r="C89" s="135">
        <v>92977350</v>
      </c>
      <c r="D89" s="135">
        <v>51400540</v>
      </c>
      <c r="E89" s="135">
        <v>0</v>
      </c>
      <c r="F89" s="135">
        <v>20931100</v>
      </c>
      <c r="G89" s="135">
        <v>16563000</v>
      </c>
      <c r="H89" s="135">
        <v>12915500</v>
      </c>
      <c r="I89" s="135">
        <v>8382700</v>
      </c>
      <c r="J89" s="135">
        <v>0</v>
      </c>
      <c r="K89" s="135">
        <v>0</v>
      </c>
      <c r="L89" s="135">
        <v>76444925</v>
      </c>
      <c r="M89" s="135">
        <v>16049700</v>
      </c>
      <c r="N89" s="135">
        <v>1045</v>
      </c>
      <c r="O89" s="135">
        <v>818</v>
      </c>
      <c r="P89" s="135">
        <v>716500</v>
      </c>
      <c r="Q89" s="135">
        <v>161000</v>
      </c>
      <c r="R89" s="135">
        <v>15000</v>
      </c>
      <c r="S89" s="135">
        <v>147500</v>
      </c>
      <c r="T89" s="135">
        <v>55000</v>
      </c>
      <c r="U89" s="135">
        <v>0</v>
      </c>
      <c r="V89" s="135">
        <v>716500</v>
      </c>
      <c r="W89" s="135">
        <v>235000</v>
      </c>
      <c r="X89" s="135">
        <v>15000</v>
      </c>
      <c r="Y89" s="135">
        <v>147500</v>
      </c>
      <c r="Z89" s="135">
        <v>55000</v>
      </c>
      <c r="AA89" s="135">
        <v>0</v>
      </c>
      <c r="AB89" s="135">
        <v>-1951100</v>
      </c>
      <c r="AC89" s="135">
        <v>-1201583</v>
      </c>
      <c r="AD89" s="135">
        <v>173890</v>
      </c>
      <c r="AE89" s="135">
        <v>50</v>
      </c>
      <c r="AF89" s="135">
        <v>0</v>
      </c>
      <c r="AG89" s="135">
        <v>230273</v>
      </c>
      <c r="AH89" s="135">
        <v>195286.89</v>
      </c>
      <c r="AI89" s="135">
        <v>635524.59</v>
      </c>
      <c r="AJ89" s="139">
        <v>1196.72</v>
      </c>
      <c r="AK89" s="87">
        <v>80510747</v>
      </c>
      <c r="AL89" s="82">
        <v>1982270</v>
      </c>
      <c r="AM89" s="135">
        <v>0</v>
      </c>
      <c r="AN89" s="135">
        <v>20138782</v>
      </c>
      <c r="AO89" s="135">
        <v>223666</v>
      </c>
      <c r="AP89" s="135">
        <v>5342512</v>
      </c>
      <c r="AQ89" s="135">
        <v>8088633</v>
      </c>
      <c r="AR89" s="135">
        <v>9338036</v>
      </c>
      <c r="AS89" s="135">
        <v>0</v>
      </c>
      <c r="AT89" s="135">
        <v>1356191</v>
      </c>
      <c r="AU89" s="135">
        <v>0</v>
      </c>
      <c r="AV89" s="135">
        <v>0</v>
      </c>
      <c r="AW89" s="135">
        <v>0</v>
      </c>
      <c r="AX89" s="135">
        <v>0</v>
      </c>
      <c r="AY89" s="135">
        <v>2069140</v>
      </c>
      <c r="BD89" s="82">
        <v>4833825.6500000004</v>
      </c>
      <c r="BE89" s="82">
        <v>2416912.83</v>
      </c>
      <c r="BF89" s="117">
        <v>0</v>
      </c>
      <c r="BG89" s="118">
        <v>0</v>
      </c>
      <c r="BH89" s="118">
        <v>0</v>
      </c>
      <c r="BI89" s="117">
        <v>1999977</v>
      </c>
      <c r="BJ89" s="117">
        <v>1999977</v>
      </c>
      <c r="BK89" s="117">
        <v>48225673</v>
      </c>
      <c r="BL89" s="117">
        <v>47980079</v>
      </c>
      <c r="BM89" s="117">
        <v>0</v>
      </c>
      <c r="BN89" s="117">
        <v>0</v>
      </c>
      <c r="BO89" s="138"/>
      <c r="BP89" s="86">
        <v>436211615.02999997</v>
      </c>
      <c r="BQ89" s="86">
        <v>301321629.19999999</v>
      </c>
      <c r="BR89" s="87"/>
      <c r="BT89" s="86">
        <v>272038540</v>
      </c>
      <c r="BU89" s="82">
        <f t="shared" si="7"/>
        <v>80510747</v>
      </c>
      <c r="BV89" s="82">
        <f t="shared" si="8"/>
        <v>1982270</v>
      </c>
      <c r="BW89" s="86">
        <f t="shared" si="9"/>
        <v>28451081</v>
      </c>
      <c r="BX89" s="86">
        <f t="shared" si="10"/>
        <v>382982638</v>
      </c>
    </row>
    <row r="90" spans="1:76" x14ac:dyDescent="0.25">
      <c r="A90" s="91" t="s">
        <v>144</v>
      </c>
      <c r="B90" s="135">
        <v>620805850</v>
      </c>
      <c r="C90" s="135">
        <v>182642881</v>
      </c>
      <c r="D90" s="135">
        <v>221632832</v>
      </c>
      <c r="E90" s="135">
        <v>0</v>
      </c>
      <c r="F90" s="135">
        <v>97142125</v>
      </c>
      <c r="G90" s="135">
        <v>32133713</v>
      </c>
      <c r="H90" s="135">
        <v>14896200</v>
      </c>
      <c r="I90" s="135">
        <v>2796000</v>
      </c>
      <c r="J90" s="135">
        <v>133300</v>
      </c>
      <c r="K90" s="135">
        <v>99700</v>
      </c>
      <c r="L90" s="135">
        <v>206134609</v>
      </c>
      <c r="M90" s="135">
        <v>107195590</v>
      </c>
      <c r="N90" s="135">
        <v>3041</v>
      </c>
      <c r="O90" s="135">
        <v>1025</v>
      </c>
      <c r="P90" s="135">
        <v>10299158</v>
      </c>
      <c r="Q90" s="135">
        <v>6545079</v>
      </c>
      <c r="R90" s="135">
        <v>4035550</v>
      </c>
      <c r="S90" s="135">
        <v>11697254</v>
      </c>
      <c r="T90" s="135">
        <v>4523445</v>
      </c>
      <c r="U90" s="135">
        <v>4005054</v>
      </c>
      <c r="V90" s="135">
        <v>10145208</v>
      </c>
      <c r="W90" s="135">
        <v>11963082</v>
      </c>
      <c r="X90" s="135">
        <v>4035550</v>
      </c>
      <c r="Y90" s="135">
        <v>11713144</v>
      </c>
      <c r="Z90" s="135">
        <v>8249884</v>
      </c>
      <c r="AA90" s="135">
        <v>4005054</v>
      </c>
      <c r="AB90" s="135">
        <v>-9746834</v>
      </c>
      <c r="AC90" s="135">
        <v>229</v>
      </c>
      <c r="AD90" s="135">
        <v>68782</v>
      </c>
      <c r="AE90" s="135">
        <v>2287601</v>
      </c>
      <c r="AF90" s="135">
        <v>11436</v>
      </c>
      <c r="AG90" s="135">
        <v>189970</v>
      </c>
      <c r="AH90" s="135">
        <v>5031721.3099999996</v>
      </c>
      <c r="AI90" s="135">
        <v>305368.84999999998</v>
      </c>
      <c r="AJ90" s="139">
        <v>15048319.67</v>
      </c>
      <c r="AK90" s="82">
        <v>226508020</v>
      </c>
      <c r="AL90" s="82">
        <v>6234175</v>
      </c>
      <c r="AM90" s="135">
        <v>0</v>
      </c>
      <c r="AN90" s="135">
        <v>46785571</v>
      </c>
      <c r="AO90" s="135">
        <v>3440146</v>
      </c>
      <c r="AP90" s="135">
        <v>55079278</v>
      </c>
      <c r="AQ90" s="135">
        <v>42782787</v>
      </c>
      <c r="AR90" s="135">
        <v>45900997</v>
      </c>
      <c r="AS90" s="135">
        <v>4784651</v>
      </c>
      <c r="AT90" s="135">
        <v>23112427</v>
      </c>
      <c r="AU90" s="135">
        <v>0</v>
      </c>
      <c r="AV90" s="135">
        <v>0</v>
      </c>
      <c r="AW90" s="135">
        <v>499734</v>
      </c>
      <c r="AX90" s="135">
        <v>1306</v>
      </c>
      <c r="AY90" s="135">
        <v>206314</v>
      </c>
      <c r="BD90" s="82">
        <v>13599430.119999999</v>
      </c>
      <c r="BE90" s="82">
        <v>6799715.0599999996</v>
      </c>
      <c r="BF90" s="117">
        <v>9090673.5751295332</v>
      </c>
      <c r="BG90" s="118">
        <v>3825832</v>
      </c>
      <c r="BH90" s="118">
        <v>7651664</v>
      </c>
      <c r="BI90" s="117">
        <v>88526532</v>
      </c>
      <c r="BJ90" s="117">
        <v>85744263</v>
      </c>
      <c r="BK90" s="117">
        <v>178217941</v>
      </c>
      <c r="BL90" s="117">
        <v>175875524</v>
      </c>
      <c r="BM90" s="117">
        <v>0</v>
      </c>
      <c r="BN90" s="117">
        <v>0</v>
      </c>
      <c r="BO90" s="138"/>
      <c r="BP90" s="86">
        <v>1643463005.8899999</v>
      </c>
      <c r="BQ90" s="86">
        <v>1138475476.8299999</v>
      </c>
      <c r="BR90" s="87">
        <v>950700</v>
      </c>
      <c r="BT90" s="86">
        <v>1025081563</v>
      </c>
      <c r="BU90" s="82">
        <f t="shared" si="7"/>
        <v>226508020</v>
      </c>
      <c r="BV90" s="82">
        <f t="shared" si="8"/>
        <v>6234175</v>
      </c>
      <c r="BW90" s="86">
        <f t="shared" si="9"/>
        <v>97793155</v>
      </c>
      <c r="BX90" s="86">
        <f t="shared" si="10"/>
        <v>1355616913</v>
      </c>
    </row>
    <row r="91" spans="1:76" x14ac:dyDescent="0.25">
      <c r="A91" s="91" t="s">
        <v>145</v>
      </c>
      <c r="B91" s="135">
        <v>1955092341</v>
      </c>
      <c r="C91" s="135">
        <v>407571837</v>
      </c>
      <c r="D91" s="135">
        <v>614743423</v>
      </c>
      <c r="E91" s="135">
        <v>51056665</v>
      </c>
      <c r="F91" s="135">
        <v>128684445</v>
      </c>
      <c r="G91" s="135">
        <v>19418000</v>
      </c>
      <c r="H91" s="135">
        <v>28137460</v>
      </c>
      <c r="I91" s="135">
        <v>1885905</v>
      </c>
      <c r="J91" s="135">
        <v>275100</v>
      </c>
      <c r="K91" s="135">
        <v>0</v>
      </c>
      <c r="L91" s="135">
        <v>735471755</v>
      </c>
      <c r="M91" s="135">
        <v>350337255</v>
      </c>
      <c r="N91" s="135">
        <v>4044</v>
      </c>
      <c r="O91" s="135">
        <v>568</v>
      </c>
      <c r="P91" s="135">
        <v>29651350</v>
      </c>
      <c r="Q91" s="135">
        <v>7007760</v>
      </c>
      <c r="R91" s="135">
        <v>22816300</v>
      </c>
      <c r="S91" s="135">
        <v>4125684</v>
      </c>
      <c r="T91" s="135">
        <v>1880600</v>
      </c>
      <c r="U91" s="135">
        <v>11458170</v>
      </c>
      <c r="V91" s="135">
        <v>29651350</v>
      </c>
      <c r="W91" s="135">
        <v>7007760</v>
      </c>
      <c r="X91" s="135">
        <v>22816300</v>
      </c>
      <c r="Y91" s="135">
        <v>4125684</v>
      </c>
      <c r="Z91" s="135">
        <v>1880600</v>
      </c>
      <c r="AA91" s="135">
        <v>11458170</v>
      </c>
      <c r="AB91" s="135">
        <v>-11136000</v>
      </c>
      <c r="AC91" s="135">
        <v>-559196</v>
      </c>
      <c r="AD91" s="135">
        <v>28264</v>
      </c>
      <c r="AE91" s="135">
        <v>3036055</v>
      </c>
      <c r="AF91" s="135">
        <v>498144</v>
      </c>
      <c r="AG91" s="135">
        <v>245033</v>
      </c>
      <c r="AH91" s="135">
        <v>0</v>
      </c>
      <c r="AI91" s="135">
        <v>1681459.02</v>
      </c>
      <c r="AJ91" s="139">
        <v>0</v>
      </c>
      <c r="AK91" s="82">
        <v>383744564</v>
      </c>
      <c r="AL91" s="82">
        <v>8428923</v>
      </c>
      <c r="AM91" s="135">
        <v>0</v>
      </c>
      <c r="AN91" s="135">
        <v>95717370</v>
      </c>
      <c r="AO91" s="135">
        <v>8706708</v>
      </c>
      <c r="AP91" s="135">
        <v>389743327</v>
      </c>
      <c r="AQ91" s="135">
        <v>80923027</v>
      </c>
      <c r="AR91" s="135">
        <v>79784025</v>
      </c>
      <c r="AS91" s="87">
        <v>26927496</v>
      </c>
      <c r="AT91" s="135">
        <f>2617152+182</f>
        <v>2617334</v>
      </c>
      <c r="AU91" s="135">
        <v>0</v>
      </c>
      <c r="AV91" s="135">
        <v>0</v>
      </c>
      <c r="AW91" s="135">
        <v>4390715</v>
      </c>
      <c r="AX91" s="135">
        <v>4464907</v>
      </c>
      <c r="AY91" s="135">
        <v>1490400</v>
      </c>
      <c r="BD91" s="82">
        <v>23039834.890000001</v>
      </c>
      <c r="BE91" s="82">
        <v>11519917.449999999</v>
      </c>
      <c r="BF91" s="117">
        <v>0</v>
      </c>
      <c r="BG91" s="118">
        <v>914641</v>
      </c>
      <c r="BH91" s="118">
        <v>1829281</v>
      </c>
      <c r="BI91" s="117">
        <v>19871474</v>
      </c>
      <c r="BJ91" s="117">
        <v>19209716</v>
      </c>
      <c r="BK91" s="117">
        <v>56312394</v>
      </c>
      <c r="BL91" s="117">
        <v>55941265</v>
      </c>
      <c r="BM91" s="117">
        <v>668290714</v>
      </c>
      <c r="BN91" s="117">
        <v>0</v>
      </c>
      <c r="BO91" s="138"/>
      <c r="BP91" s="86">
        <v>4312485905.4699993</v>
      </c>
      <c r="BQ91" s="86">
        <v>3164436165.02</v>
      </c>
      <c r="BR91" s="87">
        <v>3285346</v>
      </c>
      <c r="BT91" s="86">
        <v>2977407601</v>
      </c>
      <c r="BU91" s="82">
        <f t="shared" si="7"/>
        <v>383744564</v>
      </c>
      <c r="BV91" s="82">
        <f t="shared" si="8"/>
        <v>8428923</v>
      </c>
      <c r="BW91" s="86">
        <f t="shared" si="9"/>
        <v>212274601</v>
      </c>
      <c r="BX91" s="86">
        <f t="shared" si="10"/>
        <v>3581855689</v>
      </c>
    </row>
    <row r="92" spans="1:76" x14ac:dyDescent="0.25">
      <c r="A92" s="91" t="s">
        <v>146</v>
      </c>
      <c r="B92" s="135">
        <v>113612935</v>
      </c>
      <c r="C92" s="135">
        <v>100551471</v>
      </c>
      <c r="D92" s="135">
        <v>16060689</v>
      </c>
      <c r="E92" s="135">
        <v>0</v>
      </c>
      <c r="F92" s="135">
        <v>20414100</v>
      </c>
      <c r="G92" s="135">
        <v>4455735</v>
      </c>
      <c r="H92" s="135">
        <v>8722400</v>
      </c>
      <c r="I92" s="135">
        <v>1416300</v>
      </c>
      <c r="J92" s="135">
        <v>39300</v>
      </c>
      <c r="K92" s="135">
        <v>38500</v>
      </c>
      <c r="L92" s="135">
        <v>106107223</v>
      </c>
      <c r="M92" s="135">
        <v>82677014</v>
      </c>
      <c r="N92" s="135">
        <v>776</v>
      </c>
      <c r="O92" s="135">
        <v>167</v>
      </c>
      <c r="P92" s="135">
        <v>1715600</v>
      </c>
      <c r="Q92" s="135">
        <v>2217075</v>
      </c>
      <c r="R92" s="135">
        <v>15000</v>
      </c>
      <c r="S92" s="135">
        <v>977362</v>
      </c>
      <c r="T92" s="135">
        <v>792525</v>
      </c>
      <c r="U92" s="135">
        <v>164000</v>
      </c>
      <c r="V92" s="135">
        <v>1715600</v>
      </c>
      <c r="W92" s="135">
        <v>2125564</v>
      </c>
      <c r="X92" s="135">
        <v>15000</v>
      </c>
      <c r="Y92" s="135">
        <v>977362</v>
      </c>
      <c r="Z92" s="135">
        <v>908446</v>
      </c>
      <c r="AA92" s="135">
        <v>164000</v>
      </c>
      <c r="AB92" s="135">
        <v>-699404</v>
      </c>
      <c r="AC92" s="135">
        <v>-841</v>
      </c>
      <c r="AD92" s="135">
        <v>0</v>
      </c>
      <c r="AE92" s="135">
        <v>0</v>
      </c>
      <c r="AF92" s="135">
        <v>0</v>
      </c>
      <c r="AG92" s="135">
        <v>0</v>
      </c>
      <c r="AJ92" s="139"/>
      <c r="AK92" s="82">
        <v>49691224</v>
      </c>
      <c r="AL92" s="82">
        <v>1032813</v>
      </c>
      <c r="AM92" s="135">
        <v>30900</v>
      </c>
      <c r="AN92" s="135">
        <v>2475282</v>
      </c>
      <c r="AO92" s="135">
        <v>57060</v>
      </c>
      <c r="AP92" s="135">
        <v>1541008</v>
      </c>
      <c r="AQ92" s="135">
        <v>1911912</v>
      </c>
      <c r="AR92" s="135">
        <v>201768</v>
      </c>
      <c r="AS92" s="135">
        <v>0</v>
      </c>
      <c r="AT92" s="135">
        <f>262556+233</f>
        <v>262789</v>
      </c>
      <c r="AU92" s="135">
        <v>0</v>
      </c>
      <c r="AV92" s="135">
        <v>0</v>
      </c>
      <c r="AW92" s="135">
        <v>15348</v>
      </c>
      <c r="AX92" s="135">
        <v>0</v>
      </c>
      <c r="AY92" s="135">
        <v>0</v>
      </c>
      <c r="BD92" s="82">
        <v>2983436.65</v>
      </c>
      <c r="BE92" s="82">
        <v>1491718.33</v>
      </c>
      <c r="BF92" s="117">
        <v>0</v>
      </c>
      <c r="BG92" s="118">
        <v>1120346</v>
      </c>
      <c r="BH92" s="118">
        <v>2240692</v>
      </c>
      <c r="BI92" s="117">
        <v>30331405</v>
      </c>
      <c r="BJ92" s="117">
        <v>30331405</v>
      </c>
      <c r="BK92" s="117">
        <v>20494862</v>
      </c>
      <c r="BL92" s="117">
        <v>20040699</v>
      </c>
      <c r="BM92" s="117">
        <v>0</v>
      </c>
      <c r="BN92" s="117">
        <v>0</v>
      </c>
      <c r="BO92" s="138"/>
      <c r="BP92" s="86">
        <v>338377554.32999998</v>
      </c>
      <c r="BQ92" s="86">
        <v>234669349</v>
      </c>
      <c r="BR92" s="87"/>
      <c r="BT92" s="86">
        <v>230225095</v>
      </c>
      <c r="BU92" s="82">
        <f t="shared" si="7"/>
        <v>49691224</v>
      </c>
      <c r="BV92" s="82">
        <f t="shared" si="8"/>
        <v>1032813</v>
      </c>
      <c r="BW92" s="86">
        <f t="shared" si="9"/>
        <v>4444254</v>
      </c>
      <c r="BX92" s="86">
        <f t="shared" si="10"/>
        <v>285393386</v>
      </c>
    </row>
    <row r="93" spans="1:76" x14ac:dyDescent="0.25">
      <c r="A93" s="91" t="s">
        <v>147</v>
      </c>
      <c r="B93" s="135">
        <v>399035890</v>
      </c>
      <c r="C93" s="135">
        <v>209114320</v>
      </c>
      <c r="D93" s="135">
        <v>124077085</v>
      </c>
      <c r="E93" s="135">
        <v>0</v>
      </c>
      <c r="F93" s="135">
        <v>56283785</v>
      </c>
      <c r="G93" s="135">
        <v>20188848</v>
      </c>
      <c r="H93" s="135">
        <v>18896052</v>
      </c>
      <c r="I93" s="135">
        <v>4629595</v>
      </c>
      <c r="J93" s="135">
        <v>117900</v>
      </c>
      <c r="K93" s="135">
        <v>39300</v>
      </c>
      <c r="L93" s="135">
        <v>375060723</v>
      </c>
      <c r="M93" s="135">
        <v>17329938</v>
      </c>
      <c r="N93" s="135">
        <v>2127</v>
      </c>
      <c r="O93" s="135">
        <v>778</v>
      </c>
      <c r="P93" s="135">
        <v>3770300</v>
      </c>
      <c r="Q93" s="135">
        <v>3308800</v>
      </c>
      <c r="R93" s="135">
        <v>1248850</v>
      </c>
      <c r="S93" s="135">
        <v>3396728</v>
      </c>
      <c r="T93" s="135">
        <v>555700</v>
      </c>
      <c r="U93" s="135">
        <v>1338190</v>
      </c>
      <c r="V93" s="135">
        <v>3770300</v>
      </c>
      <c r="W93" s="135">
        <v>3308800</v>
      </c>
      <c r="X93" s="135">
        <v>1248850</v>
      </c>
      <c r="Y93" s="135">
        <v>3396728</v>
      </c>
      <c r="Z93" s="135">
        <v>555700</v>
      </c>
      <c r="AA93" s="135">
        <v>1338190</v>
      </c>
      <c r="AB93" s="135">
        <v>-4672268</v>
      </c>
      <c r="AC93" s="135">
        <v>-101703</v>
      </c>
      <c r="AD93" s="135">
        <v>330455</v>
      </c>
      <c r="AE93" s="135">
        <v>19028</v>
      </c>
      <c r="AF93" s="135">
        <v>21801976</v>
      </c>
      <c r="AG93" s="135">
        <v>330437</v>
      </c>
      <c r="AH93" s="135">
        <v>2929360.66</v>
      </c>
      <c r="AI93" s="135">
        <v>359327.87</v>
      </c>
      <c r="AJ93" s="139">
        <v>8902540.9800000004</v>
      </c>
      <c r="AK93" s="82">
        <v>145131675</v>
      </c>
      <c r="AL93" s="82">
        <v>4183712</v>
      </c>
      <c r="AM93" s="135">
        <v>0</v>
      </c>
      <c r="AN93" s="135">
        <v>59431570</v>
      </c>
      <c r="AO93" s="135">
        <v>8286532</v>
      </c>
      <c r="AP93" s="135">
        <v>94458330</v>
      </c>
      <c r="AQ93" s="135">
        <v>29394676</v>
      </c>
      <c r="AR93" s="135">
        <v>34467157</v>
      </c>
      <c r="AS93" s="135">
        <v>5439255</v>
      </c>
      <c r="AT93" s="135">
        <f>4805627+86</f>
        <v>4805713</v>
      </c>
      <c r="AU93" s="135">
        <v>0</v>
      </c>
      <c r="AV93" s="135">
        <v>0</v>
      </c>
      <c r="AW93" s="135">
        <v>321084</v>
      </c>
      <c r="AX93" s="135">
        <v>112</v>
      </c>
      <c r="AY93" s="135">
        <v>21000</v>
      </c>
      <c r="BD93" s="82">
        <v>8713634.3900000006</v>
      </c>
      <c r="BE93" s="82">
        <v>4356817.2</v>
      </c>
      <c r="BF93" s="117">
        <v>10715025.906735752</v>
      </c>
      <c r="BG93" s="118">
        <v>2301193</v>
      </c>
      <c r="BH93" s="118">
        <v>4602387</v>
      </c>
      <c r="BI93" s="117">
        <v>54815575.579999998</v>
      </c>
      <c r="BJ93" s="117">
        <v>50564349.579999998</v>
      </c>
      <c r="BK93" s="117">
        <v>69785335.459999993</v>
      </c>
      <c r="BL93" s="117">
        <v>66884873.460000001</v>
      </c>
      <c r="BM93" s="117">
        <v>0</v>
      </c>
      <c r="BN93" s="117">
        <v>0</v>
      </c>
      <c r="BO93" s="138"/>
      <c r="BP93" s="86">
        <v>1114953922.75</v>
      </c>
      <c r="BQ93" s="86">
        <v>841531302.50999999</v>
      </c>
      <c r="BR93" s="87">
        <v>1165365</v>
      </c>
      <c r="BT93" s="86">
        <v>732227295</v>
      </c>
      <c r="BU93" s="82">
        <f t="shared" si="7"/>
        <v>145131675</v>
      </c>
      <c r="BV93" s="82">
        <f t="shared" si="8"/>
        <v>4183712</v>
      </c>
      <c r="BW93" s="86">
        <f t="shared" si="9"/>
        <v>102552033</v>
      </c>
      <c r="BX93" s="86">
        <f t="shared" si="10"/>
        <v>984094715</v>
      </c>
    </row>
    <row r="94" spans="1:76" x14ac:dyDescent="0.25">
      <c r="A94" s="91" t="s">
        <v>148</v>
      </c>
      <c r="B94" s="135">
        <v>5606166131</v>
      </c>
      <c r="C94" s="135">
        <v>266647175</v>
      </c>
      <c r="D94" s="135">
        <v>533505256</v>
      </c>
      <c r="E94" s="135">
        <v>0</v>
      </c>
      <c r="F94" s="135">
        <v>171027700</v>
      </c>
      <c r="G94" s="135">
        <v>11168300</v>
      </c>
      <c r="H94" s="135">
        <v>8724600</v>
      </c>
      <c r="I94" s="135">
        <v>314400</v>
      </c>
      <c r="J94" s="135">
        <v>393000</v>
      </c>
      <c r="K94" s="135">
        <v>0</v>
      </c>
      <c r="L94" s="135">
        <v>591331260</v>
      </c>
      <c r="M94" s="135">
        <v>213494850</v>
      </c>
      <c r="N94" s="135">
        <v>4601</v>
      </c>
      <c r="O94" s="135">
        <v>297</v>
      </c>
      <c r="P94" s="135">
        <v>135207931</v>
      </c>
      <c r="Q94" s="135">
        <v>11035950</v>
      </c>
      <c r="R94" s="135">
        <v>10722000</v>
      </c>
      <c r="S94" s="135">
        <v>25419200</v>
      </c>
      <c r="T94" s="135">
        <v>4408100</v>
      </c>
      <c r="U94" s="135">
        <v>3335500</v>
      </c>
      <c r="V94" s="135">
        <v>135207931</v>
      </c>
      <c r="W94" s="135">
        <v>17228300</v>
      </c>
      <c r="X94" s="135">
        <v>10722000</v>
      </c>
      <c r="Y94" s="135">
        <v>24341200</v>
      </c>
      <c r="Z94" s="135">
        <v>19830400</v>
      </c>
      <c r="AA94" s="135">
        <v>3335500</v>
      </c>
      <c r="AB94" s="135">
        <v>-7995670</v>
      </c>
      <c r="AC94" s="135">
        <v>-161155</v>
      </c>
      <c r="AD94" s="135">
        <v>0</v>
      </c>
      <c r="AE94" s="135">
        <v>0</v>
      </c>
      <c r="AF94" s="135">
        <v>0</v>
      </c>
      <c r="AG94" s="135">
        <v>61815</v>
      </c>
      <c r="AH94" s="135">
        <v>0</v>
      </c>
      <c r="AI94" s="135">
        <v>1031918.03</v>
      </c>
      <c r="AJ94" s="139">
        <v>0</v>
      </c>
      <c r="AK94" s="82">
        <v>603046721</v>
      </c>
      <c r="AL94" s="82">
        <v>17740462</v>
      </c>
      <c r="AM94" s="135">
        <v>3074043</v>
      </c>
      <c r="AN94" s="135">
        <v>68314093</v>
      </c>
      <c r="AO94" s="135">
        <v>5394222</v>
      </c>
      <c r="AP94" s="135">
        <v>60797172</v>
      </c>
      <c r="AQ94" s="135">
        <v>37021216</v>
      </c>
      <c r="AR94" s="135">
        <v>61642866</v>
      </c>
      <c r="AS94" s="135">
        <v>8151183</v>
      </c>
      <c r="AT94" s="135">
        <v>7566257</v>
      </c>
      <c r="AU94" s="135">
        <v>0</v>
      </c>
      <c r="AV94" s="135">
        <v>0</v>
      </c>
      <c r="AW94" s="135">
        <v>0</v>
      </c>
      <c r="AX94" s="135">
        <v>3838597</v>
      </c>
      <c r="AY94" s="135">
        <v>6300</v>
      </c>
      <c r="BD94" s="82">
        <v>36206628.539999999</v>
      </c>
      <c r="BE94" s="82">
        <v>18103314.27</v>
      </c>
      <c r="BF94" s="117">
        <v>18466321.243523315</v>
      </c>
      <c r="BG94" s="118">
        <v>1059844</v>
      </c>
      <c r="BH94" s="118">
        <v>2119689</v>
      </c>
      <c r="BI94" s="117">
        <v>52008482</v>
      </c>
      <c r="BJ94" s="117">
        <v>52008482</v>
      </c>
      <c r="BK94" s="117">
        <v>93330917</v>
      </c>
      <c r="BL94" s="117">
        <v>91998833</v>
      </c>
      <c r="BM94" s="117">
        <v>2706721</v>
      </c>
      <c r="BN94" s="117">
        <v>0</v>
      </c>
      <c r="BO94" s="138"/>
      <c r="BP94" s="86">
        <v>7304744388.3000002</v>
      </c>
      <c r="BQ94" s="86">
        <v>6518080011.0299997</v>
      </c>
      <c r="BR94" s="87">
        <v>1812615</v>
      </c>
      <c r="BT94" s="86">
        <v>6406318562</v>
      </c>
      <c r="BU94" s="82">
        <f t="shared" si="7"/>
        <v>603046721</v>
      </c>
      <c r="BV94" s="82">
        <f t="shared" si="8"/>
        <v>17740462</v>
      </c>
      <c r="BW94" s="86">
        <f t="shared" si="9"/>
        <v>118880714</v>
      </c>
      <c r="BX94" s="86">
        <f t="shared" si="10"/>
        <v>7145986459</v>
      </c>
    </row>
    <row r="95" spans="1:76" x14ac:dyDescent="0.25">
      <c r="A95" s="91" t="s">
        <v>149</v>
      </c>
      <c r="B95" s="135">
        <v>300299060</v>
      </c>
      <c r="C95" s="135">
        <v>174826052</v>
      </c>
      <c r="D95" s="135">
        <v>42841425</v>
      </c>
      <c r="E95" s="135">
        <v>0</v>
      </c>
      <c r="F95" s="135">
        <v>26896200</v>
      </c>
      <c r="G95" s="135">
        <v>4187600</v>
      </c>
      <c r="H95" s="135">
        <v>13842700</v>
      </c>
      <c r="I95" s="135">
        <v>1116600</v>
      </c>
      <c r="J95" s="135">
        <v>68600</v>
      </c>
      <c r="K95" s="135">
        <v>0</v>
      </c>
      <c r="L95" s="135">
        <v>313071221</v>
      </c>
      <c r="M95" s="135">
        <v>118720151</v>
      </c>
      <c r="N95" s="135">
        <v>1093</v>
      </c>
      <c r="O95" s="135">
        <v>155</v>
      </c>
      <c r="P95" s="135">
        <v>4253600</v>
      </c>
      <c r="Q95" s="135">
        <v>4009000</v>
      </c>
      <c r="R95" s="135">
        <v>351000</v>
      </c>
      <c r="S95" s="135">
        <v>1791670</v>
      </c>
      <c r="T95" s="135">
        <v>1640300</v>
      </c>
      <c r="U95" s="135">
        <v>1559700</v>
      </c>
      <c r="V95" s="135">
        <v>4253600</v>
      </c>
      <c r="W95" s="135">
        <v>4790400</v>
      </c>
      <c r="X95" s="135">
        <v>351000</v>
      </c>
      <c r="Y95" s="135">
        <v>1791670</v>
      </c>
      <c r="Z95" s="135">
        <v>2897450</v>
      </c>
      <c r="AA95" s="135">
        <v>1559700</v>
      </c>
      <c r="AB95" s="135">
        <v>-1403450</v>
      </c>
      <c r="AC95" s="135">
        <v>-8748</v>
      </c>
      <c r="AD95" s="135">
        <v>69438</v>
      </c>
      <c r="AE95" s="135">
        <v>11092016</v>
      </c>
      <c r="AF95" s="135">
        <v>0</v>
      </c>
      <c r="AG95" s="135">
        <v>200611</v>
      </c>
      <c r="AJ95" s="139"/>
      <c r="AK95" s="82">
        <v>88359908</v>
      </c>
      <c r="AL95" s="82">
        <v>2657628</v>
      </c>
      <c r="AM95" s="135">
        <v>0</v>
      </c>
      <c r="AN95" s="135">
        <v>8616215</v>
      </c>
      <c r="AO95" s="135">
        <v>27505</v>
      </c>
      <c r="AP95" s="135">
        <v>1201928</v>
      </c>
      <c r="AQ95" s="135">
        <v>7750446</v>
      </c>
      <c r="AR95" s="135">
        <v>1464733</v>
      </c>
      <c r="AS95" s="135">
        <v>0</v>
      </c>
      <c r="AT95" s="135">
        <v>1434659</v>
      </c>
      <c r="AU95" s="135">
        <v>0</v>
      </c>
      <c r="AV95" s="135">
        <v>28415</v>
      </c>
      <c r="AW95" s="135">
        <v>58920</v>
      </c>
      <c r="AX95" s="135">
        <v>0</v>
      </c>
      <c r="AY95" s="135">
        <v>164000</v>
      </c>
      <c r="BD95" s="82">
        <v>5305085.42</v>
      </c>
      <c r="BE95" s="82">
        <v>2652542.71</v>
      </c>
      <c r="BF95" s="117">
        <v>5642487.0466321241</v>
      </c>
      <c r="BG95" s="118">
        <v>0</v>
      </c>
      <c r="BH95" s="118">
        <v>0</v>
      </c>
      <c r="BI95" s="117">
        <v>53132700</v>
      </c>
      <c r="BJ95" s="117">
        <v>53132700</v>
      </c>
      <c r="BK95" s="117">
        <v>44544415</v>
      </c>
      <c r="BL95" s="117">
        <v>44485310</v>
      </c>
      <c r="BM95" s="117">
        <v>0</v>
      </c>
      <c r="BN95" s="117">
        <v>0</v>
      </c>
      <c r="BO95" s="138"/>
      <c r="BP95" s="86">
        <v>725648791.71000004</v>
      </c>
      <c r="BQ95" s="86">
        <v>534360703</v>
      </c>
      <c r="BR95" s="87">
        <v>272021</v>
      </c>
      <c r="BT95" s="86">
        <v>517966537</v>
      </c>
      <c r="BU95" s="82">
        <f t="shared" si="7"/>
        <v>88359908</v>
      </c>
      <c r="BV95" s="82">
        <f t="shared" si="8"/>
        <v>2657628</v>
      </c>
      <c r="BW95" s="86">
        <f t="shared" si="9"/>
        <v>16394166</v>
      </c>
      <c r="BX95" s="86">
        <f t="shared" si="10"/>
        <v>625378239</v>
      </c>
    </row>
    <row r="96" spans="1:76" x14ac:dyDescent="0.25">
      <c r="A96" s="91" t="s">
        <v>150</v>
      </c>
      <c r="B96" s="135">
        <v>36318406</v>
      </c>
      <c r="C96" s="135">
        <v>37835107</v>
      </c>
      <c r="D96" s="135">
        <v>12262100</v>
      </c>
      <c r="E96" s="135">
        <v>0</v>
      </c>
      <c r="F96" s="135">
        <v>7517333</v>
      </c>
      <c r="G96" s="135">
        <v>9281650</v>
      </c>
      <c r="H96" s="135">
        <v>5665340</v>
      </c>
      <c r="I96" s="135">
        <v>3732900</v>
      </c>
      <c r="J96" s="135">
        <v>0</v>
      </c>
      <c r="K96" s="135">
        <v>0</v>
      </c>
      <c r="L96" s="135">
        <v>69886929</v>
      </c>
      <c r="M96" s="135">
        <v>12319500</v>
      </c>
      <c r="N96" s="135">
        <v>370</v>
      </c>
      <c r="O96" s="135">
        <v>390</v>
      </c>
      <c r="P96" s="135">
        <v>1275500</v>
      </c>
      <c r="Q96" s="135">
        <v>483150</v>
      </c>
      <c r="R96" s="135">
        <v>62500</v>
      </c>
      <c r="S96" s="135">
        <v>70000</v>
      </c>
      <c r="T96" s="135">
        <v>96600</v>
      </c>
      <c r="U96" s="135">
        <v>0</v>
      </c>
      <c r="V96" s="135">
        <v>1275500</v>
      </c>
      <c r="W96" s="135">
        <v>642450</v>
      </c>
      <c r="X96" s="135">
        <v>62500</v>
      </c>
      <c r="Y96" s="135">
        <v>70000</v>
      </c>
      <c r="Z96" s="135">
        <v>106600</v>
      </c>
      <c r="AA96" s="135">
        <v>0</v>
      </c>
      <c r="AB96" s="135">
        <v>-974275</v>
      </c>
      <c r="AC96" s="135">
        <v>0</v>
      </c>
      <c r="AD96" s="135">
        <v>50695</v>
      </c>
      <c r="AE96" s="135">
        <v>0</v>
      </c>
      <c r="AF96" s="135">
        <v>0</v>
      </c>
      <c r="AG96" s="135">
        <v>106609</v>
      </c>
      <c r="AH96" s="135">
        <v>0</v>
      </c>
      <c r="AI96" s="135">
        <v>73639.34</v>
      </c>
      <c r="AJ96" s="139">
        <v>409450.82</v>
      </c>
      <c r="AK96" s="82">
        <v>21550667</v>
      </c>
      <c r="AL96" s="82">
        <v>365637</v>
      </c>
      <c r="AM96" s="135">
        <v>0</v>
      </c>
      <c r="AN96" s="135">
        <v>1449278</v>
      </c>
      <c r="AO96" s="135">
        <v>5157</v>
      </c>
      <c r="AP96" s="135">
        <v>22399</v>
      </c>
      <c r="AQ96" s="135">
        <v>941192</v>
      </c>
      <c r="AR96" s="135">
        <v>0</v>
      </c>
      <c r="AS96" s="135">
        <v>0</v>
      </c>
      <c r="AT96" s="135">
        <v>0</v>
      </c>
      <c r="AU96" s="135">
        <v>0</v>
      </c>
      <c r="AV96" s="135">
        <v>0</v>
      </c>
      <c r="AW96" s="135">
        <v>0</v>
      </c>
      <c r="AX96" s="135">
        <v>0</v>
      </c>
      <c r="AY96" s="135">
        <v>0</v>
      </c>
      <c r="BD96" s="82">
        <v>1293891.45</v>
      </c>
      <c r="BE96" s="82">
        <v>646945.73</v>
      </c>
      <c r="BF96" s="117">
        <v>0</v>
      </c>
      <c r="BG96" s="118">
        <v>0</v>
      </c>
      <c r="BH96" s="118">
        <v>0</v>
      </c>
      <c r="BI96" s="117">
        <v>2169980</v>
      </c>
      <c r="BJ96" s="117">
        <v>2169980</v>
      </c>
      <c r="BK96" s="117">
        <v>13859370</v>
      </c>
      <c r="BL96" s="117">
        <v>13859370</v>
      </c>
      <c r="BM96" s="117">
        <v>0</v>
      </c>
      <c r="BN96" s="117">
        <v>0</v>
      </c>
      <c r="BO96" s="138"/>
      <c r="BP96" s="86">
        <v>127886929.89</v>
      </c>
      <c r="BQ96" s="86">
        <v>89294330.159999996</v>
      </c>
      <c r="BR96" s="87">
        <v>327600</v>
      </c>
      <c r="BT96" s="86">
        <v>86415613</v>
      </c>
      <c r="BU96" s="82">
        <f t="shared" si="7"/>
        <v>21550667</v>
      </c>
      <c r="BV96" s="82">
        <f t="shared" si="8"/>
        <v>365637</v>
      </c>
      <c r="BW96" s="86">
        <f t="shared" si="9"/>
        <v>2395627</v>
      </c>
      <c r="BX96" s="86">
        <f t="shared" si="10"/>
        <v>110727544</v>
      </c>
    </row>
    <row r="97" spans="1:76" x14ac:dyDescent="0.25">
      <c r="A97" s="91" t="s">
        <v>151</v>
      </c>
      <c r="B97" s="135">
        <v>292484563</v>
      </c>
      <c r="C97" s="135">
        <v>189710630</v>
      </c>
      <c r="D97" s="135">
        <v>66818730</v>
      </c>
      <c r="E97" s="135">
        <v>0</v>
      </c>
      <c r="F97" s="135">
        <v>32169980</v>
      </c>
      <c r="G97" s="135">
        <v>6402580</v>
      </c>
      <c r="H97" s="135">
        <v>19719100</v>
      </c>
      <c r="I97" s="135">
        <v>1867000</v>
      </c>
      <c r="J97" s="135">
        <v>39300</v>
      </c>
      <c r="K97" s="135">
        <v>0</v>
      </c>
      <c r="L97" s="135">
        <v>252456289</v>
      </c>
      <c r="M97" s="135">
        <v>148266478</v>
      </c>
      <c r="N97" s="135">
        <v>1373</v>
      </c>
      <c r="O97" s="135">
        <v>229</v>
      </c>
      <c r="P97" s="135">
        <v>7318552</v>
      </c>
      <c r="Q97" s="135">
        <v>3050275</v>
      </c>
      <c r="R97" s="135">
        <v>2875800</v>
      </c>
      <c r="S97" s="135">
        <v>2611121</v>
      </c>
      <c r="T97" s="135">
        <v>3022714</v>
      </c>
      <c r="U97" s="135">
        <v>405101</v>
      </c>
      <c r="V97" s="135">
        <v>7318552</v>
      </c>
      <c r="W97" s="135">
        <v>3514295</v>
      </c>
      <c r="X97" s="135">
        <v>2875800</v>
      </c>
      <c r="Y97" s="135">
        <v>2611121</v>
      </c>
      <c r="Z97" s="135">
        <v>4317042</v>
      </c>
      <c r="AA97" s="135">
        <v>405101</v>
      </c>
      <c r="AB97" s="135">
        <v>-1174444</v>
      </c>
      <c r="AC97" s="135">
        <v>-40485</v>
      </c>
      <c r="AD97" s="135">
        <v>62</v>
      </c>
      <c r="AE97" s="135">
        <v>0</v>
      </c>
      <c r="AF97" s="135">
        <v>0</v>
      </c>
      <c r="AG97" s="135">
        <v>278822</v>
      </c>
      <c r="AH97" s="135">
        <v>0</v>
      </c>
      <c r="AI97" s="135">
        <v>3261352.46</v>
      </c>
      <c r="AJ97" s="139">
        <v>0</v>
      </c>
      <c r="AK97" s="82">
        <v>109400409</v>
      </c>
      <c r="AL97" s="82">
        <v>2323228</v>
      </c>
      <c r="AM97" s="135">
        <v>0</v>
      </c>
      <c r="AN97" s="135">
        <v>25066440</v>
      </c>
      <c r="AO97" s="135">
        <v>4872952</v>
      </c>
      <c r="AP97" s="135">
        <v>80103611</v>
      </c>
      <c r="AQ97" s="135">
        <v>7794115</v>
      </c>
      <c r="AR97" s="135">
        <v>5222363</v>
      </c>
      <c r="AS97" s="135">
        <v>4857446</v>
      </c>
      <c r="AT97" s="135">
        <v>406806</v>
      </c>
      <c r="AU97" s="135">
        <v>0</v>
      </c>
      <c r="AV97" s="135">
        <v>0</v>
      </c>
      <c r="AW97" s="135">
        <v>0</v>
      </c>
      <c r="AX97" s="135">
        <v>8417704</v>
      </c>
      <c r="AY97" s="135">
        <v>357875</v>
      </c>
      <c r="BD97" s="82">
        <v>6568346.75</v>
      </c>
      <c r="BE97" s="82">
        <v>3284173.38</v>
      </c>
      <c r="BF97" s="117">
        <v>3875647.6683937823</v>
      </c>
      <c r="BG97" s="118">
        <v>2961016</v>
      </c>
      <c r="BH97" s="118">
        <v>5922032</v>
      </c>
      <c r="BI97" s="117">
        <v>29318415.34</v>
      </c>
      <c r="BJ97" s="117">
        <v>29318415.34</v>
      </c>
      <c r="BK97" s="117">
        <v>58268656.539999999</v>
      </c>
      <c r="BL97" s="117">
        <v>53288197.539999999</v>
      </c>
      <c r="BM97" s="117">
        <v>0</v>
      </c>
      <c r="BN97" s="117">
        <v>0</v>
      </c>
      <c r="BO97" s="138"/>
      <c r="BP97" s="86">
        <v>790584221.72000003</v>
      </c>
      <c r="BQ97" s="86">
        <v>590008782.46000004</v>
      </c>
      <c r="BR97" s="87">
        <v>516085</v>
      </c>
      <c r="BT97" s="86">
        <v>549013923</v>
      </c>
      <c r="BU97" s="82">
        <f t="shared" si="7"/>
        <v>109400409</v>
      </c>
      <c r="BV97" s="82">
        <f t="shared" si="8"/>
        <v>2323228</v>
      </c>
      <c r="BW97" s="86">
        <f t="shared" si="9"/>
        <v>42590953</v>
      </c>
      <c r="BX97" s="86">
        <f t="shared" si="10"/>
        <v>703328513</v>
      </c>
    </row>
    <row r="98" spans="1:76" x14ac:dyDescent="0.25">
      <c r="A98" s="91" t="s">
        <v>152</v>
      </c>
      <c r="B98" s="135">
        <v>460252590</v>
      </c>
      <c r="C98" s="135">
        <v>59589584</v>
      </c>
      <c r="D98" s="135">
        <v>268561369</v>
      </c>
      <c r="E98" s="135">
        <v>500</v>
      </c>
      <c r="F98" s="135">
        <v>69494500</v>
      </c>
      <c r="G98" s="135">
        <v>48251247</v>
      </c>
      <c r="H98" s="135">
        <v>11738225</v>
      </c>
      <c r="I98" s="135">
        <v>4570000</v>
      </c>
      <c r="J98" s="135">
        <v>487300</v>
      </c>
      <c r="K98" s="135">
        <v>196500</v>
      </c>
      <c r="L98" s="135">
        <v>65265954</v>
      </c>
      <c r="M98" s="135">
        <v>44484655</v>
      </c>
      <c r="N98" s="135">
        <v>2436</v>
      </c>
      <c r="O98" s="135">
        <v>1727</v>
      </c>
      <c r="P98" s="135">
        <v>1437500</v>
      </c>
      <c r="Q98" s="135">
        <v>40000</v>
      </c>
      <c r="R98" s="135">
        <v>48500</v>
      </c>
      <c r="S98" s="135">
        <v>2092550</v>
      </c>
      <c r="T98" s="135">
        <v>124400</v>
      </c>
      <c r="U98" s="135">
        <v>61500</v>
      </c>
      <c r="V98" s="135">
        <v>1437500</v>
      </c>
      <c r="W98" s="135">
        <v>40000</v>
      </c>
      <c r="X98" s="135">
        <v>48500</v>
      </c>
      <c r="Y98" s="135">
        <v>2092550</v>
      </c>
      <c r="Z98" s="135">
        <v>124400</v>
      </c>
      <c r="AA98" s="135">
        <v>61500</v>
      </c>
      <c r="AB98" s="135">
        <v>-13046200</v>
      </c>
      <c r="AC98" s="135">
        <v>-13439649</v>
      </c>
      <c r="AD98" s="135">
        <v>133198</v>
      </c>
      <c r="AE98" s="135">
        <v>35</v>
      </c>
      <c r="AF98" s="135">
        <v>0</v>
      </c>
      <c r="AG98" s="135">
        <v>157968</v>
      </c>
      <c r="AH98" s="135">
        <v>5941452.1500000004</v>
      </c>
      <c r="AI98" s="135">
        <v>25429426.23</v>
      </c>
      <c r="AJ98" s="139">
        <v>35450540.979999997</v>
      </c>
      <c r="AK98" s="82">
        <v>205512668</v>
      </c>
      <c r="AL98" s="82">
        <v>4632543</v>
      </c>
      <c r="AM98" s="135">
        <v>42000</v>
      </c>
      <c r="AN98" s="135">
        <v>97793274</v>
      </c>
      <c r="AO98" s="135">
        <v>2960989</v>
      </c>
      <c r="AP98" s="135">
        <v>31018205</v>
      </c>
      <c r="AQ98" s="135">
        <v>48761838</v>
      </c>
      <c r="AR98" s="135">
        <v>34386055</v>
      </c>
      <c r="AS98" s="135">
        <v>250</v>
      </c>
      <c r="AT98" s="135">
        <v>259801</v>
      </c>
      <c r="AU98" s="135">
        <v>0</v>
      </c>
      <c r="AV98" s="135">
        <v>0</v>
      </c>
      <c r="AW98" s="135">
        <v>0</v>
      </c>
      <c r="AX98" s="135">
        <v>41799</v>
      </c>
      <c r="AY98" s="135">
        <v>10615900</v>
      </c>
      <c r="BD98" s="82">
        <v>12338879.51</v>
      </c>
      <c r="BE98" s="82">
        <v>6169439.7599999998</v>
      </c>
      <c r="BF98" s="117">
        <v>0</v>
      </c>
      <c r="BG98" s="118">
        <v>7526390</v>
      </c>
      <c r="BH98" s="118">
        <v>15052780</v>
      </c>
      <c r="BI98" s="117">
        <v>63454364</v>
      </c>
      <c r="BJ98" s="117">
        <v>63454364</v>
      </c>
      <c r="BK98" s="117">
        <v>103639134</v>
      </c>
      <c r="BL98" s="117">
        <v>96185451</v>
      </c>
      <c r="BM98" s="117">
        <v>0</v>
      </c>
      <c r="BN98" s="117">
        <v>0</v>
      </c>
      <c r="BO98" s="138"/>
      <c r="BP98" s="86">
        <v>1388221919.1200001</v>
      </c>
      <c r="BQ98" s="86">
        <v>1004741063.36</v>
      </c>
      <c r="BR98" s="87">
        <v>1061467</v>
      </c>
      <c r="BT98" s="86">
        <v>788403543</v>
      </c>
      <c r="BU98" s="82">
        <f t="shared" ref="BU98:BU121" si="11">AK98</f>
        <v>205512668</v>
      </c>
      <c r="BV98" s="82">
        <f t="shared" ref="BV98:BV121" si="12">AL98</f>
        <v>4632543</v>
      </c>
      <c r="BW98" s="86">
        <f t="shared" ref="BW98:BW121" si="13">AN98+AO98+AQ98+AS98</f>
        <v>149516351</v>
      </c>
      <c r="BX98" s="86">
        <f t="shared" si="10"/>
        <v>1148065105</v>
      </c>
    </row>
    <row r="99" spans="1:76" x14ac:dyDescent="0.25">
      <c r="A99" s="91" t="s">
        <v>153</v>
      </c>
      <c r="B99" s="135">
        <v>1007466274</v>
      </c>
      <c r="C99" s="135">
        <v>143001761</v>
      </c>
      <c r="D99" s="135">
        <v>440359702</v>
      </c>
      <c r="E99" s="135">
        <v>0</v>
      </c>
      <c r="F99" s="135">
        <v>150904973</v>
      </c>
      <c r="G99" s="135">
        <v>151462150</v>
      </c>
      <c r="H99" s="135">
        <v>31072950</v>
      </c>
      <c r="I99" s="135">
        <v>22333900</v>
      </c>
      <c r="J99" s="135">
        <v>658500</v>
      </c>
      <c r="K99" s="135">
        <v>332800</v>
      </c>
      <c r="L99" s="135">
        <v>163092883</v>
      </c>
      <c r="M99" s="135">
        <v>151437351</v>
      </c>
      <c r="N99" s="135">
        <v>5598</v>
      </c>
      <c r="O99" s="135">
        <v>5872</v>
      </c>
      <c r="P99" s="135">
        <v>8055130</v>
      </c>
      <c r="Q99" s="135">
        <v>56500</v>
      </c>
      <c r="R99" s="135">
        <v>14866000</v>
      </c>
      <c r="S99" s="135">
        <v>9317200</v>
      </c>
      <c r="T99" s="135">
        <v>523600</v>
      </c>
      <c r="U99" s="135">
        <v>6510700</v>
      </c>
      <c r="V99" s="135">
        <v>8055130</v>
      </c>
      <c r="W99" s="135">
        <v>85000</v>
      </c>
      <c r="X99" s="135">
        <v>14866000</v>
      </c>
      <c r="Y99" s="135">
        <v>9317200</v>
      </c>
      <c r="Z99" s="135">
        <v>661700</v>
      </c>
      <c r="AA99" s="135">
        <v>6510700</v>
      </c>
      <c r="AB99" s="135">
        <v>1150000</v>
      </c>
      <c r="AC99" s="135">
        <v>305000</v>
      </c>
      <c r="AD99" s="135">
        <v>378674</v>
      </c>
      <c r="AE99" s="135">
        <v>0</v>
      </c>
      <c r="AF99" s="135">
        <v>0</v>
      </c>
      <c r="AG99" s="135">
        <v>495379</v>
      </c>
      <c r="AH99" s="135">
        <v>4751885.25</v>
      </c>
      <c r="AI99" s="135">
        <v>123619401.64</v>
      </c>
      <c r="AJ99" s="139">
        <v>76926327.870000005</v>
      </c>
      <c r="AK99" s="82">
        <v>474830022</v>
      </c>
      <c r="AL99" s="82">
        <v>9494983</v>
      </c>
      <c r="AM99" s="135">
        <v>0</v>
      </c>
      <c r="AN99" s="135">
        <v>134334390</v>
      </c>
      <c r="AO99" s="135">
        <v>8525222</v>
      </c>
      <c r="AP99" s="135">
        <v>166667071</v>
      </c>
      <c r="AQ99" s="135">
        <v>106144436</v>
      </c>
      <c r="AR99" s="135">
        <v>67176766</v>
      </c>
      <c r="AS99" s="135">
        <v>396151</v>
      </c>
      <c r="AT99" s="135">
        <v>73300</v>
      </c>
      <c r="AU99" s="135">
        <v>0</v>
      </c>
      <c r="AV99" s="135">
        <v>0</v>
      </c>
      <c r="AW99" s="135">
        <v>0</v>
      </c>
      <c r="AX99" s="135">
        <v>250841</v>
      </c>
      <c r="AY99" s="135">
        <v>1056500</v>
      </c>
      <c r="BD99" s="82">
        <v>28508560.989999998</v>
      </c>
      <c r="BE99" s="82">
        <v>14254280.5</v>
      </c>
      <c r="BF99" s="117">
        <v>0</v>
      </c>
      <c r="BG99" s="118">
        <v>8455266</v>
      </c>
      <c r="BH99" s="118">
        <v>16910532</v>
      </c>
      <c r="BI99" s="117">
        <v>145452758</v>
      </c>
      <c r="BJ99" s="117">
        <v>145452758</v>
      </c>
      <c r="BK99" s="117">
        <v>201410083</v>
      </c>
      <c r="BL99" s="117">
        <v>191352466</v>
      </c>
      <c r="BM99" s="117">
        <v>0</v>
      </c>
      <c r="BN99" s="117">
        <v>0</v>
      </c>
      <c r="BO99" s="138"/>
      <c r="BP99" s="86">
        <v>2888969175.2600002</v>
      </c>
      <c r="BQ99" s="86">
        <v>2045129399.7600002</v>
      </c>
      <c r="BR99" s="87">
        <v>11087804</v>
      </c>
      <c r="BT99" s="86">
        <v>1590827737</v>
      </c>
      <c r="BU99" s="82">
        <f t="shared" si="11"/>
        <v>474830022</v>
      </c>
      <c r="BV99" s="82">
        <f t="shared" si="12"/>
        <v>9494983</v>
      </c>
      <c r="BW99" s="86">
        <f t="shared" si="13"/>
        <v>249400199</v>
      </c>
      <c r="BX99" s="86">
        <f t="shared" si="10"/>
        <v>2324552941</v>
      </c>
    </row>
    <row r="100" spans="1:76" x14ac:dyDescent="0.25">
      <c r="A100" s="91" t="s">
        <v>154</v>
      </c>
      <c r="B100" s="135">
        <v>262919974</v>
      </c>
      <c r="C100" s="135">
        <v>62953084</v>
      </c>
      <c r="D100" s="135">
        <v>84522428</v>
      </c>
      <c r="E100" s="135">
        <v>0</v>
      </c>
      <c r="F100" s="135">
        <v>29536348</v>
      </c>
      <c r="G100" s="135">
        <v>14056768</v>
      </c>
      <c r="H100" s="135">
        <v>5597010</v>
      </c>
      <c r="I100" s="135">
        <v>1452885</v>
      </c>
      <c r="J100" s="135">
        <v>100600</v>
      </c>
      <c r="K100" s="135">
        <v>39300</v>
      </c>
      <c r="L100" s="135">
        <v>31786103</v>
      </c>
      <c r="M100" s="135">
        <v>33143017</v>
      </c>
      <c r="N100" s="135">
        <v>1014</v>
      </c>
      <c r="O100" s="135">
        <v>510</v>
      </c>
      <c r="P100" s="135">
        <v>4463449</v>
      </c>
      <c r="Q100" s="135">
        <v>678200</v>
      </c>
      <c r="R100" s="135">
        <v>145000</v>
      </c>
      <c r="S100" s="135">
        <v>2322545</v>
      </c>
      <c r="T100" s="135">
        <v>638592</v>
      </c>
      <c r="U100" s="135">
        <v>425700</v>
      </c>
      <c r="V100" s="135">
        <v>4463449</v>
      </c>
      <c r="W100" s="135">
        <v>678200</v>
      </c>
      <c r="X100" s="135">
        <v>145000</v>
      </c>
      <c r="Y100" s="135">
        <v>2322545</v>
      </c>
      <c r="Z100" s="135">
        <v>538592</v>
      </c>
      <c r="AA100" s="135">
        <v>425700</v>
      </c>
      <c r="AB100" s="135">
        <v>-2439189</v>
      </c>
      <c r="AC100" s="135">
        <v>0</v>
      </c>
      <c r="AD100" s="135">
        <v>63492</v>
      </c>
      <c r="AE100" s="135">
        <v>0</v>
      </c>
      <c r="AF100" s="135">
        <v>0</v>
      </c>
      <c r="AG100" s="135">
        <v>77640</v>
      </c>
      <c r="AH100" s="135">
        <v>226122.95</v>
      </c>
      <c r="AI100" s="135">
        <v>748622.95</v>
      </c>
      <c r="AJ100" s="139">
        <v>0</v>
      </c>
      <c r="AK100" s="82">
        <v>85794711</v>
      </c>
      <c r="AL100" s="82">
        <v>1695230</v>
      </c>
      <c r="AM100" s="135">
        <v>0</v>
      </c>
      <c r="AN100" s="135">
        <v>8575694</v>
      </c>
      <c r="AO100" s="135">
        <v>187847</v>
      </c>
      <c r="AP100" s="135">
        <v>16915761</v>
      </c>
      <c r="AQ100" s="135">
        <v>12344468</v>
      </c>
      <c r="AR100" s="135">
        <v>8515426</v>
      </c>
      <c r="AS100" s="135">
        <v>0</v>
      </c>
      <c r="AT100" s="135">
        <v>0</v>
      </c>
      <c r="AU100" s="135">
        <v>0</v>
      </c>
      <c r="AV100" s="135">
        <v>0</v>
      </c>
      <c r="AW100" s="135">
        <v>0</v>
      </c>
      <c r="AX100" s="135">
        <v>6628687</v>
      </c>
      <c r="AY100" s="135">
        <v>56300</v>
      </c>
      <c r="BD100" s="82">
        <v>5151072.25</v>
      </c>
      <c r="BE100" s="82">
        <v>2575536.13</v>
      </c>
      <c r="BF100" s="117">
        <v>0</v>
      </c>
      <c r="BG100" s="118">
        <v>0</v>
      </c>
      <c r="BH100" s="118">
        <v>0</v>
      </c>
      <c r="BI100" s="117">
        <v>9791533</v>
      </c>
      <c r="BJ100" s="117">
        <v>9791533</v>
      </c>
      <c r="BK100" s="117">
        <v>192181439</v>
      </c>
      <c r="BL100" s="117">
        <v>192158103</v>
      </c>
      <c r="BM100" s="117">
        <v>0</v>
      </c>
      <c r="BN100" s="117">
        <v>0</v>
      </c>
      <c r="BO100" s="138"/>
      <c r="BP100" s="86">
        <v>724493354.02999997</v>
      </c>
      <c r="BQ100" s="86">
        <v>432478240.89999998</v>
      </c>
      <c r="BR100" s="87">
        <v>984476</v>
      </c>
      <c r="BT100" s="86">
        <v>410395486</v>
      </c>
      <c r="BU100" s="82">
        <f t="shared" si="11"/>
        <v>85794711</v>
      </c>
      <c r="BV100" s="82">
        <f t="shared" si="12"/>
        <v>1695230</v>
      </c>
      <c r="BW100" s="86">
        <f t="shared" si="13"/>
        <v>21108009</v>
      </c>
      <c r="BX100" s="86">
        <f t="shared" si="10"/>
        <v>518993436</v>
      </c>
    </row>
    <row r="101" spans="1:76" x14ac:dyDescent="0.25">
      <c r="A101" s="91" t="s">
        <v>155</v>
      </c>
      <c r="B101" s="135">
        <v>2234535697</v>
      </c>
      <c r="C101" s="135">
        <v>349568549</v>
      </c>
      <c r="D101" s="135">
        <v>836590449</v>
      </c>
      <c r="E101" s="135">
        <v>0</v>
      </c>
      <c r="F101" s="135">
        <v>194498564</v>
      </c>
      <c r="G101" s="135">
        <v>37907571</v>
      </c>
      <c r="H101" s="135">
        <v>33462290</v>
      </c>
      <c r="I101" s="135">
        <v>4085050</v>
      </c>
      <c r="J101" s="135">
        <v>353700</v>
      </c>
      <c r="K101" s="135">
        <v>39300</v>
      </c>
      <c r="L101" s="135">
        <v>621224310</v>
      </c>
      <c r="M101" s="135">
        <v>237367633</v>
      </c>
      <c r="N101" s="135">
        <v>6175</v>
      </c>
      <c r="O101" s="135">
        <v>1254</v>
      </c>
      <c r="P101" s="135">
        <v>17648900</v>
      </c>
      <c r="Q101" s="135">
        <v>1886000</v>
      </c>
      <c r="R101" s="135">
        <v>6694000</v>
      </c>
      <c r="S101" s="135">
        <v>5708961</v>
      </c>
      <c r="T101" s="135">
        <v>958000</v>
      </c>
      <c r="U101" s="135">
        <v>1953000</v>
      </c>
      <c r="V101" s="135">
        <v>17648900</v>
      </c>
      <c r="W101" s="135">
        <v>1886000</v>
      </c>
      <c r="X101" s="135">
        <v>6694000</v>
      </c>
      <c r="Y101" s="135">
        <v>5708961</v>
      </c>
      <c r="Z101" s="135">
        <v>958000</v>
      </c>
      <c r="AA101" s="135">
        <v>1953000</v>
      </c>
      <c r="AB101" s="135">
        <v>-13140638</v>
      </c>
      <c r="AC101" s="135">
        <v>-28912</v>
      </c>
      <c r="AD101" s="135">
        <v>43895</v>
      </c>
      <c r="AE101" s="135">
        <v>0</v>
      </c>
      <c r="AF101" s="135">
        <v>0</v>
      </c>
      <c r="AG101" s="135">
        <v>300162</v>
      </c>
      <c r="AH101" s="135">
        <v>12196.72</v>
      </c>
      <c r="AI101" s="135">
        <v>482729.51</v>
      </c>
      <c r="AJ101" s="139">
        <v>0</v>
      </c>
      <c r="AK101" s="82">
        <v>476135233</v>
      </c>
      <c r="AL101" s="82">
        <v>30953872</v>
      </c>
      <c r="AM101" s="135">
        <v>7866520</v>
      </c>
      <c r="AN101" s="135">
        <v>126212677</v>
      </c>
      <c r="AO101" s="135">
        <v>18586416</v>
      </c>
      <c r="AP101" s="135">
        <v>354521378</v>
      </c>
      <c r="AQ101" s="135">
        <v>134041762</v>
      </c>
      <c r="AR101" s="135">
        <v>167351636</v>
      </c>
      <c r="AS101" s="135">
        <v>28525344</v>
      </c>
      <c r="AT101" s="135">
        <f>10423417+141</f>
        <v>10423558</v>
      </c>
      <c r="AU101" s="135">
        <v>0</v>
      </c>
      <c r="AV101" s="135">
        <v>109748</v>
      </c>
      <c r="AW101" s="135">
        <v>0</v>
      </c>
      <c r="AX101" s="135">
        <v>1429359</v>
      </c>
      <c r="AY101" s="135">
        <v>3234245</v>
      </c>
      <c r="BD101" s="82">
        <v>28586925.219999999</v>
      </c>
      <c r="BE101" s="82">
        <v>14293462.609999999</v>
      </c>
      <c r="BF101" s="117">
        <v>0</v>
      </c>
      <c r="BG101" s="118">
        <v>5386771</v>
      </c>
      <c r="BH101" s="118">
        <v>10773542</v>
      </c>
      <c r="BI101" s="117">
        <v>110424247</v>
      </c>
      <c r="BJ101" s="117">
        <v>110424247</v>
      </c>
      <c r="BK101" s="117">
        <v>163846621</v>
      </c>
      <c r="BL101" s="117">
        <v>151044080</v>
      </c>
      <c r="BM101" s="117">
        <v>0</v>
      </c>
      <c r="BN101" s="117">
        <v>0</v>
      </c>
      <c r="BO101" s="138"/>
      <c r="BP101" s="86">
        <v>4488268141.8400002</v>
      </c>
      <c r="BQ101" s="86">
        <v>3700030476.23</v>
      </c>
      <c r="BR101" s="87">
        <v>4387500</v>
      </c>
      <c r="BT101" s="86">
        <v>3420694695</v>
      </c>
      <c r="BU101" s="82">
        <f t="shared" si="11"/>
        <v>476135233</v>
      </c>
      <c r="BV101" s="82">
        <f t="shared" si="12"/>
        <v>30953872</v>
      </c>
      <c r="BW101" s="86">
        <f t="shared" si="13"/>
        <v>307366199</v>
      </c>
      <c r="BX101" s="86">
        <f t="shared" si="10"/>
        <v>4235149999</v>
      </c>
    </row>
    <row r="102" spans="1:76" x14ac:dyDescent="0.25">
      <c r="A102" s="91" t="s">
        <v>156</v>
      </c>
      <c r="B102" s="135">
        <v>22387741</v>
      </c>
      <c r="C102" s="135">
        <v>40396490</v>
      </c>
      <c r="D102" s="135">
        <v>4210308</v>
      </c>
      <c r="E102" s="135">
        <v>0</v>
      </c>
      <c r="F102" s="135">
        <v>4167825</v>
      </c>
      <c r="G102" s="135">
        <v>1233750</v>
      </c>
      <c r="H102" s="135">
        <v>3588364</v>
      </c>
      <c r="I102" s="135">
        <v>1291386</v>
      </c>
      <c r="J102" s="135">
        <v>0</v>
      </c>
      <c r="K102" s="135">
        <v>0</v>
      </c>
      <c r="L102" s="135">
        <v>59136322</v>
      </c>
      <c r="M102" s="135">
        <v>23247511</v>
      </c>
      <c r="N102" s="135">
        <v>210</v>
      </c>
      <c r="O102" s="135">
        <v>73</v>
      </c>
      <c r="P102" s="135">
        <v>703400</v>
      </c>
      <c r="Q102" s="135">
        <v>1034044</v>
      </c>
      <c r="R102" s="135">
        <v>59200</v>
      </c>
      <c r="S102" s="135">
        <v>268453</v>
      </c>
      <c r="T102" s="135">
        <v>69535</v>
      </c>
      <c r="U102" s="135">
        <v>132000</v>
      </c>
      <c r="V102" s="135">
        <v>703400</v>
      </c>
      <c r="W102" s="135">
        <v>1090709</v>
      </c>
      <c r="X102" s="135">
        <v>59200</v>
      </c>
      <c r="Y102" s="135">
        <v>268453</v>
      </c>
      <c r="Z102" s="135">
        <v>125250</v>
      </c>
      <c r="AA102" s="135">
        <v>132000</v>
      </c>
      <c r="AB102" s="135">
        <v>-422600</v>
      </c>
      <c r="AC102" s="135">
        <v>-1569</v>
      </c>
      <c r="AD102" s="135">
        <v>0</v>
      </c>
      <c r="AE102" s="135">
        <v>0</v>
      </c>
      <c r="AF102" s="135">
        <v>0</v>
      </c>
      <c r="AG102" s="135">
        <v>0</v>
      </c>
      <c r="AJ102" s="139"/>
      <c r="AK102" s="82">
        <v>15350078</v>
      </c>
      <c r="AL102" s="82">
        <v>202281</v>
      </c>
      <c r="AM102" s="135">
        <v>0</v>
      </c>
      <c r="AN102" s="135">
        <v>1210897</v>
      </c>
      <c r="AO102" s="135">
        <v>21975</v>
      </c>
      <c r="AP102" s="135">
        <v>0</v>
      </c>
      <c r="AQ102" s="135">
        <v>1424489</v>
      </c>
      <c r="AR102" s="135">
        <v>0</v>
      </c>
      <c r="AS102" s="135">
        <v>0</v>
      </c>
      <c r="AT102" s="135">
        <v>80517</v>
      </c>
      <c r="AU102" s="135">
        <v>0</v>
      </c>
      <c r="AV102" s="135">
        <v>0</v>
      </c>
      <c r="AW102" s="135">
        <v>0</v>
      </c>
      <c r="AX102" s="135">
        <v>0</v>
      </c>
      <c r="AY102" s="135">
        <v>0</v>
      </c>
      <c r="BD102" s="82">
        <v>921611.13</v>
      </c>
      <c r="BE102" s="82">
        <v>460805.57</v>
      </c>
      <c r="BF102" s="117">
        <v>0</v>
      </c>
      <c r="BG102" s="118">
        <v>0</v>
      </c>
      <c r="BH102" s="118">
        <v>0</v>
      </c>
      <c r="BI102" s="117">
        <v>13436391</v>
      </c>
      <c r="BJ102" s="117">
        <v>13436391</v>
      </c>
      <c r="BK102" s="117">
        <v>9821738</v>
      </c>
      <c r="BL102" s="117">
        <v>9819942</v>
      </c>
      <c r="BM102" s="117">
        <v>0</v>
      </c>
      <c r="BN102" s="117">
        <v>0</v>
      </c>
      <c r="BO102" s="138"/>
      <c r="BP102" s="86">
        <v>108921397.56999999</v>
      </c>
      <c r="BQ102" s="86">
        <v>69651900</v>
      </c>
      <c r="BR102" s="87"/>
      <c r="BT102" s="86">
        <v>66994539</v>
      </c>
      <c r="BU102" s="82">
        <f t="shared" si="11"/>
        <v>15350078</v>
      </c>
      <c r="BV102" s="82">
        <f t="shared" si="12"/>
        <v>202281</v>
      </c>
      <c r="BW102" s="86">
        <f t="shared" si="13"/>
        <v>2657361</v>
      </c>
      <c r="BX102" s="86">
        <f t="shared" si="10"/>
        <v>85204259</v>
      </c>
    </row>
    <row r="103" spans="1:76" x14ac:dyDescent="0.25">
      <c r="A103" s="91" t="s">
        <v>157</v>
      </c>
      <c r="B103" s="135">
        <v>274239056</v>
      </c>
      <c r="C103" s="135">
        <v>101237201</v>
      </c>
      <c r="D103" s="135">
        <v>75015551</v>
      </c>
      <c r="E103" s="135">
        <v>0</v>
      </c>
      <c r="F103" s="135">
        <v>47303750</v>
      </c>
      <c r="G103" s="135">
        <v>14153900</v>
      </c>
      <c r="H103" s="135">
        <v>14334900</v>
      </c>
      <c r="I103" s="135">
        <v>2125800</v>
      </c>
      <c r="J103" s="135">
        <v>78600</v>
      </c>
      <c r="K103" s="135">
        <v>0</v>
      </c>
      <c r="L103" s="135">
        <v>153408729</v>
      </c>
      <c r="M103" s="135">
        <v>76882300</v>
      </c>
      <c r="N103" s="135">
        <v>1687</v>
      </c>
      <c r="O103" s="135">
        <v>484</v>
      </c>
      <c r="P103" s="135">
        <v>3505500</v>
      </c>
      <c r="Q103" s="135">
        <v>294300</v>
      </c>
      <c r="R103" s="135">
        <v>167500</v>
      </c>
      <c r="S103" s="135">
        <v>1972570</v>
      </c>
      <c r="T103" s="135">
        <v>97000</v>
      </c>
      <c r="U103" s="135">
        <v>381500</v>
      </c>
      <c r="V103" s="135">
        <v>3505500</v>
      </c>
      <c r="W103" s="135">
        <v>294300</v>
      </c>
      <c r="X103" s="135">
        <v>167500</v>
      </c>
      <c r="Y103" s="135">
        <v>1972570</v>
      </c>
      <c r="Z103" s="135">
        <v>89500</v>
      </c>
      <c r="AA103" s="135">
        <v>381500</v>
      </c>
      <c r="AB103" s="135">
        <v>-3921100</v>
      </c>
      <c r="AC103" s="135">
        <v>0</v>
      </c>
      <c r="AD103" s="135">
        <v>0</v>
      </c>
      <c r="AE103" s="135">
        <v>0</v>
      </c>
      <c r="AF103" s="135">
        <v>0</v>
      </c>
      <c r="AG103" s="135">
        <v>0</v>
      </c>
      <c r="AH103" s="135">
        <v>28196.720000000001</v>
      </c>
      <c r="AI103" s="135">
        <v>260844.26</v>
      </c>
      <c r="AJ103" s="139">
        <v>0</v>
      </c>
      <c r="AK103" s="82">
        <v>95545959</v>
      </c>
      <c r="AL103" s="82">
        <v>2434495</v>
      </c>
      <c r="AM103" s="135">
        <v>0</v>
      </c>
      <c r="AN103" s="135">
        <v>22223210</v>
      </c>
      <c r="AO103" s="135">
        <v>137326</v>
      </c>
      <c r="AP103" s="135">
        <v>11240516</v>
      </c>
      <c r="AQ103" s="135">
        <v>5711691</v>
      </c>
      <c r="AR103" s="135">
        <v>3353354</v>
      </c>
      <c r="AS103" s="135">
        <v>0</v>
      </c>
      <c r="AT103" s="135">
        <v>0</v>
      </c>
      <c r="AU103" s="135">
        <v>0</v>
      </c>
      <c r="AV103" s="135">
        <v>0</v>
      </c>
      <c r="AW103" s="135">
        <v>0</v>
      </c>
      <c r="AX103" s="135">
        <v>206908</v>
      </c>
      <c r="AY103" s="135">
        <v>7000</v>
      </c>
      <c r="BD103" s="82">
        <v>5736532.3899999997</v>
      </c>
      <c r="BE103" s="82">
        <v>2868266.2</v>
      </c>
      <c r="BF103" s="117">
        <v>0</v>
      </c>
      <c r="BG103" s="118">
        <v>2869908</v>
      </c>
      <c r="BH103" s="118">
        <v>5739815</v>
      </c>
      <c r="BI103" s="117">
        <v>8487057</v>
      </c>
      <c r="BJ103" s="117">
        <v>8487057</v>
      </c>
      <c r="BK103" s="117">
        <v>40807980</v>
      </c>
      <c r="BL103" s="117">
        <v>37661068</v>
      </c>
      <c r="BM103" s="117">
        <v>0</v>
      </c>
      <c r="BN103" s="117">
        <v>0</v>
      </c>
      <c r="BO103" s="138"/>
      <c r="BP103" s="86">
        <v>628719829.18000007</v>
      </c>
      <c r="BQ103" s="86">
        <v>478853075.98000002</v>
      </c>
      <c r="BR103" s="87"/>
      <c r="BT103" s="86">
        <v>450491808</v>
      </c>
      <c r="BU103" s="82">
        <f t="shared" si="11"/>
        <v>95545959</v>
      </c>
      <c r="BV103" s="82">
        <f t="shared" si="12"/>
        <v>2434495</v>
      </c>
      <c r="BW103" s="86">
        <f t="shared" si="13"/>
        <v>28072227</v>
      </c>
      <c r="BX103" s="86">
        <f t="shared" si="10"/>
        <v>576544489</v>
      </c>
    </row>
    <row r="104" spans="1:76" x14ac:dyDescent="0.25">
      <c r="A104" s="91" t="s">
        <v>158</v>
      </c>
      <c r="B104" s="135">
        <v>580346111</v>
      </c>
      <c r="C104" s="135">
        <v>107906109</v>
      </c>
      <c r="D104" s="135">
        <v>325615882</v>
      </c>
      <c r="E104" s="135">
        <v>0</v>
      </c>
      <c r="F104" s="135">
        <v>56029695</v>
      </c>
      <c r="G104" s="135">
        <v>10565423</v>
      </c>
      <c r="H104" s="135">
        <v>15431581</v>
      </c>
      <c r="I104" s="135">
        <v>1194174</v>
      </c>
      <c r="J104" s="135">
        <v>0</v>
      </c>
      <c r="K104" s="135">
        <v>39300</v>
      </c>
      <c r="L104" s="135">
        <v>97890559</v>
      </c>
      <c r="M104" s="135">
        <v>57207913</v>
      </c>
      <c r="N104" s="135">
        <v>1973</v>
      </c>
      <c r="O104" s="135">
        <v>382</v>
      </c>
      <c r="P104" s="135">
        <v>5732736</v>
      </c>
      <c r="Q104" s="135">
        <v>162250</v>
      </c>
      <c r="R104" s="135">
        <v>4072580</v>
      </c>
      <c r="S104" s="135">
        <v>1429550</v>
      </c>
      <c r="T104" s="135">
        <v>207510</v>
      </c>
      <c r="U104" s="135">
        <v>170825</v>
      </c>
      <c r="V104" s="135">
        <v>5732736</v>
      </c>
      <c r="W104" s="135">
        <v>272500</v>
      </c>
      <c r="X104" s="135">
        <v>4072580</v>
      </c>
      <c r="Y104" s="135">
        <v>1429550</v>
      </c>
      <c r="Z104" s="135">
        <v>333622</v>
      </c>
      <c r="AA104" s="135">
        <v>170825</v>
      </c>
      <c r="AB104" s="135">
        <v>-5663937</v>
      </c>
      <c r="AC104" s="135">
        <v>-267014</v>
      </c>
      <c r="AD104" s="135">
        <v>0</v>
      </c>
      <c r="AE104" s="135">
        <v>0</v>
      </c>
      <c r="AF104" s="135">
        <v>0</v>
      </c>
      <c r="AG104" s="135">
        <v>0</v>
      </c>
      <c r="AJ104" s="139"/>
      <c r="AK104" s="82">
        <v>147265053</v>
      </c>
      <c r="AL104" s="82">
        <v>5129952</v>
      </c>
      <c r="AM104" s="135">
        <v>1509495</v>
      </c>
      <c r="AN104" s="135">
        <v>37078269</v>
      </c>
      <c r="AO104" s="135">
        <v>1198672</v>
      </c>
      <c r="AP104" s="135">
        <v>82142585</v>
      </c>
      <c r="AQ104" s="135">
        <v>46269335</v>
      </c>
      <c r="AR104" s="135">
        <v>56311172</v>
      </c>
      <c r="AS104" s="135">
        <v>22140966</v>
      </c>
      <c r="AT104" s="135">
        <v>609175</v>
      </c>
      <c r="AU104" s="135">
        <v>0</v>
      </c>
      <c r="AV104" s="135">
        <v>0</v>
      </c>
      <c r="AW104" s="135">
        <v>13225</v>
      </c>
      <c r="AX104" s="135">
        <v>84652</v>
      </c>
      <c r="AY104" s="135">
        <v>114000</v>
      </c>
      <c r="BD104" s="82">
        <v>8841721.3499999996</v>
      </c>
      <c r="BE104" s="82">
        <v>4420860.68</v>
      </c>
      <c r="BF104" s="117">
        <v>0</v>
      </c>
      <c r="BG104" s="118">
        <v>0</v>
      </c>
      <c r="BH104" s="118">
        <v>0</v>
      </c>
      <c r="BI104" s="117">
        <v>25783324</v>
      </c>
      <c r="BJ104" s="117">
        <v>25783324</v>
      </c>
      <c r="BK104" s="117">
        <v>91367549</v>
      </c>
      <c r="BL104" s="117">
        <v>91293391</v>
      </c>
      <c r="BM104" s="117">
        <v>0</v>
      </c>
      <c r="BN104" s="117">
        <v>0</v>
      </c>
      <c r="BO104" s="138"/>
      <c r="BP104" s="86">
        <v>1372306958.6800001</v>
      </c>
      <c r="BQ104" s="86">
        <v>1098414378</v>
      </c>
      <c r="BR104" s="87"/>
      <c r="BT104" s="86">
        <v>1013868102</v>
      </c>
      <c r="BU104" s="82">
        <f t="shared" si="11"/>
        <v>147265053</v>
      </c>
      <c r="BV104" s="82">
        <f t="shared" si="12"/>
        <v>5129952</v>
      </c>
      <c r="BW104" s="86">
        <f t="shared" si="13"/>
        <v>106687242</v>
      </c>
      <c r="BX104" s="86">
        <f t="shared" si="10"/>
        <v>1272950349</v>
      </c>
    </row>
    <row r="105" spans="1:76" x14ac:dyDescent="0.25">
      <c r="A105" s="91" t="s">
        <v>159</v>
      </c>
      <c r="B105" s="135">
        <v>562710629</v>
      </c>
      <c r="C105" s="135">
        <v>129033482</v>
      </c>
      <c r="D105" s="135">
        <v>196774173</v>
      </c>
      <c r="E105" s="135">
        <v>0</v>
      </c>
      <c r="F105" s="135">
        <v>59766850</v>
      </c>
      <c r="G105" s="135">
        <v>11973550</v>
      </c>
      <c r="H105" s="135">
        <v>17115950</v>
      </c>
      <c r="I105" s="135">
        <v>1416050</v>
      </c>
      <c r="J105" s="135">
        <v>235800</v>
      </c>
      <c r="K105" s="135">
        <v>0</v>
      </c>
      <c r="L105" s="135">
        <v>264251443</v>
      </c>
      <c r="M105" s="135">
        <v>101633402</v>
      </c>
      <c r="N105" s="135">
        <v>2095</v>
      </c>
      <c r="O105" s="135">
        <v>425</v>
      </c>
      <c r="P105" s="135">
        <v>9742950</v>
      </c>
      <c r="Q105" s="135">
        <v>2975550</v>
      </c>
      <c r="R105" s="135">
        <v>3479900</v>
      </c>
      <c r="S105" s="135">
        <v>7115950</v>
      </c>
      <c r="T105" s="135">
        <v>1081750</v>
      </c>
      <c r="U105" s="135">
        <v>1572450</v>
      </c>
      <c r="V105" s="135">
        <v>9742950</v>
      </c>
      <c r="W105" s="135">
        <v>3588500</v>
      </c>
      <c r="X105" s="135">
        <v>3479900</v>
      </c>
      <c r="Y105" s="135">
        <v>7115537</v>
      </c>
      <c r="Z105" s="135">
        <v>1837950</v>
      </c>
      <c r="AA105" s="135">
        <v>1572450</v>
      </c>
      <c r="AB105" s="135">
        <v>-3172850</v>
      </c>
      <c r="AC105" s="135">
        <v>-150716</v>
      </c>
      <c r="AD105" s="135">
        <v>0</v>
      </c>
      <c r="AE105" s="135">
        <v>0</v>
      </c>
      <c r="AF105" s="135">
        <v>0</v>
      </c>
      <c r="AG105" s="135">
        <v>0</v>
      </c>
      <c r="AH105" s="135">
        <v>97237.7</v>
      </c>
      <c r="AI105" s="135">
        <v>0</v>
      </c>
      <c r="AJ105" s="139">
        <v>0</v>
      </c>
      <c r="AK105" s="82">
        <v>111347168</v>
      </c>
      <c r="AL105" s="82">
        <v>26775554</v>
      </c>
      <c r="AM105" s="135">
        <v>25676327</v>
      </c>
      <c r="AN105" s="135">
        <v>17698983</v>
      </c>
      <c r="AO105" s="135">
        <v>384610</v>
      </c>
      <c r="AP105" s="135">
        <v>89913272</v>
      </c>
      <c r="AQ105" s="135">
        <v>25888402</v>
      </c>
      <c r="AR105" s="135">
        <v>47843311</v>
      </c>
      <c r="AS105" s="135">
        <v>43345728</v>
      </c>
      <c r="AT105" s="135">
        <f>821297+250</f>
        <v>821547</v>
      </c>
      <c r="AU105" s="135">
        <v>0</v>
      </c>
      <c r="AV105" s="135">
        <v>0</v>
      </c>
      <c r="AW105" s="135">
        <v>0</v>
      </c>
      <c r="AX105" s="135">
        <v>6000</v>
      </c>
      <c r="AY105" s="135">
        <v>1738000</v>
      </c>
      <c r="BD105" s="82">
        <v>6685229.2000000002</v>
      </c>
      <c r="BE105" s="82">
        <v>3342614.6</v>
      </c>
      <c r="BF105" s="117">
        <v>0</v>
      </c>
      <c r="BG105" s="118">
        <v>0</v>
      </c>
      <c r="BH105" s="118">
        <v>0</v>
      </c>
      <c r="BI105" s="117">
        <v>2417467</v>
      </c>
      <c r="BJ105" s="117">
        <v>2417467</v>
      </c>
      <c r="BK105" s="117">
        <v>69957089</v>
      </c>
      <c r="BL105" s="117">
        <v>69857234</v>
      </c>
      <c r="BM105" s="117">
        <v>0</v>
      </c>
      <c r="BN105" s="117">
        <v>0</v>
      </c>
      <c r="BO105" s="138"/>
      <c r="BP105" s="86">
        <v>1146327554.3</v>
      </c>
      <c r="BQ105" s="86">
        <v>932587516.70000005</v>
      </c>
      <c r="BR105" s="87"/>
      <c r="BT105" s="86">
        <v>888518284</v>
      </c>
      <c r="BU105" s="82">
        <f t="shared" si="11"/>
        <v>111347168</v>
      </c>
      <c r="BV105" s="82">
        <f t="shared" si="12"/>
        <v>26775554</v>
      </c>
      <c r="BW105" s="86">
        <f t="shared" si="13"/>
        <v>87317723</v>
      </c>
      <c r="BX105" s="86">
        <f t="shared" si="10"/>
        <v>1113958729</v>
      </c>
    </row>
    <row r="106" spans="1:76" x14ac:dyDescent="0.25">
      <c r="A106" s="91" t="s">
        <v>160</v>
      </c>
      <c r="B106" s="135">
        <v>2964988136</v>
      </c>
      <c r="C106" s="135">
        <v>367382415</v>
      </c>
      <c r="D106" s="135">
        <v>1240046317</v>
      </c>
      <c r="E106" s="135">
        <v>0</v>
      </c>
      <c r="F106" s="135">
        <v>116860723</v>
      </c>
      <c r="G106" s="135">
        <v>8028260</v>
      </c>
      <c r="H106" s="135">
        <v>18599003</v>
      </c>
      <c r="I106" s="135">
        <v>840544</v>
      </c>
      <c r="J106" s="135">
        <v>0</v>
      </c>
      <c r="K106" s="135">
        <v>0</v>
      </c>
      <c r="L106" s="135">
        <v>677861411</v>
      </c>
      <c r="M106" s="135">
        <v>289341828</v>
      </c>
      <c r="N106" s="135">
        <v>3481</v>
      </c>
      <c r="O106" s="135">
        <v>234</v>
      </c>
      <c r="P106" s="135">
        <v>84994929</v>
      </c>
      <c r="Q106" s="135">
        <v>498121</v>
      </c>
      <c r="R106" s="135">
        <v>22996311</v>
      </c>
      <c r="S106" s="135">
        <v>925378</v>
      </c>
      <c r="T106" s="135">
        <v>1122931</v>
      </c>
      <c r="U106" s="135">
        <v>4065799</v>
      </c>
      <c r="V106" s="135">
        <v>84994929</v>
      </c>
      <c r="W106" s="135">
        <v>10305498</v>
      </c>
      <c r="X106" s="135">
        <v>22996311</v>
      </c>
      <c r="Y106" s="135">
        <v>925378</v>
      </c>
      <c r="Z106" s="135">
        <v>6789838</v>
      </c>
      <c r="AA106" s="135">
        <v>4065799</v>
      </c>
      <c r="AB106" s="135">
        <v>-6544302</v>
      </c>
      <c r="AC106" s="135">
        <v>-1180580</v>
      </c>
      <c r="AD106" s="135">
        <v>0</v>
      </c>
      <c r="AE106" s="135">
        <v>0</v>
      </c>
      <c r="AF106" s="135">
        <v>0</v>
      </c>
      <c r="AG106" s="135">
        <v>147819</v>
      </c>
      <c r="AH106" s="135">
        <v>0</v>
      </c>
      <c r="AI106" s="135">
        <v>641729.51</v>
      </c>
      <c r="AJ106" s="139">
        <v>0</v>
      </c>
      <c r="AK106" s="82">
        <v>517246500</v>
      </c>
      <c r="AL106" s="82">
        <v>7435202</v>
      </c>
      <c r="AM106" s="135">
        <v>0</v>
      </c>
      <c r="AN106" s="135">
        <v>99005026</v>
      </c>
      <c r="AO106" s="135">
        <v>17370527</v>
      </c>
      <c r="AP106" s="135">
        <v>530960757</v>
      </c>
      <c r="AQ106" s="135">
        <v>122621023</v>
      </c>
      <c r="AR106" s="135">
        <v>158573333</v>
      </c>
      <c r="AS106" s="135">
        <v>27717199</v>
      </c>
      <c r="AT106" s="135">
        <f>47293516+2001598252</f>
        <v>2048891768</v>
      </c>
      <c r="AU106" s="135">
        <v>0</v>
      </c>
      <c r="AV106" s="135">
        <v>52951</v>
      </c>
      <c r="AW106" s="135">
        <v>0</v>
      </c>
      <c r="AX106" s="135">
        <v>4395943</v>
      </c>
      <c r="AY106" s="135">
        <v>8914781</v>
      </c>
      <c r="BD106" s="82">
        <v>31055225.469999999</v>
      </c>
      <c r="BE106" s="82">
        <v>15527612.74</v>
      </c>
      <c r="BF106" s="117">
        <v>0</v>
      </c>
      <c r="BG106" s="118">
        <v>4553274</v>
      </c>
      <c r="BH106" s="118">
        <v>9106547</v>
      </c>
      <c r="BI106" s="117">
        <v>97653648</v>
      </c>
      <c r="BJ106" s="117">
        <v>97580018</v>
      </c>
      <c r="BK106" s="117">
        <v>104605821</v>
      </c>
      <c r="BL106" s="117">
        <v>97745648</v>
      </c>
      <c r="BM106" s="117">
        <v>0</v>
      </c>
      <c r="BN106" s="117">
        <v>0</v>
      </c>
      <c r="BO106" s="138"/>
      <c r="BP106" s="86">
        <v>5552143428.25</v>
      </c>
      <c r="BQ106" s="86">
        <v>4812055173.5100002</v>
      </c>
      <c r="BR106" s="87">
        <v>5859350</v>
      </c>
      <c r="BT106" s="86">
        <v>4572416868</v>
      </c>
      <c r="BU106" s="82">
        <f t="shared" si="11"/>
        <v>517246500</v>
      </c>
      <c r="BV106" s="82">
        <f t="shared" si="12"/>
        <v>7435202</v>
      </c>
      <c r="BW106" s="86">
        <f t="shared" si="13"/>
        <v>266713775</v>
      </c>
      <c r="BX106" s="86">
        <f t="shared" si="10"/>
        <v>5363812345</v>
      </c>
    </row>
    <row r="107" spans="1:76" x14ac:dyDescent="0.25">
      <c r="A107" s="91" t="s">
        <v>161</v>
      </c>
      <c r="B107" s="135">
        <v>2239124845</v>
      </c>
      <c r="C107" s="135">
        <v>618267214</v>
      </c>
      <c r="D107" s="135">
        <v>633751417</v>
      </c>
      <c r="E107" s="135">
        <v>51433510</v>
      </c>
      <c r="F107" s="135">
        <v>108709115</v>
      </c>
      <c r="G107" s="135">
        <v>12825200</v>
      </c>
      <c r="H107" s="135">
        <v>25148528</v>
      </c>
      <c r="I107" s="135">
        <v>2186000</v>
      </c>
      <c r="J107" s="135">
        <v>78600</v>
      </c>
      <c r="K107" s="135">
        <v>0</v>
      </c>
      <c r="L107" s="135">
        <v>829834898</v>
      </c>
      <c r="M107" s="135">
        <v>426496041</v>
      </c>
      <c r="N107" s="135">
        <v>3430</v>
      </c>
      <c r="O107" s="135">
        <v>386</v>
      </c>
      <c r="P107" s="135">
        <v>74164370</v>
      </c>
      <c r="Q107" s="135">
        <v>24576603</v>
      </c>
      <c r="R107" s="135">
        <v>32404700</v>
      </c>
      <c r="S107" s="135">
        <v>6758880</v>
      </c>
      <c r="T107" s="135">
        <v>5273070</v>
      </c>
      <c r="U107" s="135">
        <v>3484275</v>
      </c>
      <c r="V107" s="135">
        <v>74164370</v>
      </c>
      <c r="W107" s="135">
        <v>24811853</v>
      </c>
      <c r="X107" s="135">
        <v>32404700</v>
      </c>
      <c r="Y107" s="135">
        <v>6758880</v>
      </c>
      <c r="Z107" s="135">
        <v>9355249</v>
      </c>
      <c r="AA107" s="135">
        <v>3484275</v>
      </c>
      <c r="AB107" s="135">
        <v>-15855800</v>
      </c>
      <c r="AC107" s="135">
        <v>-3970167</v>
      </c>
      <c r="AD107" s="135">
        <v>0</v>
      </c>
      <c r="AE107" s="135">
        <v>0</v>
      </c>
      <c r="AF107" s="135">
        <v>32146476</v>
      </c>
      <c r="AG107" s="135">
        <v>232119</v>
      </c>
      <c r="AJ107" s="139"/>
      <c r="AK107" s="82">
        <v>402271399</v>
      </c>
      <c r="AL107" s="82">
        <v>7121446</v>
      </c>
      <c r="AM107" s="135">
        <v>150000</v>
      </c>
      <c r="AN107" s="135">
        <v>177809937</v>
      </c>
      <c r="AO107" s="135">
        <v>13143246</v>
      </c>
      <c r="AP107" s="135">
        <v>349824293</v>
      </c>
      <c r="AQ107" s="135">
        <v>115191238</v>
      </c>
      <c r="AR107" s="135">
        <v>143149515</v>
      </c>
      <c r="AS107" s="135">
        <v>43426344</v>
      </c>
      <c r="AT107" s="135">
        <v>8327661</v>
      </c>
      <c r="AU107" s="135">
        <v>0</v>
      </c>
      <c r="AV107" s="135">
        <v>0</v>
      </c>
      <c r="AW107" s="135">
        <v>18843748</v>
      </c>
      <c r="AX107" s="135">
        <v>1155997</v>
      </c>
      <c r="AY107" s="135">
        <v>305180</v>
      </c>
      <c r="BD107" s="82">
        <v>24152176.949999999</v>
      </c>
      <c r="BE107" s="82">
        <v>12076088.48</v>
      </c>
      <c r="BF107" s="117">
        <v>0</v>
      </c>
      <c r="BG107" s="118">
        <v>5324846</v>
      </c>
      <c r="BH107" s="118">
        <v>10649692</v>
      </c>
      <c r="BI107" s="117">
        <v>86161052</v>
      </c>
      <c r="BJ107" s="117">
        <v>85327399</v>
      </c>
      <c r="BK107" s="117">
        <v>145540688</v>
      </c>
      <c r="BL107" s="117">
        <v>139890414</v>
      </c>
      <c r="BM107" s="117">
        <v>52312531</v>
      </c>
      <c r="BN107" s="117">
        <v>0</v>
      </c>
      <c r="BO107" s="138"/>
      <c r="BP107" s="86">
        <v>4501612020.4799995</v>
      </c>
      <c r="BQ107" s="86">
        <v>3797287897</v>
      </c>
      <c r="BR107" s="87">
        <v>2340564</v>
      </c>
      <c r="BT107" s="86">
        <v>3491143476</v>
      </c>
      <c r="BU107" s="82">
        <f t="shared" si="11"/>
        <v>402271399</v>
      </c>
      <c r="BV107" s="82">
        <f t="shared" si="12"/>
        <v>7121446</v>
      </c>
      <c r="BW107" s="86">
        <f t="shared" si="13"/>
        <v>349570765</v>
      </c>
      <c r="BX107" s="86">
        <f t="shared" si="10"/>
        <v>4250107086</v>
      </c>
    </row>
    <row r="108" spans="1:76" x14ac:dyDescent="0.25">
      <c r="A108" s="91" t="s">
        <v>162</v>
      </c>
      <c r="B108" s="135">
        <v>655364286</v>
      </c>
      <c r="C108" s="135">
        <v>213440900</v>
      </c>
      <c r="D108" s="135">
        <v>361179229</v>
      </c>
      <c r="E108" s="135">
        <v>12375665</v>
      </c>
      <c r="F108" s="135">
        <v>54454800</v>
      </c>
      <c r="G108" s="135">
        <v>4382400</v>
      </c>
      <c r="H108" s="135">
        <v>8599700</v>
      </c>
      <c r="I108" s="135">
        <v>353700</v>
      </c>
      <c r="J108" s="135">
        <v>117900</v>
      </c>
      <c r="K108" s="135">
        <v>0</v>
      </c>
      <c r="L108" s="135">
        <v>564217599</v>
      </c>
      <c r="M108" s="135">
        <v>98238700</v>
      </c>
      <c r="N108" s="135">
        <v>1634</v>
      </c>
      <c r="O108" s="135">
        <v>126</v>
      </c>
      <c r="P108" s="135">
        <v>20296219</v>
      </c>
      <c r="Q108" s="135">
        <v>1709550</v>
      </c>
      <c r="R108" s="135">
        <v>18823704</v>
      </c>
      <c r="S108" s="135">
        <v>8727618</v>
      </c>
      <c r="T108" s="135">
        <v>1426950</v>
      </c>
      <c r="U108" s="135">
        <v>994041</v>
      </c>
      <c r="V108" s="135">
        <v>20296219</v>
      </c>
      <c r="W108" s="135">
        <v>2859950</v>
      </c>
      <c r="X108" s="135">
        <v>18823704</v>
      </c>
      <c r="Y108" s="135">
        <v>8727618</v>
      </c>
      <c r="Z108" s="135">
        <v>3245037</v>
      </c>
      <c r="AA108" s="135">
        <v>994041</v>
      </c>
      <c r="AB108" s="135">
        <v>-2977400</v>
      </c>
      <c r="AC108" s="135">
        <v>-112365</v>
      </c>
      <c r="AD108" s="135">
        <v>0</v>
      </c>
      <c r="AE108" s="135">
        <v>0</v>
      </c>
      <c r="AF108" s="135">
        <v>0</v>
      </c>
      <c r="AG108" s="135">
        <v>132073</v>
      </c>
      <c r="AH108" s="135">
        <v>48057.38</v>
      </c>
      <c r="AI108" s="135">
        <v>334696.71999999997</v>
      </c>
      <c r="AJ108" s="139">
        <v>0</v>
      </c>
      <c r="AK108" s="82">
        <v>136576624</v>
      </c>
      <c r="AL108" s="82">
        <v>2712138</v>
      </c>
      <c r="AM108" s="135">
        <v>26500</v>
      </c>
      <c r="AN108" s="135">
        <v>81581317</v>
      </c>
      <c r="AO108" s="135">
        <v>12395752</v>
      </c>
      <c r="AP108" s="135">
        <v>279104355</v>
      </c>
      <c r="AQ108" s="135">
        <v>118921415</v>
      </c>
      <c r="AR108" s="135">
        <v>96909105</v>
      </c>
      <c r="AS108" s="135">
        <v>29064614</v>
      </c>
      <c r="AT108" s="135">
        <v>5705191</v>
      </c>
      <c r="AU108" s="135">
        <v>0</v>
      </c>
      <c r="AV108" s="135">
        <v>1639578</v>
      </c>
      <c r="AW108" s="135">
        <v>6209262</v>
      </c>
      <c r="AX108" s="135">
        <v>260789</v>
      </c>
      <c r="AY108" s="135">
        <v>106500</v>
      </c>
      <c r="BD108" s="82">
        <v>8199993.3300000001</v>
      </c>
      <c r="BE108" s="82">
        <v>4099996.67</v>
      </c>
      <c r="BF108" s="117">
        <v>0</v>
      </c>
      <c r="BG108" s="118">
        <v>1030661</v>
      </c>
      <c r="BH108" s="118">
        <v>2061323</v>
      </c>
      <c r="BI108" s="117">
        <v>19898552</v>
      </c>
      <c r="BJ108" s="117">
        <v>19898552</v>
      </c>
      <c r="BK108" s="117">
        <v>28976279</v>
      </c>
      <c r="BL108" s="117">
        <v>27061074</v>
      </c>
      <c r="BM108" s="117">
        <v>13113</v>
      </c>
      <c r="BN108" s="117">
        <v>9097436</v>
      </c>
      <c r="BO108" s="138"/>
      <c r="BP108" s="86">
        <v>1643755247.7700002</v>
      </c>
      <c r="BQ108" s="86">
        <v>1443265653.1000001</v>
      </c>
      <c r="BR108" s="87">
        <v>1434820</v>
      </c>
      <c r="BT108" s="86">
        <v>1229984415</v>
      </c>
      <c r="BU108" s="82">
        <f t="shared" si="11"/>
        <v>136576624</v>
      </c>
      <c r="BV108" s="82">
        <f t="shared" si="12"/>
        <v>2712138</v>
      </c>
      <c r="BW108" s="86">
        <f t="shared" si="13"/>
        <v>241963098</v>
      </c>
      <c r="BX108" s="86">
        <f t="shared" si="10"/>
        <v>1611236275</v>
      </c>
    </row>
    <row r="109" spans="1:76" x14ac:dyDescent="0.25">
      <c r="A109" s="91" t="s">
        <v>163</v>
      </c>
      <c r="B109" s="135">
        <v>1015269683</v>
      </c>
      <c r="C109" s="135">
        <v>195135313</v>
      </c>
      <c r="D109" s="135">
        <v>61266976</v>
      </c>
      <c r="E109" s="135">
        <v>0</v>
      </c>
      <c r="F109" s="135">
        <v>46415625</v>
      </c>
      <c r="G109" s="135">
        <v>6607400</v>
      </c>
      <c r="H109" s="135">
        <v>13009275</v>
      </c>
      <c r="I109" s="135">
        <v>1258500</v>
      </c>
      <c r="J109" s="135">
        <v>117900</v>
      </c>
      <c r="K109" s="135">
        <v>0</v>
      </c>
      <c r="L109" s="135">
        <v>300706178</v>
      </c>
      <c r="M109" s="135">
        <v>150489091</v>
      </c>
      <c r="N109" s="135">
        <v>1538</v>
      </c>
      <c r="O109" s="135">
        <v>208</v>
      </c>
      <c r="P109" s="135">
        <v>36535170</v>
      </c>
      <c r="Q109" s="135">
        <v>6949670</v>
      </c>
      <c r="R109" s="135">
        <v>3111270</v>
      </c>
      <c r="S109" s="135">
        <v>1466950</v>
      </c>
      <c r="T109" s="135">
        <v>831410</v>
      </c>
      <c r="U109" s="135">
        <v>69960</v>
      </c>
      <c r="V109" s="135">
        <v>36295170</v>
      </c>
      <c r="W109" s="135">
        <v>7499395</v>
      </c>
      <c r="X109" s="135">
        <v>3111270</v>
      </c>
      <c r="Y109" s="135">
        <v>1487950</v>
      </c>
      <c r="Z109" s="135">
        <v>1685145</v>
      </c>
      <c r="AA109" s="135">
        <v>69960</v>
      </c>
      <c r="AB109" s="135">
        <v>-1846412</v>
      </c>
      <c r="AC109" s="135">
        <v>-71206</v>
      </c>
      <c r="AD109" s="135">
        <v>5780</v>
      </c>
      <c r="AE109" s="135">
        <v>0</v>
      </c>
      <c r="AF109" s="135">
        <v>323874241</v>
      </c>
      <c r="AG109" s="135">
        <v>134460</v>
      </c>
      <c r="AJ109" s="139"/>
      <c r="AK109" s="82">
        <v>167494063</v>
      </c>
      <c r="AL109" s="82">
        <v>8624286</v>
      </c>
      <c r="AM109" s="135">
        <v>415595</v>
      </c>
      <c r="AN109" s="135">
        <v>8281134</v>
      </c>
      <c r="AO109" s="135">
        <v>106776</v>
      </c>
      <c r="AP109" s="135">
        <v>245531</v>
      </c>
      <c r="AQ109" s="135">
        <v>3414196</v>
      </c>
      <c r="AR109" s="135">
        <v>345897</v>
      </c>
      <c r="AS109" s="135">
        <v>0</v>
      </c>
      <c r="AT109" s="135">
        <v>930521</v>
      </c>
      <c r="AU109" s="135">
        <v>0</v>
      </c>
      <c r="AV109" s="135">
        <v>0</v>
      </c>
      <c r="AW109" s="135">
        <v>0</v>
      </c>
      <c r="AX109" s="135">
        <v>20691</v>
      </c>
      <c r="AY109" s="135">
        <v>196700</v>
      </c>
      <c r="BD109" s="82">
        <v>10056261.17</v>
      </c>
      <c r="BE109" s="82">
        <v>5028130.59</v>
      </c>
      <c r="BF109" s="117">
        <v>0</v>
      </c>
      <c r="BG109" s="118">
        <v>0</v>
      </c>
      <c r="BH109" s="118">
        <v>0</v>
      </c>
      <c r="BI109" s="117">
        <v>3218429</v>
      </c>
      <c r="BJ109" s="117">
        <v>3218429</v>
      </c>
      <c r="BK109" s="117">
        <v>20724297</v>
      </c>
      <c r="BL109" s="117">
        <v>20706346</v>
      </c>
      <c r="BM109" s="117">
        <v>0</v>
      </c>
      <c r="BN109" s="117">
        <v>0</v>
      </c>
      <c r="BO109" s="138"/>
      <c r="BP109" s="86">
        <v>1488545332.5899999</v>
      </c>
      <c r="BQ109" s="86">
        <v>1283474078</v>
      </c>
      <c r="BR109" s="87">
        <v>420607</v>
      </c>
      <c r="BT109" s="86">
        <v>1271671972</v>
      </c>
      <c r="BU109" s="82">
        <f t="shared" si="11"/>
        <v>167494063</v>
      </c>
      <c r="BV109" s="82">
        <f t="shared" si="12"/>
        <v>8624286</v>
      </c>
      <c r="BW109" s="86">
        <f t="shared" si="13"/>
        <v>11802106</v>
      </c>
      <c r="BX109" s="86">
        <f t="shared" si="10"/>
        <v>1459592427</v>
      </c>
    </row>
    <row r="110" spans="1:76" x14ac:dyDescent="0.25">
      <c r="A110" s="91" t="s">
        <v>164</v>
      </c>
      <c r="B110" s="135">
        <v>643983438</v>
      </c>
      <c r="C110" s="135">
        <v>140616805</v>
      </c>
      <c r="D110" s="135">
        <v>292407972</v>
      </c>
      <c r="E110" s="135">
        <v>0</v>
      </c>
      <c r="F110" s="135">
        <v>79877762</v>
      </c>
      <c r="G110" s="135">
        <v>18109396</v>
      </c>
      <c r="H110" s="135">
        <v>15936595</v>
      </c>
      <c r="I110" s="135">
        <v>1750101</v>
      </c>
      <c r="J110" s="135">
        <v>142900</v>
      </c>
      <c r="K110" s="135">
        <v>39300</v>
      </c>
      <c r="L110" s="135">
        <v>275991774</v>
      </c>
      <c r="M110" s="135">
        <v>102795413</v>
      </c>
      <c r="N110" s="135">
        <v>2515</v>
      </c>
      <c r="O110" s="135">
        <v>562</v>
      </c>
      <c r="P110" s="135">
        <v>10244267</v>
      </c>
      <c r="Q110" s="135">
        <v>3423107</v>
      </c>
      <c r="R110" s="135">
        <v>2871905</v>
      </c>
      <c r="S110" s="135">
        <v>3447356</v>
      </c>
      <c r="T110" s="135">
        <v>292835</v>
      </c>
      <c r="U110" s="135">
        <v>3278650</v>
      </c>
      <c r="V110" s="135">
        <v>10244267</v>
      </c>
      <c r="W110" s="135">
        <v>3750200</v>
      </c>
      <c r="X110" s="135">
        <v>2871905</v>
      </c>
      <c r="Y110" s="135">
        <v>3447356</v>
      </c>
      <c r="Z110" s="135">
        <v>967755</v>
      </c>
      <c r="AA110" s="135">
        <v>3278650</v>
      </c>
      <c r="AB110" s="135">
        <v>-5562813</v>
      </c>
      <c r="AC110" s="135">
        <v>-321672</v>
      </c>
      <c r="AD110" s="135">
        <v>52805</v>
      </c>
      <c r="AE110" s="135">
        <v>0</v>
      </c>
      <c r="AF110" s="135">
        <v>0</v>
      </c>
      <c r="AG110" s="135">
        <v>180659</v>
      </c>
      <c r="AJ110" s="139"/>
      <c r="AK110" s="82">
        <v>169068310</v>
      </c>
      <c r="AL110" s="82">
        <v>7609721</v>
      </c>
      <c r="AM110" s="135">
        <v>5678113</v>
      </c>
      <c r="AN110" s="135">
        <v>65274974</v>
      </c>
      <c r="AO110" s="135">
        <v>1474003</v>
      </c>
      <c r="AP110" s="135">
        <v>31874768</v>
      </c>
      <c r="AQ110" s="135">
        <v>42341691</v>
      </c>
      <c r="AR110" s="135">
        <v>35604826</v>
      </c>
      <c r="AS110" s="135">
        <v>57674169</v>
      </c>
      <c r="AT110" s="135">
        <v>587395</v>
      </c>
      <c r="AU110" s="135">
        <v>0</v>
      </c>
      <c r="AV110" s="135">
        <v>0</v>
      </c>
      <c r="AW110" s="135">
        <v>18138</v>
      </c>
      <c r="AX110" s="135">
        <v>123713</v>
      </c>
      <c r="AY110" s="135">
        <v>25000</v>
      </c>
      <c r="BD110" s="82">
        <v>10150778.18</v>
      </c>
      <c r="BE110" s="82">
        <v>5075389.09</v>
      </c>
      <c r="BF110" s="117">
        <v>0</v>
      </c>
      <c r="BG110" s="118">
        <v>0</v>
      </c>
      <c r="BH110" s="118">
        <v>0</v>
      </c>
      <c r="BI110" s="117">
        <v>25308671</v>
      </c>
      <c r="BJ110" s="117">
        <v>25308671</v>
      </c>
      <c r="BK110" s="117">
        <v>83595671</v>
      </c>
      <c r="BL110" s="117">
        <v>82742657</v>
      </c>
      <c r="BM110" s="117">
        <v>0</v>
      </c>
      <c r="BN110" s="117">
        <v>0</v>
      </c>
      <c r="BO110" s="138"/>
      <c r="BP110" s="86">
        <v>1475903631.0899999</v>
      </c>
      <c r="BQ110" s="86">
        <v>1186098883</v>
      </c>
      <c r="BR110" s="87">
        <v>1441000</v>
      </c>
      <c r="BT110" s="86">
        <v>1077008215</v>
      </c>
      <c r="BU110" s="82">
        <f t="shared" si="11"/>
        <v>169068310</v>
      </c>
      <c r="BV110" s="82">
        <f t="shared" si="12"/>
        <v>7609721</v>
      </c>
      <c r="BW110" s="86">
        <f t="shared" si="13"/>
        <v>166764837</v>
      </c>
      <c r="BX110" s="86">
        <f t="shared" si="10"/>
        <v>1420451083</v>
      </c>
    </row>
    <row r="111" spans="1:76" x14ac:dyDescent="0.25">
      <c r="A111" s="91" t="s">
        <v>165</v>
      </c>
      <c r="B111" s="135">
        <v>238035131</v>
      </c>
      <c r="C111" s="135">
        <v>169540414</v>
      </c>
      <c r="D111" s="135">
        <v>97592192</v>
      </c>
      <c r="E111" s="135">
        <v>0</v>
      </c>
      <c r="F111" s="135">
        <v>31409476</v>
      </c>
      <c r="G111" s="135">
        <v>4436990</v>
      </c>
      <c r="H111" s="135">
        <v>8654958</v>
      </c>
      <c r="I111" s="135">
        <v>405000</v>
      </c>
      <c r="J111" s="135">
        <v>0</v>
      </c>
      <c r="K111" s="135">
        <v>0</v>
      </c>
      <c r="L111" s="135">
        <v>600910722</v>
      </c>
      <c r="M111" s="135">
        <v>65911851</v>
      </c>
      <c r="N111" s="135">
        <v>1099</v>
      </c>
      <c r="O111" s="135">
        <v>146</v>
      </c>
      <c r="P111" s="135">
        <v>2787480</v>
      </c>
      <c r="Q111" s="135">
        <v>1944530</v>
      </c>
      <c r="R111" s="135">
        <v>28491886</v>
      </c>
      <c r="S111" s="135">
        <v>859896</v>
      </c>
      <c r="T111" s="135">
        <v>148263</v>
      </c>
      <c r="U111" s="135">
        <v>105892</v>
      </c>
      <c r="V111" s="135">
        <v>2787480</v>
      </c>
      <c r="W111" s="135">
        <v>4164898</v>
      </c>
      <c r="X111" s="135">
        <v>28491886</v>
      </c>
      <c r="Y111" s="135">
        <v>859896</v>
      </c>
      <c r="Z111" s="135">
        <v>170515</v>
      </c>
      <c r="AA111" s="135">
        <v>105892</v>
      </c>
      <c r="AB111" s="135">
        <v>-536930</v>
      </c>
      <c r="AC111" s="135">
        <v>-1312</v>
      </c>
      <c r="AD111" s="135">
        <v>70058</v>
      </c>
      <c r="AE111" s="135">
        <v>49158</v>
      </c>
      <c r="AF111" s="135">
        <v>99121906</v>
      </c>
      <c r="AG111" s="135">
        <v>226404</v>
      </c>
      <c r="AH111" s="135">
        <v>33065.57</v>
      </c>
      <c r="AI111" s="135">
        <v>100073.77</v>
      </c>
      <c r="AJ111" s="139">
        <v>0</v>
      </c>
      <c r="AK111" s="82">
        <v>80857245</v>
      </c>
      <c r="AL111" s="82">
        <v>1392408</v>
      </c>
      <c r="AM111" s="135">
        <v>0</v>
      </c>
      <c r="AN111" s="135">
        <v>18988141</v>
      </c>
      <c r="AO111" s="135">
        <v>2226213</v>
      </c>
      <c r="AP111" s="135">
        <v>24508887</v>
      </c>
      <c r="AQ111" s="135">
        <v>19946518</v>
      </c>
      <c r="AR111" s="135">
        <v>32384391</v>
      </c>
      <c r="AS111" s="135">
        <v>4168415</v>
      </c>
      <c r="AT111" s="135">
        <v>5434014</v>
      </c>
      <c r="AU111" s="135">
        <v>0</v>
      </c>
      <c r="AV111" s="135">
        <v>5944569</v>
      </c>
      <c r="AW111" s="135">
        <v>13899396</v>
      </c>
      <c r="AX111" s="135">
        <v>29015</v>
      </c>
      <c r="AY111" s="135">
        <v>105500</v>
      </c>
      <c r="BD111" s="82">
        <v>4854629.22</v>
      </c>
      <c r="BE111" s="82">
        <v>2427314.61</v>
      </c>
      <c r="BF111" s="117">
        <v>0</v>
      </c>
      <c r="BG111" s="118">
        <v>1582293</v>
      </c>
      <c r="BH111" s="118">
        <v>3164586</v>
      </c>
      <c r="BI111" s="117">
        <v>12999696</v>
      </c>
      <c r="BJ111" s="117">
        <v>12999696</v>
      </c>
      <c r="BK111" s="117">
        <v>59621156</v>
      </c>
      <c r="BL111" s="117">
        <v>43672973</v>
      </c>
      <c r="BM111" s="117">
        <v>0</v>
      </c>
      <c r="BN111" s="117">
        <v>0</v>
      </c>
      <c r="BO111" s="138"/>
      <c r="BP111" s="86">
        <v>689393677.94999993</v>
      </c>
      <c r="BQ111" s="86">
        <v>546461748.33999991</v>
      </c>
      <c r="BR111" s="87">
        <v>915372</v>
      </c>
      <c r="BT111" s="86">
        <v>505167737</v>
      </c>
      <c r="BU111" s="82">
        <f t="shared" si="11"/>
        <v>80857245</v>
      </c>
      <c r="BV111" s="82">
        <f t="shared" si="12"/>
        <v>1392408</v>
      </c>
      <c r="BW111" s="86">
        <f t="shared" si="13"/>
        <v>45329287</v>
      </c>
      <c r="BX111" s="86">
        <f t="shared" si="10"/>
        <v>632746677</v>
      </c>
    </row>
    <row r="112" spans="1:76" x14ac:dyDescent="0.25">
      <c r="A112" s="91" t="s">
        <v>166</v>
      </c>
      <c r="B112" s="135">
        <v>660824292</v>
      </c>
      <c r="C112" s="135">
        <v>105371413</v>
      </c>
      <c r="D112" s="135">
        <v>87296274</v>
      </c>
      <c r="E112" s="135">
        <v>0</v>
      </c>
      <c r="F112" s="135">
        <v>57220544</v>
      </c>
      <c r="G112" s="135">
        <v>9620688</v>
      </c>
      <c r="H112" s="135">
        <v>6431478</v>
      </c>
      <c r="I112" s="135">
        <v>803376</v>
      </c>
      <c r="J112" s="135">
        <v>235800</v>
      </c>
      <c r="K112" s="135">
        <v>39300</v>
      </c>
      <c r="L112" s="135">
        <v>650378399</v>
      </c>
      <c r="M112" s="135">
        <v>61360066</v>
      </c>
      <c r="N112" s="135">
        <v>1723</v>
      </c>
      <c r="O112" s="135">
        <v>301</v>
      </c>
      <c r="P112" s="135">
        <v>11140270</v>
      </c>
      <c r="Q112" s="135">
        <v>4039178</v>
      </c>
      <c r="R112" s="135">
        <v>1612000</v>
      </c>
      <c r="S112" s="135">
        <v>1768367</v>
      </c>
      <c r="T112" s="135">
        <v>536892</v>
      </c>
      <c r="U112" s="135">
        <v>103000</v>
      </c>
      <c r="V112" s="135">
        <v>11140270</v>
      </c>
      <c r="W112" s="135">
        <v>6746965</v>
      </c>
      <c r="X112" s="135">
        <v>1612000</v>
      </c>
      <c r="Y112" s="135">
        <v>1768367</v>
      </c>
      <c r="Z112" s="135">
        <v>1831459</v>
      </c>
      <c r="AA112" s="135">
        <v>103000</v>
      </c>
      <c r="AB112" s="135">
        <v>-2182404</v>
      </c>
      <c r="AC112" s="135">
        <v>0</v>
      </c>
      <c r="AD112" s="135">
        <v>66812</v>
      </c>
      <c r="AE112" s="135">
        <v>0</v>
      </c>
      <c r="AF112" s="135">
        <v>0</v>
      </c>
      <c r="AG112" s="135">
        <v>0</v>
      </c>
      <c r="AH112" s="135">
        <v>0</v>
      </c>
      <c r="AI112" s="135">
        <v>153516.39000000001</v>
      </c>
      <c r="AJ112" s="139">
        <v>0</v>
      </c>
      <c r="AK112" s="82">
        <v>116925597</v>
      </c>
      <c r="AL112" s="82">
        <v>14818654</v>
      </c>
      <c r="AM112" s="135">
        <v>1195660</v>
      </c>
      <c r="AN112" s="135">
        <v>13557858</v>
      </c>
      <c r="AO112" s="135">
        <v>763891</v>
      </c>
      <c r="AP112" s="135">
        <v>15689421</v>
      </c>
      <c r="AQ112" s="135">
        <v>15494752</v>
      </c>
      <c r="AR112" s="135">
        <v>12667987</v>
      </c>
      <c r="AS112" s="135">
        <v>201800</v>
      </c>
      <c r="AT112" s="135">
        <v>2872936</v>
      </c>
      <c r="AU112" s="135">
        <v>0</v>
      </c>
      <c r="AV112" s="135">
        <v>26739</v>
      </c>
      <c r="AW112" s="135">
        <v>146132731</v>
      </c>
      <c r="AX112" s="135">
        <v>8972</v>
      </c>
      <c r="AY112" s="135">
        <v>0</v>
      </c>
      <c r="BD112" s="82">
        <v>7020155.3399999999</v>
      </c>
      <c r="BE112" s="82">
        <v>3510077.67</v>
      </c>
      <c r="BF112" s="117">
        <v>30948186.528497405</v>
      </c>
      <c r="BG112" s="118">
        <v>0</v>
      </c>
      <c r="BH112" s="118">
        <v>0</v>
      </c>
      <c r="BI112" s="117">
        <v>4253717</v>
      </c>
      <c r="BJ112" s="117">
        <v>4253717</v>
      </c>
      <c r="BK112" s="117">
        <v>27707594</v>
      </c>
      <c r="BL112" s="117">
        <v>27489258</v>
      </c>
      <c r="BM112" s="117">
        <v>0</v>
      </c>
      <c r="BN112" s="117">
        <v>0</v>
      </c>
      <c r="BO112" s="138"/>
      <c r="BP112" s="86">
        <v>1050459300.0599999</v>
      </c>
      <c r="BQ112" s="86">
        <v>883461996.38999999</v>
      </c>
      <c r="BR112" s="87">
        <v>699813</v>
      </c>
      <c r="BT112" s="86">
        <v>853491979</v>
      </c>
      <c r="BU112" s="82">
        <f t="shared" si="11"/>
        <v>116925597</v>
      </c>
      <c r="BV112" s="82">
        <f t="shared" si="12"/>
        <v>14818654</v>
      </c>
      <c r="BW112" s="86">
        <f t="shared" si="13"/>
        <v>30018301</v>
      </c>
      <c r="BX112" s="86">
        <f t="shared" si="10"/>
        <v>1015254531</v>
      </c>
    </row>
    <row r="113" spans="1:103" x14ac:dyDescent="0.25">
      <c r="A113" s="91" t="s">
        <v>167</v>
      </c>
      <c r="B113" s="135">
        <v>216207255</v>
      </c>
      <c r="C113" s="135">
        <v>89327450</v>
      </c>
      <c r="D113" s="135">
        <v>25068100</v>
      </c>
      <c r="E113" s="135">
        <v>0</v>
      </c>
      <c r="F113" s="135">
        <v>24825900</v>
      </c>
      <c r="G113" s="135">
        <v>3601600</v>
      </c>
      <c r="H113" s="135">
        <v>8173800</v>
      </c>
      <c r="I113" s="135">
        <v>481900</v>
      </c>
      <c r="J113" s="135">
        <v>39000</v>
      </c>
      <c r="K113" s="135">
        <v>0</v>
      </c>
      <c r="L113" s="135">
        <v>158698050</v>
      </c>
      <c r="M113" s="135">
        <v>67918100</v>
      </c>
      <c r="N113" s="135">
        <v>879</v>
      </c>
      <c r="O113" s="135">
        <v>114</v>
      </c>
      <c r="P113" s="135">
        <v>4155600</v>
      </c>
      <c r="Q113" s="135">
        <v>2060700</v>
      </c>
      <c r="R113" s="135">
        <v>1737200</v>
      </c>
      <c r="S113" s="135">
        <v>1726100</v>
      </c>
      <c r="T113" s="135">
        <v>2238700</v>
      </c>
      <c r="U113" s="135">
        <v>381300</v>
      </c>
      <c r="V113" s="135">
        <v>4155600</v>
      </c>
      <c r="W113" s="135">
        <v>2161000</v>
      </c>
      <c r="X113" s="135">
        <v>1737200</v>
      </c>
      <c r="Y113" s="135">
        <v>1726100</v>
      </c>
      <c r="Z113" s="135">
        <v>2886900</v>
      </c>
      <c r="AA113" s="135">
        <v>381300</v>
      </c>
      <c r="AB113" s="135">
        <v>-1054300</v>
      </c>
      <c r="AC113" s="135">
        <v>-17442</v>
      </c>
      <c r="AD113" s="135">
        <v>50249</v>
      </c>
      <c r="AE113" s="135">
        <v>8982</v>
      </c>
      <c r="AF113" s="135">
        <v>47295300</v>
      </c>
      <c r="AG113" s="135">
        <v>81777</v>
      </c>
      <c r="AJ113" s="139"/>
      <c r="AK113" s="82">
        <v>63024733</v>
      </c>
      <c r="AL113" s="82">
        <v>1717165</v>
      </c>
      <c r="AM113" s="135">
        <v>20000</v>
      </c>
      <c r="AN113" s="135">
        <v>21249826</v>
      </c>
      <c r="AO113" s="135">
        <v>267750</v>
      </c>
      <c r="AP113" s="135">
        <v>3674743</v>
      </c>
      <c r="AQ113" s="135">
        <v>1668341</v>
      </c>
      <c r="AR113" s="135">
        <v>3602206</v>
      </c>
      <c r="AS113" s="135">
        <v>0</v>
      </c>
      <c r="AT113" s="135">
        <v>191108</v>
      </c>
      <c r="AU113" s="135">
        <v>0</v>
      </c>
      <c r="AV113" s="135">
        <v>0</v>
      </c>
      <c r="AW113" s="135">
        <v>0</v>
      </c>
      <c r="AX113" s="135">
        <v>0</v>
      </c>
      <c r="AY113" s="135">
        <v>0</v>
      </c>
      <c r="BD113" s="82">
        <v>3783973.97</v>
      </c>
      <c r="BE113" s="82">
        <v>1891986.99</v>
      </c>
      <c r="BF113" s="117">
        <v>23937823.834196892</v>
      </c>
      <c r="BG113" s="118">
        <v>0</v>
      </c>
      <c r="BH113" s="118">
        <v>0</v>
      </c>
      <c r="BI113" s="117">
        <v>138860633.62</v>
      </c>
      <c r="BJ113" s="117">
        <v>138860633.62</v>
      </c>
      <c r="BK113" s="117">
        <v>58706445.140000001</v>
      </c>
      <c r="BL113" s="117">
        <v>57777120.140000001</v>
      </c>
      <c r="BM113" s="117">
        <v>0</v>
      </c>
      <c r="BN113" s="117">
        <v>0</v>
      </c>
      <c r="BO113" s="138"/>
      <c r="BP113" s="86">
        <v>617060360.75</v>
      </c>
      <c r="BQ113" s="86">
        <v>353788722</v>
      </c>
      <c r="BR113" s="87">
        <v>713600</v>
      </c>
      <c r="BT113" s="86">
        <v>330602805</v>
      </c>
      <c r="BU113" s="82">
        <f t="shared" si="11"/>
        <v>63024733</v>
      </c>
      <c r="BV113" s="82">
        <f t="shared" si="12"/>
        <v>1717165</v>
      </c>
      <c r="BW113" s="86">
        <f t="shared" si="13"/>
        <v>23185917</v>
      </c>
      <c r="BX113" s="86">
        <f t="shared" si="10"/>
        <v>418530620</v>
      </c>
    </row>
    <row r="114" spans="1:103" x14ac:dyDescent="0.25">
      <c r="A114" s="91" t="s">
        <v>168</v>
      </c>
      <c r="B114" s="135">
        <v>287135482</v>
      </c>
      <c r="C114" s="135">
        <v>162741782</v>
      </c>
      <c r="D114" s="135">
        <v>108421530</v>
      </c>
      <c r="E114" s="135">
        <v>1310000</v>
      </c>
      <c r="F114" s="135">
        <v>46390710</v>
      </c>
      <c r="G114" s="135">
        <v>6976188</v>
      </c>
      <c r="H114" s="135">
        <v>6175473</v>
      </c>
      <c r="I114" s="135">
        <v>406588</v>
      </c>
      <c r="J114" s="135">
        <v>149400</v>
      </c>
      <c r="K114" s="135">
        <v>117900</v>
      </c>
      <c r="L114" s="135">
        <v>741365248</v>
      </c>
      <c r="M114" s="135">
        <v>51780515</v>
      </c>
      <c r="N114" s="135">
        <v>1421</v>
      </c>
      <c r="O114" s="135">
        <v>218</v>
      </c>
      <c r="P114" s="135">
        <v>1147710</v>
      </c>
      <c r="Q114" s="135">
        <v>745713</v>
      </c>
      <c r="R114" s="135">
        <v>1674981</v>
      </c>
      <c r="S114" s="135">
        <v>665580</v>
      </c>
      <c r="T114" s="135">
        <v>27068</v>
      </c>
      <c r="U114" s="135">
        <v>64320</v>
      </c>
      <c r="V114" s="135">
        <v>1147710</v>
      </c>
      <c r="W114" s="135">
        <v>745713</v>
      </c>
      <c r="X114" s="135">
        <v>1674981</v>
      </c>
      <c r="Y114" s="135">
        <v>665580</v>
      </c>
      <c r="Z114" s="135">
        <v>27068</v>
      </c>
      <c r="AA114" s="135">
        <v>64320</v>
      </c>
      <c r="AB114" s="135">
        <v>-1098960</v>
      </c>
      <c r="AC114" s="135">
        <v>792768</v>
      </c>
      <c r="AD114" s="135">
        <v>7899</v>
      </c>
      <c r="AE114" s="135">
        <v>13295</v>
      </c>
      <c r="AF114" s="135">
        <v>43079146</v>
      </c>
      <c r="AG114" s="135">
        <v>194760</v>
      </c>
      <c r="AH114" s="135">
        <v>10643426.23</v>
      </c>
      <c r="AI114" s="135">
        <v>0</v>
      </c>
      <c r="AJ114" s="139">
        <v>48322180.329999998</v>
      </c>
      <c r="AK114" s="82">
        <v>125664155</v>
      </c>
      <c r="AL114" s="82">
        <v>4432385</v>
      </c>
      <c r="AM114" s="135">
        <v>48000</v>
      </c>
      <c r="AN114" s="135">
        <v>118646719</v>
      </c>
      <c r="AO114" s="135">
        <v>9074608</v>
      </c>
      <c r="AP114" s="135">
        <v>94318341</v>
      </c>
      <c r="AQ114" s="135">
        <v>45398109</v>
      </c>
      <c r="AR114" s="135">
        <v>18303830</v>
      </c>
      <c r="AS114" s="135">
        <v>36842985</v>
      </c>
      <c r="AT114" s="135">
        <v>7512990</v>
      </c>
      <c r="AU114" s="135">
        <v>0</v>
      </c>
      <c r="AV114" s="135">
        <v>95170</v>
      </c>
      <c r="AW114" s="135">
        <v>18166793</v>
      </c>
      <c r="AX114" s="135">
        <v>733069</v>
      </c>
      <c r="AY114" s="135">
        <v>1164419</v>
      </c>
      <c r="BD114" s="82">
        <v>7544814.0599999996</v>
      </c>
      <c r="BE114" s="82">
        <v>3772407.03</v>
      </c>
      <c r="BF114" s="117">
        <v>47533678.756476685</v>
      </c>
      <c r="BG114" s="118">
        <v>0</v>
      </c>
      <c r="BH114" s="118">
        <v>0</v>
      </c>
      <c r="BI114" s="117">
        <v>7608798.9000000004</v>
      </c>
      <c r="BJ114" s="117">
        <v>7608798.9000000004</v>
      </c>
      <c r="BK114" s="117">
        <v>36979220.479999997</v>
      </c>
      <c r="BL114" s="117">
        <v>36915235.479999997</v>
      </c>
      <c r="BM114" s="117">
        <v>0</v>
      </c>
      <c r="BN114" s="117">
        <v>0</v>
      </c>
      <c r="BO114" s="138"/>
      <c r="BP114" s="86">
        <v>968776817.97000003</v>
      </c>
      <c r="BQ114" s="86">
        <v>790383836.56000006</v>
      </c>
      <c r="BR114" s="87"/>
      <c r="BT114" s="86">
        <v>558298794</v>
      </c>
      <c r="BU114" s="82">
        <f t="shared" si="11"/>
        <v>125664155</v>
      </c>
      <c r="BV114" s="82">
        <f t="shared" si="12"/>
        <v>4432385</v>
      </c>
      <c r="BW114" s="86">
        <f t="shared" si="13"/>
        <v>209962421</v>
      </c>
      <c r="BX114" s="86">
        <f t="shared" si="10"/>
        <v>898357755</v>
      </c>
    </row>
    <row r="115" spans="1:103" x14ac:dyDescent="0.25">
      <c r="A115" s="91" t="s">
        <v>169</v>
      </c>
      <c r="B115" s="135">
        <v>5660464771</v>
      </c>
      <c r="C115" s="135">
        <v>499951100</v>
      </c>
      <c r="D115" s="135">
        <v>3320091820</v>
      </c>
      <c r="E115" s="135">
        <v>95128677</v>
      </c>
      <c r="F115" s="135">
        <v>255794980</v>
      </c>
      <c r="G115" s="135">
        <v>20661500</v>
      </c>
      <c r="H115" s="135">
        <v>28291310</v>
      </c>
      <c r="I115" s="135">
        <v>1410660</v>
      </c>
      <c r="J115" s="135">
        <v>432300</v>
      </c>
      <c r="K115" s="135">
        <v>0</v>
      </c>
      <c r="L115" s="135">
        <v>1085724280</v>
      </c>
      <c r="M115" s="135">
        <v>0</v>
      </c>
      <c r="N115" s="135">
        <v>7330</v>
      </c>
      <c r="O115" s="135">
        <v>616</v>
      </c>
      <c r="P115" s="135">
        <v>155823640</v>
      </c>
      <c r="Q115" s="135">
        <v>9966380</v>
      </c>
      <c r="R115" s="135">
        <v>164812940</v>
      </c>
      <c r="S115" s="135">
        <v>903500</v>
      </c>
      <c r="T115" s="135">
        <v>458000</v>
      </c>
      <c r="U115" s="135">
        <v>1520000</v>
      </c>
      <c r="V115" s="135">
        <v>155823640</v>
      </c>
      <c r="W115" s="135">
        <v>9966380</v>
      </c>
      <c r="X115" s="135">
        <v>164812940</v>
      </c>
      <c r="Y115" s="135">
        <v>903500</v>
      </c>
      <c r="Z115" s="135">
        <v>458000</v>
      </c>
      <c r="AA115" s="135">
        <v>1520000</v>
      </c>
      <c r="AB115" s="135">
        <v>-21277770</v>
      </c>
      <c r="AC115" s="135">
        <v>-48903187</v>
      </c>
      <c r="AD115" s="135">
        <v>71025</v>
      </c>
      <c r="AE115" s="135">
        <v>0</v>
      </c>
      <c r="AF115" s="135">
        <v>0</v>
      </c>
      <c r="AG115" s="135">
        <v>0</v>
      </c>
      <c r="AH115" s="135">
        <v>2702467.21</v>
      </c>
      <c r="AI115" s="135">
        <v>1035057.38</v>
      </c>
      <c r="AJ115" s="139">
        <v>0</v>
      </c>
      <c r="AK115" s="82">
        <v>852483049</v>
      </c>
      <c r="AL115" s="82">
        <v>16662457</v>
      </c>
      <c r="AM115" s="135">
        <v>0</v>
      </c>
      <c r="AN115" s="135">
        <v>417785056</v>
      </c>
      <c r="AO115" s="135">
        <v>104354833</v>
      </c>
      <c r="AP115" s="135">
        <v>1555652078</v>
      </c>
      <c r="AQ115" s="135">
        <v>381464149</v>
      </c>
      <c r="AR115" s="135">
        <v>462552590</v>
      </c>
      <c r="AS115" s="135">
        <v>233367292</v>
      </c>
      <c r="AT115" s="135">
        <v>6848626</v>
      </c>
      <c r="AU115" s="135">
        <v>0</v>
      </c>
      <c r="AV115" s="135">
        <v>71213</v>
      </c>
      <c r="AW115" s="135">
        <v>195554524</v>
      </c>
      <c r="AX115" s="135">
        <v>6057245</v>
      </c>
      <c r="AY115" s="135">
        <v>11153189</v>
      </c>
      <c r="BD115" s="82">
        <v>51182663</v>
      </c>
      <c r="BE115" s="82">
        <v>25591331.5</v>
      </c>
      <c r="BF115" s="117">
        <v>0</v>
      </c>
      <c r="BG115" s="118">
        <v>3291995</v>
      </c>
      <c r="BH115" s="118">
        <v>6583990</v>
      </c>
      <c r="BI115" s="117">
        <v>69375144</v>
      </c>
      <c r="BJ115" s="117">
        <v>69375144</v>
      </c>
      <c r="BK115" s="117">
        <v>128399992</v>
      </c>
      <c r="BL115" s="117">
        <v>122584080</v>
      </c>
      <c r="BM115" s="117">
        <v>494660</v>
      </c>
      <c r="BN115" s="117">
        <v>37269571</v>
      </c>
      <c r="BO115" s="138"/>
      <c r="BP115" s="86">
        <v>11515601541.089998</v>
      </c>
      <c r="BQ115" s="86">
        <v>10387849253.589998</v>
      </c>
      <c r="BR115" s="87">
        <v>5064050</v>
      </c>
      <c r="BT115" s="86">
        <v>9480507691</v>
      </c>
      <c r="BU115" s="82">
        <f t="shared" si="11"/>
        <v>852483049</v>
      </c>
      <c r="BV115" s="82">
        <f t="shared" si="12"/>
        <v>16662457</v>
      </c>
      <c r="BW115" s="86">
        <f t="shared" si="13"/>
        <v>1136971330</v>
      </c>
      <c r="BX115" s="86">
        <f t="shared" si="10"/>
        <v>11486624527</v>
      </c>
    </row>
    <row r="116" spans="1:103" x14ac:dyDescent="0.25">
      <c r="A116" s="91" t="s">
        <v>170</v>
      </c>
      <c r="B116" s="135">
        <v>273422549</v>
      </c>
      <c r="C116" s="135">
        <v>176794695</v>
      </c>
      <c r="D116" s="135">
        <v>97607981</v>
      </c>
      <c r="E116" s="135">
        <v>0</v>
      </c>
      <c r="F116" s="135">
        <v>35401600</v>
      </c>
      <c r="G116" s="135">
        <v>5053100</v>
      </c>
      <c r="H116" s="135">
        <v>16524700</v>
      </c>
      <c r="I116" s="135">
        <v>2244700</v>
      </c>
      <c r="J116" s="135">
        <v>39300</v>
      </c>
      <c r="K116" s="135">
        <v>0</v>
      </c>
      <c r="L116" s="135">
        <v>303303875</v>
      </c>
      <c r="M116" s="135">
        <v>125418503</v>
      </c>
      <c r="N116" s="135">
        <v>1362</v>
      </c>
      <c r="O116" s="135">
        <v>205</v>
      </c>
      <c r="P116" s="135">
        <v>4469640</v>
      </c>
      <c r="Q116" s="135">
        <v>3282823</v>
      </c>
      <c r="R116" s="135">
        <v>3043105</v>
      </c>
      <c r="S116" s="135">
        <v>1814148</v>
      </c>
      <c r="T116" s="135">
        <v>1121400</v>
      </c>
      <c r="U116" s="135">
        <v>554000</v>
      </c>
      <c r="V116" s="135">
        <v>4469640</v>
      </c>
      <c r="W116" s="135">
        <v>4330609</v>
      </c>
      <c r="X116" s="135">
        <v>3043105</v>
      </c>
      <c r="Y116" s="135">
        <v>1673148</v>
      </c>
      <c r="Z116" s="135">
        <v>1678925</v>
      </c>
      <c r="AA116" s="135">
        <v>554000</v>
      </c>
      <c r="AB116" s="135">
        <v>-976600</v>
      </c>
      <c r="AC116" s="135">
        <v>105424</v>
      </c>
      <c r="AD116" s="135">
        <v>44858</v>
      </c>
      <c r="AE116" s="135">
        <v>0</v>
      </c>
      <c r="AF116" s="135">
        <v>0</v>
      </c>
      <c r="AG116" s="135">
        <v>178452</v>
      </c>
      <c r="AJ116" s="139"/>
      <c r="AK116" s="82">
        <v>85409513</v>
      </c>
      <c r="AL116" s="82">
        <v>1724996</v>
      </c>
      <c r="AM116" s="135">
        <v>0</v>
      </c>
      <c r="AN116" s="135">
        <v>22848282</v>
      </c>
      <c r="AO116" s="135">
        <v>1308756</v>
      </c>
      <c r="AP116" s="135">
        <v>131946701</v>
      </c>
      <c r="AQ116" s="135">
        <v>22019633</v>
      </c>
      <c r="AR116" s="135">
        <v>26633644</v>
      </c>
      <c r="AS116" s="135">
        <v>1857162</v>
      </c>
      <c r="AT116" s="135">
        <v>185076</v>
      </c>
      <c r="AU116" s="135">
        <v>0</v>
      </c>
      <c r="AV116" s="135">
        <v>0</v>
      </c>
      <c r="AW116" s="135">
        <v>46857</v>
      </c>
      <c r="AX116" s="135">
        <v>7249</v>
      </c>
      <c r="AY116" s="135">
        <v>159960</v>
      </c>
      <c r="BD116" s="82">
        <v>5127945.1500000004</v>
      </c>
      <c r="BE116" s="82">
        <v>2563972.58</v>
      </c>
      <c r="BF116" s="117">
        <v>0</v>
      </c>
      <c r="BG116" s="118">
        <v>0</v>
      </c>
      <c r="BH116" s="118">
        <v>0</v>
      </c>
      <c r="BI116" s="117">
        <v>2921294</v>
      </c>
      <c r="BJ116" s="117">
        <v>2921294</v>
      </c>
      <c r="BK116" s="117">
        <v>28687425</v>
      </c>
      <c r="BL116" s="117">
        <v>27991731</v>
      </c>
      <c r="BM116" s="117">
        <v>0</v>
      </c>
      <c r="BN116" s="117">
        <v>0</v>
      </c>
      <c r="BO116" s="138"/>
      <c r="BP116" s="86">
        <v>714613402.58000004</v>
      </c>
      <c r="BQ116" s="86">
        <v>594001896</v>
      </c>
      <c r="BR116" s="87">
        <v>359500</v>
      </c>
      <c r="BT116" s="86">
        <v>547825225</v>
      </c>
      <c r="BU116" s="82">
        <f t="shared" si="11"/>
        <v>85409513</v>
      </c>
      <c r="BV116" s="82">
        <f t="shared" si="12"/>
        <v>1724996</v>
      </c>
      <c r="BW116" s="86">
        <f t="shared" si="13"/>
        <v>48033833</v>
      </c>
      <c r="BX116" s="86">
        <f t="shared" si="10"/>
        <v>682993567</v>
      </c>
    </row>
    <row r="117" spans="1:103" x14ac:dyDescent="0.25">
      <c r="A117" s="91" t="s">
        <v>171</v>
      </c>
      <c r="B117" s="135">
        <v>490375089</v>
      </c>
      <c r="C117" s="135">
        <v>132494925</v>
      </c>
      <c r="D117" s="135">
        <v>119381494</v>
      </c>
      <c r="E117" s="135">
        <v>0</v>
      </c>
      <c r="F117" s="135">
        <v>66934022</v>
      </c>
      <c r="G117" s="135">
        <v>14674875</v>
      </c>
      <c r="H117" s="135">
        <v>17021037</v>
      </c>
      <c r="I117" s="135">
        <v>2100957</v>
      </c>
      <c r="J117" s="135">
        <v>186700</v>
      </c>
      <c r="K117" s="135">
        <v>25000</v>
      </c>
      <c r="L117" s="135">
        <v>291915111</v>
      </c>
      <c r="M117" s="135">
        <v>82789184</v>
      </c>
      <c r="N117" s="135">
        <v>2420</v>
      </c>
      <c r="O117" s="135">
        <v>542</v>
      </c>
      <c r="P117" s="135">
        <v>7161106</v>
      </c>
      <c r="Q117" s="135">
        <v>759876</v>
      </c>
      <c r="R117" s="135">
        <v>242500</v>
      </c>
      <c r="S117" s="135">
        <v>2850845</v>
      </c>
      <c r="T117" s="135">
        <v>717889</v>
      </c>
      <c r="U117" s="135">
        <v>542638</v>
      </c>
      <c r="V117" s="135">
        <v>7161106</v>
      </c>
      <c r="W117" s="135">
        <v>761064</v>
      </c>
      <c r="X117" s="135">
        <v>242500</v>
      </c>
      <c r="Y117" s="135">
        <v>2850845</v>
      </c>
      <c r="Z117" s="135">
        <v>927739</v>
      </c>
      <c r="AA117" s="135">
        <v>542638</v>
      </c>
      <c r="AB117" s="135">
        <v>-2123947</v>
      </c>
      <c r="AC117" s="135">
        <v>227607</v>
      </c>
      <c r="AD117" s="135">
        <v>204844</v>
      </c>
      <c r="AE117" s="135">
        <v>8213</v>
      </c>
      <c r="AF117" s="135">
        <v>10808237</v>
      </c>
      <c r="AG117" s="135">
        <v>243984</v>
      </c>
      <c r="AH117" s="135">
        <v>208737.7</v>
      </c>
      <c r="AI117" s="135">
        <v>122049.18</v>
      </c>
      <c r="AJ117" s="139">
        <v>0</v>
      </c>
      <c r="AK117" s="82">
        <v>110819041</v>
      </c>
      <c r="AL117" s="82">
        <v>12952671</v>
      </c>
      <c r="AM117" s="135">
        <v>12549003</v>
      </c>
      <c r="AN117" s="135">
        <v>19766374</v>
      </c>
      <c r="AO117" s="135">
        <v>353673</v>
      </c>
      <c r="AP117" s="135">
        <v>18565174</v>
      </c>
      <c r="AQ117" s="135">
        <v>17293941</v>
      </c>
      <c r="AR117" s="135">
        <v>15920599</v>
      </c>
      <c r="AS117" s="135">
        <v>0</v>
      </c>
      <c r="AT117" s="135">
        <v>11599831</v>
      </c>
      <c r="AU117" s="135">
        <v>0</v>
      </c>
      <c r="AV117" s="135">
        <v>0</v>
      </c>
      <c r="AW117" s="135">
        <v>0</v>
      </c>
      <c r="AX117" s="135">
        <v>0</v>
      </c>
      <c r="AY117" s="135">
        <v>61000</v>
      </c>
      <c r="BD117" s="82">
        <v>6653520.7199999997</v>
      </c>
      <c r="BE117" s="82">
        <v>3326760.36</v>
      </c>
      <c r="BF117" s="117">
        <v>0</v>
      </c>
      <c r="BG117" s="118">
        <v>0</v>
      </c>
      <c r="BH117" s="118">
        <v>0</v>
      </c>
      <c r="BI117" s="117">
        <v>1318093</v>
      </c>
      <c r="BJ117" s="117">
        <v>1318093</v>
      </c>
      <c r="BK117" s="117">
        <v>34915573</v>
      </c>
      <c r="BL117" s="117">
        <v>34846159</v>
      </c>
      <c r="BM117" s="117">
        <v>0</v>
      </c>
      <c r="BN117" s="117">
        <v>0</v>
      </c>
      <c r="BO117" s="138"/>
      <c r="BP117" s="86">
        <v>943259007.24000001</v>
      </c>
      <c r="BQ117" s="86">
        <v>779996282.88</v>
      </c>
      <c r="BR117" s="87">
        <v>798000</v>
      </c>
      <c r="BT117" s="86">
        <v>742251508</v>
      </c>
      <c r="BU117" s="82">
        <f t="shared" si="11"/>
        <v>110819041</v>
      </c>
      <c r="BV117" s="82">
        <f t="shared" si="12"/>
        <v>12952671</v>
      </c>
      <c r="BW117" s="86">
        <f t="shared" si="13"/>
        <v>37413988</v>
      </c>
      <c r="BX117" s="86">
        <f t="shared" si="10"/>
        <v>903437208</v>
      </c>
    </row>
    <row r="118" spans="1:103" x14ac:dyDescent="0.25">
      <c r="A118" s="91" t="s">
        <v>172</v>
      </c>
      <c r="B118" s="135">
        <v>228296112</v>
      </c>
      <c r="C118" s="135">
        <v>168003509</v>
      </c>
      <c r="D118" s="135">
        <v>60200867</v>
      </c>
      <c r="E118" s="135">
        <v>16560000</v>
      </c>
      <c r="F118" s="135">
        <v>38737084</v>
      </c>
      <c r="G118" s="135">
        <v>6418350</v>
      </c>
      <c r="H118" s="135">
        <v>8947307</v>
      </c>
      <c r="I118" s="135">
        <v>854725</v>
      </c>
      <c r="J118" s="135">
        <v>48433</v>
      </c>
      <c r="K118" s="135">
        <v>2500</v>
      </c>
      <c r="L118" s="135">
        <v>539837192</v>
      </c>
      <c r="M118" s="135">
        <v>68703690</v>
      </c>
      <c r="N118" s="135">
        <v>1387</v>
      </c>
      <c r="O118" s="135">
        <v>247</v>
      </c>
      <c r="P118" s="135">
        <v>1123800</v>
      </c>
      <c r="Q118" s="135">
        <v>865800</v>
      </c>
      <c r="R118" s="135">
        <v>1349500</v>
      </c>
      <c r="S118" s="135">
        <v>213400</v>
      </c>
      <c r="T118" s="135">
        <v>51900</v>
      </c>
      <c r="U118" s="135">
        <v>2500</v>
      </c>
      <c r="V118" s="135">
        <v>1123800</v>
      </c>
      <c r="W118" s="135">
        <v>865800</v>
      </c>
      <c r="X118" s="135">
        <v>1349500</v>
      </c>
      <c r="Y118" s="135">
        <v>213400</v>
      </c>
      <c r="Z118" s="135">
        <v>51900</v>
      </c>
      <c r="AA118" s="135">
        <v>2500</v>
      </c>
      <c r="AB118" s="135">
        <v>-860792</v>
      </c>
      <c r="AC118" s="135">
        <v>0</v>
      </c>
      <c r="AD118" s="135">
        <v>60076</v>
      </c>
      <c r="AE118" s="135">
        <v>11751</v>
      </c>
      <c r="AF118" s="135">
        <v>5466389</v>
      </c>
      <c r="AG118" s="135">
        <v>198139</v>
      </c>
      <c r="AH118" s="135">
        <v>7592909.8399999999</v>
      </c>
      <c r="AI118" s="135">
        <v>0</v>
      </c>
      <c r="AJ118" s="139">
        <v>14320786.890000001</v>
      </c>
      <c r="AK118" s="82">
        <v>111416360</v>
      </c>
      <c r="AL118" s="82">
        <v>3393613</v>
      </c>
      <c r="AM118" s="135">
        <v>0</v>
      </c>
      <c r="AN118" s="135">
        <v>51913884</v>
      </c>
      <c r="AO118" s="135">
        <v>4075263</v>
      </c>
      <c r="AP118" s="135">
        <v>19119755</v>
      </c>
      <c r="AQ118" s="135">
        <v>11573256</v>
      </c>
      <c r="AR118" s="135">
        <v>10407081</v>
      </c>
      <c r="AS118" s="135">
        <v>0</v>
      </c>
      <c r="AT118" s="135">
        <v>3813565</v>
      </c>
      <c r="AU118" s="135">
        <v>0</v>
      </c>
      <c r="AV118" s="135">
        <v>0</v>
      </c>
      <c r="AW118" s="135">
        <v>3436350</v>
      </c>
      <c r="AX118" s="135">
        <v>1103552</v>
      </c>
      <c r="AY118" s="135">
        <v>67500</v>
      </c>
      <c r="BD118" s="82">
        <v>6689383.46</v>
      </c>
      <c r="BE118" s="82">
        <v>3344691.73</v>
      </c>
      <c r="BF118" s="117">
        <v>2935233.1606217618</v>
      </c>
      <c r="BG118" s="118">
        <v>1457731</v>
      </c>
      <c r="BH118" s="118">
        <v>2915462</v>
      </c>
      <c r="BI118" s="117">
        <v>34045041</v>
      </c>
      <c r="BJ118" s="117">
        <v>33874248</v>
      </c>
      <c r="BK118" s="117">
        <v>84588051</v>
      </c>
      <c r="BL118" s="117">
        <v>82815773</v>
      </c>
      <c r="BM118" s="117">
        <v>0</v>
      </c>
      <c r="BN118" s="117">
        <v>0</v>
      </c>
      <c r="BO118" s="138"/>
      <c r="BP118" s="86">
        <v>782279004.46000004</v>
      </c>
      <c r="BQ118" s="86">
        <v>545976587.73000002</v>
      </c>
      <c r="BR118" s="87">
        <v>838135</v>
      </c>
      <c r="BT118" s="86">
        <v>456500488</v>
      </c>
      <c r="BU118" s="82">
        <f t="shared" si="11"/>
        <v>111416360</v>
      </c>
      <c r="BV118" s="82">
        <f t="shared" si="12"/>
        <v>3393613</v>
      </c>
      <c r="BW118" s="86">
        <f t="shared" si="13"/>
        <v>67562403</v>
      </c>
      <c r="BX118" s="86">
        <f t="shared" si="10"/>
        <v>638872864</v>
      </c>
    </row>
    <row r="119" spans="1:103" x14ac:dyDescent="0.25">
      <c r="A119" s="91" t="s">
        <v>173</v>
      </c>
      <c r="B119" s="135">
        <v>729185897</v>
      </c>
      <c r="C119" s="135">
        <v>145964850</v>
      </c>
      <c r="D119" s="135">
        <v>233698292</v>
      </c>
      <c r="E119" s="135">
        <v>2100000</v>
      </c>
      <c r="F119" s="135">
        <v>94680510</v>
      </c>
      <c r="G119" s="135">
        <v>33432587</v>
      </c>
      <c r="H119" s="135">
        <v>17230510</v>
      </c>
      <c r="I119" s="135">
        <v>3342037</v>
      </c>
      <c r="J119" s="135">
        <v>88600</v>
      </c>
      <c r="K119" s="135">
        <v>39300</v>
      </c>
      <c r="L119" s="135">
        <v>543631189</v>
      </c>
      <c r="M119" s="135">
        <v>63199481</v>
      </c>
      <c r="N119" s="135">
        <v>3375</v>
      </c>
      <c r="O119" s="135">
        <v>1194</v>
      </c>
      <c r="P119" s="135">
        <v>1150500</v>
      </c>
      <c r="Q119" s="135">
        <v>4500</v>
      </c>
      <c r="R119" s="135">
        <v>0</v>
      </c>
      <c r="S119" s="135">
        <v>6378748</v>
      </c>
      <c r="T119" s="135">
        <v>3093341</v>
      </c>
      <c r="U119" s="135">
        <v>1145376</v>
      </c>
      <c r="V119" s="135">
        <v>1150500</v>
      </c>
      <c r="W119" s="135">
        <v>375825</v>
      </c>
      <c r="X119" s="135">
        <v>0</v>
      </c>
      <c r="Y119" s="135">
        <v>6378748</v>
      </c>
      <c r="Z119" s="135">
        <v>4680695</v>
      </c>
      <c r="AA119" s="135">
        <v>1145376</v>
      </c>
      <c r="AB119" s="135">
        <v>-6470730</v>
      </c>
      <c r="AC119" s="135">
        <v>932990</v>
      </c>
      <c r="AD119" s="135">
        <v>200992</v>
      </c>
      <c r="AE119" s="135">
        <v>0</v>
      </c>
      <c r="AF119" s="135">
        <v>0</v>
      </c>
      <c r="AG119" s="135">
        <v>202604</v>
      </c>
      <c r="AH119" s="135">
        <v>-347273.15</v>
      </c>
      <c r="AI119" s="135">
        <v>4592352.46</v>
      </c>
      <c r="AJ119" s="139">
        <v>4100000</v>
      </c>
      <c r="AK119" s="82">
        <v>222690584</v>
      </c>
      <c r="AL119" s="82">
        <v>6683550</v>
      </c>
      <c r="AM119" s="135">
        <v>2399026</v>
      </c>
      <c r="AN119" s="135">
        <v>53219137</v>
      </c>
      <c r="AO119" s="135">
        <v>2275629</v>
      </c>
      <c r="AP119" s="135">
        <v>64043267</v>
      </c>
      <c r="AQ119" s="135">
        <v>54031689</v>
      </c>
      <c r="AR119" s="135">
        <v>21488291</v>
      </c>
      <c r="AS119" s="135">
        <v>8310215</v>
      </c>
      <c r="AT119" s="135">
        <v>192868</v>
      </c>
      <c r="AU119" s="135">
        <v>0</v>
      </c>
      <c r="AV119" s="135">
        <v>0</v>
      </c>
      <c r="AW119" s="135">
        <v>0</v>
      </c>
      <c r="AX119" s="135">
        <v>89143</v>
      </c>
      <c r="AY119" s="135">
        <v>0</v>
      </c>
      <c r="BD119" s="82">
        <v>13370233.140000001</v>
      </c>
      <c r="BE119" s="82">
        <v>6685116.5700000003</v>
      </c>
      <c r="BF119" s="117">
        <v>0</v>
      </c>
      <c r="BG119" s="118">
        <v>14237077</v>
      </c>
      <c r="BH119" s="118">
        <v>28474153</v>
      </c>
      <c r="BI119" s="117">
        <v>55659112</v>
      </c>
      <c r="BJ119" s="117">
        <v>55659112</v>
      </c>
      <c r="BK119" s="117">
        <v>77483391</v>
      </c>
      <c r="BL119" s="117">
        <v>68741835</v>
      </c>
      <c r="BM119" s="117">
        <v>0</v>
      </c>
      <c r="BN119" s="117">
        <v>0</v>
      </c>
      <c r="BO119" s="138"/>
      <c r="BP119" s="86">
        <v>1601417847.8799999</v>
      </c>
      <c r="BQ119" s="86">
        <v>1226720573.3099999</v>
      </c>
      <c r="BR119" s="87">
        <v>1362180</v>
      </c>
      <c r="BT119" s="86">
        <v>1108849039</v>
      </c>
      <c r="BU119" s="82">
        <f t="shared" si="11"/>
        <v>222690584</v>
      </c>
      <c r="BV119" s="82">
        <f t="shared" si="12"/>
        <v>6683550</v>
      </c>
      <c r="BW119" s="86">
        <f t="shared" si="13"/>
        <v>117836670</v>
      </c>
      <c r="BX119" s="86">
        <f t="shared" si="10"/>
        <v>1456059843</v>
      </c>
    </row>
    <row r="120" spans="1:103" x14ac:dyDescent="0.25">
      <c r="A120" s="111" t="s">
        <v>174</v>
      </c>
      <c r="B120" s="135">
        <v>66232350</v>
      </c>
      <c r="C120" s="135">
        <v>64635550</v>
      </c>
      <c r="D120" s="135">
        <v>37078700</v>
      </c>
      <c r="E120" s="135">
        <v>0</v>
      </c>
      <c r="F120" s="135">
        <v>12913700</v>
      </c>
      <c r="G120" s="135">
        <v>8057100</v>
      </c>
      <c r="H120" s="135">
        <v>10976700</v>
      </c>
      <c r="I120" s="135">
        <v>3758000</v>
      </c>
      <c r="J120" s="135">
        <v>39300</v>
      </c>
      <c r="K120" s="135">
        <v>0</v>
      </c>
      <c r="L120" s="135">
        <v>68438107</v>
      </c>
      <c r="M120" s="135">
        <v>0</v>
      </c>
      <c r="N120" s="135">
        <v>727</v>
      </c>
      <c r="O120" s="135">
        <v>412</v>
      </c>
      <c r="P120" s="135">
        <v>1787000</v>
      </c>
      <c r="Q120" s="135">
        <v>967500</v>
      </c>
      <c r="R120" s="135">
        <v>130000</v>
      </c>
      <c r="S120" s="135">
        <v>1211500</v>
      </c>
      <c r="T120" s="135">
        <v>647500</v>
      </c>
      <c r="U120" s="135">
        <v>1012500</v>
      </c>
      <c r="V120" s="135">
        <v>1787000</v>
      </c>
      <c r="W120" s="135">
        <v>1140000</v>
      </c>
      <c r="X120" s="135">
        <v>130000</v>
      </c>
      <c r="Y120" s="135">
        <v>1211500</v>
      </c>
      <c r="Z120" s="135">
        <v>685000</v>
      </c>
      <c r="AA120" s="135">
        <v>1012500</v>
      </c>
      <c r="AB120" s="135">
        <v>-1600300</v>
      </c>
      <c r="AC120" s="135">
        <v>-5359747</v>
      </c>
      <c r="AD120" s="135">
        <v>87437</v>
      </c>
      <c r="AE120" s="135">
        <v>0</v>
      </c>
      <c r="AF120" s="135">
        <v>0</v>
      </c>
      <c r="AG120" s="135">
        <v>115783</v>
      </c>
      <c r="AH120" s="135">
        <v>5132942.62</v>
      </c>
      <c r="AI120" s="135">
        <v>0</v>
      </c>
      <c r="AJ120" s="139">
        <v>0</v>
      </c>
      <c r="AK120" s="82">
        <v>45090500</v>
      </c>
      <c r="AL120" s="82">
        <v>530790</v>
      </c>
      <c r="AM120" s="135">
        <v>0</v>
      </c>
      <c r="AN120" s="135">
        <v>3841731</v>
      </c>
      <c r="AO120" s="135">
        <v>62150</v>
      </c>
      <c r="AP120" s="135">
        <v>359173</v>
      </c>
      <c r="AQ120" s="135">
        <v>8706335</v>
      </c>
      <c r="AR120" s="135">
        <v>3570037</v>
      </c>
      <c r="AS120" s="135">
        <v>0</v>
      </c>
      <c r="AT120" s="135">
        <v>0</v>
      </c>
      <c r="AU120" s="135">
        <v>0</v>
      </c>
      <c r="AV120" s="135">
        <v>0</v>
      </c>
      <c r="AW120" s="135">
        <v>0</v>
      </c>
      <c r="AX120" s="135">
        <v>0</v>
      </c>
      <c r="AY120" s="135">
        <v>0</v>
      </c>
      <c r="BD120" s="82">
        <v>2706611.05</v>
      </c>
      <c r="BE120" s="82">
        <v>1353305.53</v>
      </c>
      <c r="BF120" s="117">
        <v>0</v>
      </c>
      <c r="BG120" s="118">
        <v>0</v>
      </c>
      <c r="BH120" s="118">
        <v>0</v>
      </c>
      <c r="BI120" s="117">
        <v>537656</v>
      </c>
      <c r="BJ120" s="117">
        <v>537656</v>
      </c>
      <c r="BK120" s="117">
        <v>26021368</v>
      </c>
      <c r="BL120" s="117">
        <v>26021368</v>
      </c>
      <c r="BM120" s="117">
        <v>0</v>
      </c>
      <c r="BN120" s="117">
        <v>0</v>
      </c>
      <c r="BO120" s="138"/>
      <c r="BP120" s="86">
        <v>259223378.15000001</v>
      </c>
      <c r="BQ120" s="86">
        <v>185689758.62</v>
      </c>
      <c r="BR120" s="87"/>
      <c r="BT120" s="86">
        <v>167946600</v>
      </c>
      <c r="BU120" s="82">
        <f t="shared" si="11"/>
        <v>45090500</v>
      </c>
      <c r="BV120" s="82">
        <f t="shared" si="12"/>
        <v>530790</v>
      </c>
      <c r="BW120" s="86">
        <f t="shared" si="13"/>
        <v>12610216</v>
      </c>
      <c r="BX120" s="86">
        <f t="shared" si="10"/>
        <v>226178106</v>
      </c>
    </row>
    <row r="121" spans="1:103" ht="15.75" thickBot="1" x14ac:dyDescent="0.3">
      <c r="A121" s="104" t="s">
        <v>175</v>
      </c>
      <c r="B121" s="142">
        <v>1507359275</v>
      </c>
      <c r="C121" s="142">
        <v>534769522</v>
      </c>
      <c r="D121" s="142">
        <v>320507295</v>
      </c>
      <c r="E121" s="142">
        <v>12115740</v>
      </c>
      <c r="F121" s="142">
        <v>88332700</v>
      </c>
      <c r="G121" s="142">
        <v>7538400</v>
      </c>
      <c r="H121" s="142">
        <v>10958300</v>
      </c>
      <c r="I121" s="142">
        <v>432300</v>
      </c>
      <c r="J121" s="142">
        <v>117900</v>
      </c>
      <c r="K121" s="142">
        <v>39300</v>
      </c>
      <c r="L121" s="142">
        <v>840967888</v>
      </c>
      <c r="M121" s="142">
        <v>273483600</v>
      </c>
      <c r="N121" s="142">
        <v>2546</v>
      </c>
      <c r="O121" s="142">
        <v>206</v>
      </c>
      <c r="P121" s="142">
        <v>12676800</v>
      </c>
      <c r="Q121" s="142">
        <v>6235700</v>
      </c>
      <c r="R121" s="142">
        <v>5394300</v>
      </c>
      <c r="S121" s="142">
        <v>290000</v>
      </c>
      <c r="T121" s="142">
        <v>0</v>
      </c>
      <c r="U121" s="142">
        <v>0</v>
      </c>
      <c r="V121" s="142">
        <v>12676800</v>
      </c>
      <c r="W121" s="142">
        <v>17395700</v>
      </c>
      <c r="X121" s="142">
        <v>5394300</v>
      </c>
      <c r="Y121" s="142">
        <v>290000</v>
      </c>
      <c r="Z121" s="142">
        <v>0</v>
      </c>
      <c r="AA121" s="142">
        <v>0</v>
      </c>
      <c r="AB121" s="142">
        <v>-2005700</v>
      </c>
      <c r="AC121" s="142">
        <v>-107247</v>
      </c>
      <c r="AD121" s="142">
        <v>0</v>
      </c>
      <c r="AE121" s="142">
        <v>0</v>
      </c>
      <c r="AF121" s="142">
        <v>0</v>
      </c>
      <c r="AG121" s="142">
        <v>106594</v>
      </c>
      <c r="AH121" s="142"/>
      <c r="AI121" s="142"/>
      <c r="AJ121" s="142"/>
      <c r="AK121" s="101">
        <v>237982167</v>
      </c>
      <c r="AL121" s="101">
        <v>5292999</v>
      </c>
      <c r="AM121" s="142">
        <v>12000</v>
      </c>
      <c r="AN121" s="142">
        <v>49120674</v>
      </c>
      <c r="AO121" s="142">
        <v>8696738</v>
      </c>
      <c r="AP121" s="142">
        <v>265056700</v>
      </c>
      <c r="AQ121" s="142">
        <v>42840976</v>
      </c>
      <c r="AR121" s="142">
        <v>51635491</v>
      </c>
      <c r="AS121" s="142">
        <v>99312312</v>
      </c>
      <c r="AT121" s="142">
        <v>236674823</v>
      </c>
      <c r="AU121" s="142">
        <v>0</v>
      </c>
      <c r="AV121" s="142">
        <v>0</v>
      </c>
      <c r="AW121" s="142">
        <v>3493743</v>
      </c>
      <c r="AX121" s="142">
        <v>811869</v>
      </c>
      <c r="AY121" s="142">
        <v>3600</v>
      </c>
      <c r="AZ121" s="142"/>
      <c r="BA121" s="142"/>
      <c r="BB121" s="142"/>
      <c r="BC121" s="142"/>
      <c r="BD121" s="101">
        <v>14288332.26</v>
      </c>
      <c r="BE121" s="101">
        <v>7144166.1299999999</v>
      </c>
      <c r="BF121" s="125">
        <v>0</v>
      </c>
      <c r="BG121" s="126">
        <v>1163765</v>
      </c>
      <c r="BH121" s="126">
        <v>2327529</v>
      </c>
      <c r="BI121" s="127">
        <v>18598240</v>
      </c>
      <c r="BJ121" s="125">
        <v>18208274</v>
      </c>
      <c r="BK121" s="125">
        <v>53921267</v>
      </c>
      <c r="BL121" s="125">
        <v>52863358</v>
      </c>
      <c r="BM121" s="125">
        <v>123096543</v>
      </c>
      <c r="BN121" s="125">
        <v>0</v>
      </c>
      <c r="BO121" s="143"/>
      <c r="BP121" s="106">
        <v>2909045752.1300001</v>
      </c>
      <c r="BQ121" s="106">
        <v>2463294480</v>
      </c>
      <c r="BR121" s="107">
        <v>1934445</v>
      </c>
      <c r="BS121" s="108"/>
      <c r="BT121" s="86">
        <v>2362636092</v>
      </c>
      <c r="BU121" s="82">
        <f t="shared" si="11"/>
        <v>237982167</v>
      </c>
      <c r="BV121" s="82">
        <f t="shared" si="12"/>
        <v>5292999</v>
      </c>
      <c r="BW121" s="86">
        <f t="shared" si="13"/>
        <v>199970700</v>
      </c>
      <c r="BX121" s="86">
        <f t="shared" si="10"/>
        <v>2805881958</v>
      </c>
    </row>
    <row r="122" spans="1:103" ht="15.75" thickTop="1" x14ac:dyDescent="0.25">
      <c r="A122" s="129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109"/>
      <c r="BE122" s="109"/>
      <c r="BF122" s="140"/>
      <c r="BI122" s="110"/>
      <c r="BJ122" s="110"/>
      <c r="BK122" s="110"/>
      <c r="BL122" s="110"/>
      <c r="BM122" s="140"/>
      <c r="BN122" s="140"/>
    </row>
    <row r="123" spans="1:103" x14ac:dyDescent="0.25">
      <c r="A123" s="129" t="s">
        <v>332</v>
      </c>
      <c r="B123" s="144">
        <v>174673235437</v>
      </c>
      <c r="C123" s="135">
        <v>21440299305</v>
      </c>
      <c r="D123" s="144">
        <v>73344320919</v>
      </c>
      <c r="E123" s="144">
        <v>1470534961</v>
      </c>
      <c r="F123" s="144">
        <f t="shared" ref="F123:BC123" si="14">SUM(F2:F121)</f>
        <v>12318803963</v>
      </c>
      <c r="G123" s="144">
        <f t="shared" si="14"/>
        <v>2361725436</v>
      </c>
      <c r="H123" s="144">
        <f t="shared" si="14"/>
        <v>1738539224</v>
      </c>
      <c r="I123" s="144">
        <f t="shared" si="14"/>
        <v>304418139</v>
      </c>
      <c r="J123" s="144">
        <f t="shared" si="14"/>
        <v>26549623</v>
      </c>
      <c r="K123" s="144">
        <f t="shared" si="14"/>
        <v>3988682</v>
      </c>
      <c r="L123" s="144">
        <f t="shared" si="14"/>
        <v>40894363812</v>
      </c>
      <c r="M123" s="144">
        <f t="shared" si="14"/>
        <v>14567832811</v>
      </c>
      <c r="N123" s="144">
        <f t="shared" si="14"/>
        <v>376230</v>
      </c>
      <c r="O123" s="144">
        <f t="shared" si="14"/>
        <v>80657</v>
      </c>
      <c r="P123" s="144">
        <f t="shared" si="14"/>
        <v>2584835292</v>
      </c>
      <c r="Q123" s="144">
        <f t="shared" si="14"/>
        <v>369328258</v>
      </c>
      <c r="R123" s="144">
        <f t="shared" si="14"/>
        <v>2373163364</v>
      </c>
      <c r="S123" s="144">
        <f t="shared" si="14"/>
        <v>796695011</v>
      </c>
      <c r="T123" s="144">
        <f t="shared" si="14"/>
        <v>196868676</v>
      </c>
      <c r="U123" s="144">
        <f t="shared" si="14"/>
        <v>735963441</v>
      </c>
      <c r="V123" s="144">
        <f t="shared" si="14"/>
        <v>2584663642</v>
      </c>
      <c r="W123" s="144">
        <f t="shared" si="14"/>
        <v>498153383</v>
      </c>
      <c r="X123" s="144">
        <f t="shared" si="14"/>
        <v>2373163364</v>
      </c>
      <c r="Y123" s="144">
        <f t="shared" si="14"/>
        <v>795906448</v>
      </c>
      <c r="Z123" s="144">
        <f t="shared" si="14"/>
        <v>409622005</v>
      </c>
      <c r="AA123" s="144">
        <f t="shared" si="14"/>
        <v>736012041</v>
      </c>
      <c r="AB123" s="144">
        <f t="shared" si="14"/>
        <v>-551487681</v>
      </c>
      <c r="AC123" s="144">
        <f t="shared" si="14"/>
        <v>-242100977</v>
      </c>
      <c r="AD123" s="144">
        <f t="shared" si="14"/>
        <v>7601466</v>
      </c>
      <c r="AE123" s="144">
        <f t="shared" si="14"/>
        <v>21155024</v>
      </c>
      <c r="AF123" s="144">
        <f t="shared" si="14"/>
        <v>2377536575</v>
      </c>
      <c r="AG123" s="144">
        <f t="shared" si="14"/>
        <v>27467044.469099998</v>
      </c>
      <c r="AH123" s="144">
        <f t="shared" si="14"/>
        <v>140173036.34</v>
      </c>
      <c r="AI123" s="144">
        <f t="shared" si="14"/>
        <v>434756331.44999981</v>
      </c>
      <c r="AJ123" s="144">
        <f t="shared" si="14"/>
        <v>345843688.50999987</v>
      </c>
      <c r="AK123" s="144">
        <f t="shared" si="14"/>
        <v>32027709165</v>
      </c>
      <c r="AL123" s="144">
        <f t="shared" si="14"/>
        <v>863216308</v>
      </c>
      <c r="AM123" s="144">
        <f t="shared" si="14"/>
        <v>103384726</v>
      </c>
      <c r="AN123" s="144">
        <f t="shared" si="14"/>
        <v>11165131090</v>
      </c>
      <c r="AO123" s="144">
        <f t="shared" si="14"/>
        <v>1096265245</v>
      </c>
      <c r="AP123" s="144">
        <f t="shared" si="14"/>
        <v>23325687628</v>
      </c>
      <c r="AQ123" s="144">
        <f t="shared" si="14"/>
        <v>10268450149</v>
      </c>
      <c r="AR123" s="144">
        <f t="shared" si="14"/>
        <v>12231541418</v>
      </c>
      <c r="AS123" s="144">
        <f t="shared" si="14"/>
        <v>12792348408</v>
      </c>
      <c r="AT123" s="144">
        <f t="shared" si="14"/>
        <v>9713624763</v>
      </c>
      <c r="AU123" s="144">
        <f t="shared" si="14"/>
        <v>44351557</v>
      </c>
      <c r="AV123" s="144">
        <f t="shared" si="14"/>
        <v>21286580</v>
      </c>
      <c r="AW123" s="144">
        <f t="shared" si="14"/>
        <v>1095450235</v>
      </c>
      <c r="AX123" s="144">
        <f t="shared" si="14"/>
        <v>166064767</v>
      </c>
      <c r="AY123" s="144">
        <f t="shared" si="14"/>
        <v>309347854</v>
      </c>
      <c r="AZ123" s="144">
        <f t="shared" si="14"/>
        <v>0</v>
      </c>
      <c r="BA123" s="144">
        <f t="shared" si="14"/>
        <v>0</v>
      </c>
      <c r="BB123" s="144">
        <f t="shared" si="14"/>
        <v>0</v>
      </c>
      <c r="BC123" s="144">
        <f t="shared" si="14"/>
        <v>0</v>
      </c>
      <c r="BD123" s="144">
        <f>SUM(BD2:BD121)</f>
        <v>1940926974.1300013</v>
      </c>
      <c r="BE123" s="144">
        <f>SUM(BE2:BE121)</f>
        <v>970463487.40000081</v>
      </c>
      <c r="BF123" s="145">
        <f>SUM(BF2:BF122)</f>
        <v>1100000000.0000002</v>
      </c>
      <c r="BG123" s="145">
        <f>SUM(BG2:BG121)</f>
        <v>313365159</v>
      </c>
      <c r="BH123" s="145">
        <f>SUM(BH2:BH121)</f>
        <v>626730321</v>
      </c>
      <c r="BI123" s="111">
        <f t="shared" ref="BI123:BO123" si="15">SUM(BI2:BI122)</f>
        <v>6701016386.7599993</v>
      </c>
      <c r="BJ123" s="111">
        <f t="shared" si="15"/>
        <v>6639364742.7599993</v>
      </c>
      <c r="BK123" s="111">
        <f t="shared" si="15"/>
        <v>12563280369.16</v>
      </c>
      <c r="BL123" s="111">
        <f t="shared" si="15"/>
        <v>11573804981.16</v>
      </c>
      <c r="BM123" s="145">
        <f t="shared" si="15"/>
        <v>2038730889</v>
      </c>
      <c r="BN123" s="145">
        <f t="shared" si="15"/>
        <v>209701104</v>
      </c>
      <c r="BO123" s="145">
        <f t="shared" si="15"/>
        <v>0</v>
      </c>
      <c r="BP123" s="112">
        <v>347544831037.62024</v>
      </c>
      <c r="BQ123" s="112">
        <v>292908475201.30005</v>
      </c>
      <c r="BR123" s="112">
        <f>SUM(BR2:BR121)</f>
        <v>353654305</v>
      </c>
      <c r="BS123" s="113"/>
    </row>
    <row r="124" spans="1:103" x14ac:dyDescent="0.25">
      <c r="BD124" s="131"/>
    </row>
    <row r="125" spans="1:103" x14ac:dyDescent="0.25">
      <c r="BD125" s="131"/>
    </row>
    <row r="126" spans="1:103" x14ac:dyDescent="0.25">
      <c r="BD126" s="131"/>
    </row>
    <row r="127" spans="1:103" s="135" customFormat="1" x14ac:dyDescent="0.25">
      <c r="A127" s="113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</row>
    <row r="128" spans="1:103" s="135" customFormat="1" x14ac:dyDescent="0.25">
      <c r="A128" s="113"/>
      <c r="B128" s="135">
        <v>277017993460.06</v>
      </c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</row>
    <row r="129" spans="1:103" s="135" customFormat="1" x14ac:dyDescent="0.25">
      <c r="A129" s="113"/>
      <c r="B129" s="135">
        <v>98539000040.559998</v>
      </c>
      <c r="P129" s="135">
        <f>P123+Q123+R123-S123-T123-U123</f>
        <v>3597799786</v>
      </c>
      <c r="AI129" s="135">
        <f>AH123+AI123</f>
        <v>574929367.78999984</v>
      </c>
      <c r="BP129" s="88"/>
      <c r="BQ129" s="88"/>
      <c r="BR129" s="88"/>
      <c r="BS129" s="88"/>
      <c r="BT129" s="88"/>
      <c r="BU129" s="88"/>
      <c r="BV129" s="88"/>
      <c r="BW129" s="88"/>
      <c r="BX129" s="88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</row>
    <row r="130" spans="1:103" s="135" customFormat="1" x14ac:dyDescent="0.25">
      <c r="A130" s="113"/>
      <c r="B130" s="135">
        <v>32890925473</v>
      </c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</row>
    <row r="131" spans="1:103" s="135" customFormat="1" x14ac:dyDescent="0.25">
      <c r="A131" s="113"/>
      <c r="BP131" s="88"/>
      <c r="BQ131" s="88"/>
      <c r="BR131" s="88"/>
      <c r="BS131" s="88"/>
      <c r="BT131" s="88"/>
      <c r="BU131" s="88"/>
      <c r="BV131" s="88"/>
      <c r="BW131" s="88"/>
      <c r="BX131" s="88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88"/>
      <c r="CV131" s="88"/>
      <c r="CW131" s="88"/>
      <c r="CX131" s="88"/>
      <c r="CY131" s="88"/>
    </row>
    <row r="132" spans="1:103" s="135" customFormat="1" x14ac:dyDescent="0.25">
      <c r="A132" s="113"/>
      <c r="BP132" s="88"/>
      <c r="BQ132" s="88"/>
      <c r="BR132" s="88"/>
      <c r="BS132" s="88"/>
      <c r="BT132" s="88"/>
      <c r="BU132" s="88"/>
      <c r="BV132" s="88"/>
      <c r="BW132" s="88"/>
      <c r="BX132" s="88"/>
      <c r="BY132" s="88"/>
      <c r="BZ132" s="88"/>
      <c r="CA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88"/>
      <c r="CV132" s="88"/>
      <c r="CW132" s="88"/>
      <c r="CX132" s="88"/>
      <c r="CY132" s="88"/>
    </row>
    <row r="133" spans="1:103" s="135" customFormat="1" x14ac:dyDescent="0.25">
      <c r="A133" s="113"/>
      <c r="BP133" s="88"/>
      <c r="BQ133" s="88"/>
      <c r="BR133" s="88"/>
      <c r="BS133" s="88"/>
      <c r="BT133" s="88"/>
      <c r="BU133" s="88"/>
      <c r="BV133" s="88"/>
      <c r="BW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</row>
    <row r="134" spans="1:103" s="135" customFormat="1" x14ac:dyDescent="0.25">
      <c r="A134" s="113"/>
      <c r="BP134" s="88"/>
      <c r="BQ134" s="88"/>
      <c r="BR134" s="88"/>
      <c r="BS134" s="88"/>
      <c r="BT134" s="88"/>
      <c r="BU134" s="88"/>
      <c r="BV134" s="88"/>
      <c r="BW134" s="88"/>
      <c r="BX134" s="88"/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</row>
    <row r="135" spans="1:103" s="135" customFormat="1" x14ac:dyDescent="0.25">
      <c r="A135" s="113"/>
      <c r="BP135" s="88"/>
      <c r="BQ135" s="88"/>
      <c r="BR135" s="88"/>
      <c r="BS135" s="88"/>
      <c r="BT135" s="88"/>
      <c r="BU135" s="88"/>
      <c r="BV135" s="88"/>
      <c r="BW135" s="88"/>
      <c r="BX135" s="88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</row>
    <row r="136" spans="1:103" s="135" customFormat="1" x14ac:dyDescent="0.25">
      <c r="A136" s="113"/>
      <c r="BP136" s="88"/>
      <c r="BQ136" s="88"/>
      <c r="BR136" s="88"/>
      <c r="BS136" s="88"/>
      <c r="BT136" s="88"/>
      <c r="BU136" s="88"/>
      <c r="BV136" s="88"/>
      <c r="BW136" s="88"/>
      <c r="BX136" s="88"/>
      <c r="BY136" s="88"/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/>
      <c r="CM136" s="88"/>
      <c r="CN136" s="88"/>
      <c r="CO136" s="88"/>
      <c r="CP136" s="88"/>
      <c r="CQ136" s="88"/>
      <c r="CR136" s="88"/>
      <c r="CS136" s="88"/>
      <c r="CT136" s="88"/>
      <c r="CU136" s="88"/>
      <c r="CV136" s="88"/>
      <c r="CW136" s="88"/>
      <c r="CX136" s="88"/>
      <c r="CY136" s="88"/>
    </row>
    <row r="137" spans="1:103" s="135" customFormat="1" x14ac:dyDescent="0.25">
      <c r="A137" s="113"/>
      <c r="BP137" s="88"/>
      <c r="BQ137" s="88"/>
      <c r="BR137" s="88"/>
      <c r="BS137" s="88"/>
      <c r="BT137" s="88"/>
      <c r="BU137" s="88"/>
      <c r="BV137" s="88"/>
      <c r="BW137" s="88"/>
      <c r="BX137" s="88"/>
      <c r="BY137" s="88"/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CX137" s="88"/>
      <c r="CY137" s="88"/>
    </row>
    <row r="138" spans="1:103" s="135" customFormat="1" x14ac:dyDescent="0.25">
      <c r="A138" s="113"/>
      <c r="BP138" s="88"/>
      <c r="BQ138" s="88"/>
      <c r="BR138" s="88"/>
      <c r="BS138" s="88"/>
      <c r="BT138" s="88"/>
      <c r="BU138" s="88"/>
      <c r="BV138" s="88"/>
      <c r="BW138" s="88"/>
      <c r="BX138" s="88"/>
      <c r="BY138" s="88"/>
      <c r="BZ138" s="88"/>
      <c r="CA138" s="88"/>
      <c r="CB138" s="88"/>
      <c r="CC138" s="88"/>
      <c r="CD138" s="88"/>
      <c r="CE138" s="88"/>
      <c r="CF138" s="88"/>
      <c r="CG138" s="88"/>
      <c r="CH138" s="88"/>
      <c r="CI138" s="88"/>
      <c r="CJ138" s="88"/>
      <c r="CK138" s="88"/>
      <c r="CL138" s="88"/>
      <c r="CM138" s="88"/>
      <c r="CN138" s="88"/>
      <c r="CO138" s="88"/>
      <c r="CP138" s="88"/>
      <c r="CQ138" s="88"/>
      <c r="CR138" s="88"/>
      <c r="CS138" s="88"/>
      <c r="CT138" s="88"/>
      <c r="CU138" s="88"/>
      <c r="CV138" s="88"/>
      <c r="CW138" s="88"/>
      <c r="CX138" s="88"/>
      <c r="CY138" s="88"/>
    </row>
    <row r="139" spans="1:103" s="135" customFormat="1" x14ac:dyDescent="0.25">
      <c r="A139" s="113"/>
      <c r="BP139" s="88"/>
      <c r="BQ139" s="88"/>
      <c r="BR139" s="88"/>
      <c r="BS139" s="88"/>
      <c r="BT139" s="88"/>
      <c r="BU139" s="88"/>
      <c r="BV139" s="88"/>
      <c r="BW139" s="88"/>
      <c r="BX139" s="88"/>
      <c r="BY139" s="88"/>
      <c r="BZ139" s="88"/>
      <c r="CA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</row>
    <row r="140" spans="1:103" s="135" customFormat="1" x14ac:dyDescent="0.25">
      <c r="A140" s="113"/>
      <c r="BP140" s="88"/>
      <c r="BQ140" s="88"/>
      <c r="BR140" s="88"/>
      <c r="BS140" s="88"/>
      <c r="BT140" s="88"/>
      <c r="BU140" s="88"/>
      <c r="BV140" s="88"/>
      <c r="BW140" s="88"/>
      <c r="BX140" s="88"/>
      <c r="BY140" s="88"/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/>
      <c r="CM140" s="88"/>
      <c r="CN140" s="88"/>
      <c r="CO140" s="88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</row>
    <row r="141" spans="1:103" s="135" customFormat="1" x14ac:dyDescent="0.25">
      <c r="A141" s="113"/>
      <c r="BP141" s="88"/>
      <c r="BQ141" s="88"/>
      <c r="BR141" s="88"/>
      <c r="BS141" s="88"/>
      <c r="BT141" s="88"/>
      <c r="BU141" s="88"/>
      <c r="BV141" s="88"/>
      <c r="BW141" s="88"/>
      <c r="BX141" s="88"/>
      <c r="BY141" s="88"/>
      <c r="BZ141" s="88"/>
      <c r="CA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  <c r="CM141" s="88"/>
      <c r="CN141" s="88"/>
      <c r="CO141" s="88"/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</row>
    <row r="142" spans="1:103" s="135" customFormat="1" x14ac:dyDescent="0.25">
      <c r="A142" s="113"/>
      <c r="BP142" s="88"/>
      <c r="BQ142" s="88"/>
      <c r="BR142" s="88"/>
      <c r="BS142" s="88"/>
      <c r="BT142" s="88"/>
      <c r="BU142" s="88"/>
      <c r="BV142" s="88"/>
      <c r="BW142" s="88"/>
      <c r="BX142" s="88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88"/>
      <c r="CN142" s="88"/>
      <c r="CO142" s="88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</row>
    <row r="143" spans="1:103" s="135" customFormat="1" x14ac:dyDescent="0.25">
      <c r="A143" s="113"/>
      <c r="BP143" s="88"/>
      <c r="BQ143" s="88"/>
      <c r="BR143" s="88"/>
      <c r="BS143" s="88"/>
      <c r="BT143" s="88"/>
      <c r="BU143" s="88"/>
      <c r="BV143" s="88"/>
      <c r="BW143" s="88"/>
      <c r="BX143" s="88"/>
      <c r="BY143" s="88"/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/>
      <c r="CM143" s="88"/>
      <c r="CN143" s="88"/>
      <c r="CO143" s="88"/>
      <c r="CP143" s="88"/>
      <c r="CQ143" s="88"/>
      <c r="CR143" s="88"/>
      <c r="CS143" s="88"/>
      <c r="CT143" s="88"/>
      <c r="CU143" s="88"/>
      <c r="CV143" s="88"/>
      <c r="CW143" s="88"/>
      <c r="CX143" s="88"/>
      <c r="CY143" s="88"/>
    </row>
    <row r="144" spans="1:103" s="135" customFormat="1" x14ac:dyDescent="0.25">
      <c r="A144" s="113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</row>
  </sheetData>
  <pageMargins left="0.75" right="0.75" top="1" bottom="1" header="0.5" footer="0.5"/>
  <pageSetup orientation="landscape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E21DC-3E59-4C19-85D1-F5064A464C9E}">
  <dimension ref="A1:DF144"/>
  <sheetViews>
    <sheetView zoomScale="110" zoomScaleNormal="11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BU5" sqref="BU5"/>
    </sheetView>
  </sheetViews>
  <sheetFormatPr defaultColWidth="8.7109375" defaultRowHeight="15" x14ac:dyDescent="0.25"/>
  <cols>
    <col min="1" max="1" width="15.42578125" style="113" customWidth="1"/>
    <col min="2" max="2" width="17.42578125" style="135" customWidth="1"/>
    <col min="3" max="3" width="16" style="135" customWidth="1"/>
    <col min="4" max="4" width="16.42578125" style="135" customWidth="1"/>
    <col min="5" max="5" width="14.85546875" style="135" customWidth="1"/>
    <col min="6" max="6" width="16.42578125" style="135" customWidth="1"/>
    <col min="7" max="8" width="13.85546875" style="135" customWidth="1"/>
    <col min="9" max="9" width="12.85546875" style="135" customWidth="1"/>
    <col min="10" max="11" width="14.28515625" style="135" customWidth="1"/>
    <col min="12" max="12" width="15.28515625" style="135" bestFit="1" customWidth="1"/>
    <col min="13" max="13" width="14.85546875" style="135" customWidth="1"/>
    <col min="14" max="14" width="14.5703125" style="135" customWidth="1"/>
    <col min="15" max="15" width="13.7109375" style="135" customWidth="1"/>
    <col min="16" max="16" width="14.85546875" style="135" customWidth="1"/>
    <col min="17" max="17" width="13.85546875" style="135" customWidth="1"/>
    <col min="18" max="18" width="14.85546875" style="135" customWidth="1"/>
    <col min="19" max="20" width="13.85546875" style="135" customWidth="1"/>
    <col min="21" max="22" width="14.85546875" style="135" customWidth="1"/>
    <col min="23" max="23" width="13.85546875" style="135" customWidth="1"/>
    <col min="24" max="24" width="14.85546875" style="135" customWidth="1"/>
    <col min="25" max="25" width="18.7109375" style="135" bestFit="1" customWidth="1"/>
    <col min="26" max="26" width="13.85546875" style="135" customWidth="1"/>
    <col min="27" max="27" width="14.85546875" style="135" customWidth="1"/>
    <col min="28" max="28" width="16.5703125" style="135" customWidth="1"/>
    <col min="29" max="29" width="16.28515625" style="135" customWidth="1"/>
    <col min="30" max="30" width="11.28515625" style="135" customWidth="1"/>
    <col min="31" max="32" width="13.85546875" style="135" customWidth="1"/>
    <col min="33" max="33" width="12.28515625" style="135" bestFit="1" customWidth="1"/>
    <col min="34" max="34" width="13.85546875" style="135" customWidth="1"/>
    <col min="35" max="36" width="14.85546875" style="135" customWidth="1"/>
    <col min="37" max="37" width="15.42578125" style="135" hidden="1" customWidth="1"/>
    <col min="38" max="38" width="15.7109375" style="135" hidden="1" customWidth="1"/>
    <col min="39" max="40" width="9.28515625" style="135" hidden="1" customWidth="1"/>
    <col min="41" max="41" width="16.42578125" style="135" customWidth="1"/>
    <col min="42" max="42" width="15.42578125" style="135" customWidth="1"/>
    <col min="43" max="43" width="15.140625" style="135" customWidth="1"/>
    <col min="44" max="44" width="16.42578125" style="135" customWidth="1"/>
    <col min="45" max="45" width="13.85546875" style="135" customWidth="1"/>
    <col min="46" max="46" width="16.85546875" style="135" customWidth="1"/>
    <col min="47" max="47" width="16.42578125" style="135" customWidth="1"/>
    <col min="48" max="48" width="14.85546875" style="135" customWidth="1"/>
    <col min="49" max="49" width="16.42578125" style="135" customWidth="1"/>
    <col min="50" max="50" width="14.85546875" style="135" customWidth="1"/>
    <col min="51" max="51" width="13.85546875" style="135" customWidth="1"/>
    <col min="52" max="52" width="12.85546875" style="135" customWidth="1"/>
    <col min="53" max="53" width="14.85546875" style="135" customWidth="1"/>
    <col min="54" max="54" width="13.85546875" style="135" customWidth="1"/>
    <col min="55" max="55" width="16.5703125" style="135" customWidth="1"/>
    <col min="56" max="56" width="18" style="135" hidden="1" customWidth="1"/>
    <col min="57" max="57" width="16.42578125" style="135" hidden="1" customWidth="1"/>
    <col min="58" max="59" width="14.85546875" style="135" hidden="1" customWidth="1"/>
    <col min="60" max="60" width="16.85546875" style="135" customWidth="1"/>
    <col min="61" max="61" width="14.85546875" style="135" customWidth="1"/>
    <col min="62" max="62" width="14.42578125" style="135" customWidth="1"/>
    <col min="63" max="63" width="15.5703125" style="135" customWidth="1"/>
    <col min="64" max="64" width="15.42578125" style="135" customWidth="1"/>
    <col min="65" max="65" width="17.85546875" style="135" customWidth="1"/>
    <col min="66" max="66" width="18.28515625" style="135" customWidth="1"/>
    <col min="67" max="67" width="18.42578125" style="135" customWidth="1"/>
    <col min="68" max="68" width="17.28515625" style="135" customWidth="1"/>
    <col min="69" max="69" width="14.85546875" style="135" customWidth="1"/>
    <col min="70" max="71" width="13.85546875" style="135" customWidth="1"/>
    <col min="72" max="72" width="16.28515625" style="88" customWidth="1"/>
    <col min="73" max="73" width="16.5703125" style="88" customWidth="1"/>
    <col min="74" max="74" width="12.5703125" style="88" bestFit="1" customWidth="1"/>
    <col min="75" max="75" width="8.7109375" style="88"/>
    <col min="76" max="76" width="14.140625" style="135" customWidth="1"/>
    <col min="77" max="77" width="11.140625" style="135" customWidth="1"/>
    <col min="78" max="78" width="15.28515625" style="135" customWidth="1"/>
    <col min="79" max="79" width="13.140625" style="135" customWidth="1"/>
    <col min="80" max="80" width="15" style="88" customWidth="1"/>
    <col min="81" max="81" width="14.42578125" style="88" bestFit="1" customWidth="1"/>
    <col min="82" max="82" width="11.7109375" style="88" bestFit="1" customWidth="1"/>
    <col min="83" max="83" width="14" style="88" bestFit="1" customWidth="1"/>
    <col min="84" max="84" width="15" style="88" bestFit="1" customWidth="1"/>
    <col min="85" max="16384" width="8.7109375" style="88"/>
  </cols>
  <sheetData>
    <row r="1" spans="1:84" s="115" customFormat="1" ht="64.5" thickBot="1" x14ac:dyDescent="0.25">
      <c r="A1" s="75" t="str">
        <f>'[5]CO CODE'!E1&amp;" "&amp;"COUNTY"</f>
        <v>2020 COUNTY</v>
      </c>
      <c r="B1" s="136" t="s">
        <v>0</v>
      </c>
      <c r="C1" s="136" t="s">
        <v>1</v>
      </c>
      <c r="D1" s="136" t="s">
        <v>2</v>
      </c>
      <c r="E1" s="136" t="s">
        <v>3</v>
      </c>
      <c r="F1" s="136" t="s">
        <v>4</v>
      </c>
      <c r="G1" s="136" t="s">
        <v>5</v>
      </c>
      <c r="H1" s="136" t="s">
        <v>6</v>
      </c>
      <c r="I1" s="137" t="s">
        <v>7</v>
      </c>
      <c r="J1" s="136" t="s">
        <v>8</v>
      </c>
      <c r="K1" s="136" t="s">
        <v>9</v>
      </c>
      <c r="L1" s="136" t="s">
        <v>10</v>
      </c>
      <c r="M1" s="136" t="s">
        <v>11</v>
      </c>
      <c r="N1" s="136" t="s">
        <v>12</v>
      </c>
      <c r="O1" s="136" t="s">
        <v>13</v>
      </c>
      <c r="P1" s="136" t="str">
        <f>'[5]CO CODE'!$E$1&amp;" "&amp;"RES ADD TAX"</f>
        <v>2020 RES ADD TAX</v>
      </c>
      <c r="Q1" s="136" t="str">
        <f>'[5]CO CODE'!$E$1&amp;" "&amp;"FARM ADD TAX"</f>
        <v>2020 FARM ADD TAX</v>
      </c>
      <c r="R1" s="136" t="str">
        <f>'[5]CO CODE'!$E$1&amp;" "&amp;"COMM ADD TAX"</f>
        <v>2020 COMM ADD TAX</v>
      </c>
      <c r="S1" s="136" t="str">
        <f>'[5]CO CODE'!$E$1-1&amp;" "&amp;"RES.DEL TAX"</f>
        <v>2019 RES.DEL TAX</v>
      </c>
      <c r="T1" s="136" t="str">
        <f>'[5]CO CODE'!$E$1-1&amp;" "&amp;"FARM DEL TAX"</f>
        <v>2019 FARM DEL TAX</v>
      </c>
      <c r="U1" s="136" t="str">
        <f>'[5]CO CODE'!$E$1-1&amp;" "&amp;"COMM.DEL. TAX"</f>
        <v>2019 COMM.DEL. TAX</v>
      </c>
      <c r="V1" s="136" t="str">
        <f>'[5]CO CODE'!$E$1&amp;" "&amp;"RES ADD FAIR CASH"</f>
        <v>2020 RES ADD FAIR CASH</v>
      </c>
      <c r="W1" s="136" t="str">
        <f>'[5]CO CODE'!$E$1&amp;" "&amp;"FARM ADD FAIR CASH"</f>
        <v>2020 FARM ADD FAIR CASH</v>
      </c>
      <c r="X1" s="136" t="str">
        <f>'[5]CO CODE'!$E$1&amp;" "&amp;"COMM ADD FAIR CASH"</f>
        <v>2020 COMM ADD FAIR CASH</v>
      </c>
      <c r="Y1" s="136" t="str">
        <f>'[5]CO CODE'!$E$1-1&amp;" "&amp;"RES DEL FAIR CASH"</f>
        <v>2019 RES DEL FAIR CASH</v>
      </c>
      <c r="Z1" s="136" t="str">
        <f>'[5]CO CODE'!$E$1-1&amp;" "&amp;"FARM DEL FAIR CASH"</f>
        <v>2019 FARM DEL FAIR CASH</v>
      </c>
      <c r="AA1" s="136" t="str">
        <f>'[5]CO CODE'!$E$1-1&amp;" "&amp;"COMM DEL FAIR CASH"</f>
        <v>2019 COMM DEL FAIR CASH</v>
      </c>
      <c r="AB1" s="136" t="str">
        <f>'[5]CO CODE'!$E$1-1&amp;" "&amp;"AMT. REAL EXONERATIONS"</f>
        <v>2019 AMT. REAL EXONERATIONS</v>
      </c>
      <c r="AC1" s="136" t="str">
        <f>'[5]CO CODE'!$E$1-1&amp;" "&amp;"AMT. TANG. EXONERATIONS"</f>
        <v>2019 AMT. TANG. EXONERATIONS</v>
      </c>
      <c r="AD1" s="136" t="s">
        <v>14</v>
      </c>
      <c r="AE1" s="136" t="s">
        <v>15</v>
      </c>
      <c r="AF1" s="136" t="s">
        <v>16</v>
      </c>
      <c r="AG1" s="136" t="s">
        <v>17</v>
      </c>
      <c r="AH1" s="136" t="s">
        <v>18</v>
      </c>
      <c r="AI1" s="136" t="s">
        <v>19</v>
      </c>
      <c r="AJ1" s="136" t="str">
        <f>'[5]CO CODE'!$E$1&amp;" "&amp;"TOTAL UNMINED C0AL"</f>
        <v>2020 TOTAL UNMINED C0AL</v>
      </c>
      <c r="AK1" s="136" t="str">
        <f>'[6]CO CODE'!$E$1&amp;" "&amp;"UNMINED COAL TAX"</f>
        <v>2007 UNMINED COAL TAX</v>
      </c>
      <c r="AL1" s="136" t="s">
        <v>20</v>
      </c>
      <c r="AM1" s="136" t="str">
        <f>'[7]CO CODE'!$E$1&amp;" "&amp;"UNMINED COAL FAIR CASH"</f>
        <v>2005 UNMINED COAL FAIR CASH</v>
      </c>
      <c r="AN1" s="136" t="str">
        <f>'[7]CO CODE'!$E$1-1&amp;" "&amp;"UNMINED COAL FAIR CASH"</f>
        <v>2004 UNMINED COAL FAIR CASH</v>
      </c>
      <c r="AO1" s="136" t="s">
        <v>21</v>
      </c>
      <c r="AP1" s="136" t="s">
        <v>22</v>
      </c>
      <c r="AQ1" s="136" t="s">
        <v>23</v>
      </c>
      <c r="AR1" s="136" t="s">
        <v>24</v>
      </c>
      <c r="AS1" s="136" t="s">
        <v>25</v>
      </c>
      <c r="AT1" s="136" t="s">
        <v>26</v>
      </c>
      <c r="AU1" s="136" t="s">
        <v>27</v>
      </c>
      <c r="AV1" s="136" t="s">
        <v>28</v>
      </c>
      <c r="AW1" s="136" t="s">
        <v>29</v>
      </c>
      <c r="AX1" s="136" t="s">
        <v>30</v>
      </c>
      <c r="AY1" s="136" t="s">
        <v>31</v>
      </c>
      <c r="AZ1" s="136" t="s">
        <v>32</v>
      </c>
      <c r="BA1" s="136" t="s">
        <v>33</v>
      </c>
      <c r="BB1" s="136" t="s">
        <v>34</v>
      </c>
      <c r="BC1" s="136" t="s">
        <v>35</v>
      </c>
      <c r="BD1" s="136" t="s">
        <v>36</v>
      </c>
      <c r="BE1" s="136" t="s">
        <v>37</v>
      </c>
      <c r="BF1" s="136" t="s">
        <v>38</v>
      </c>
      <c r="BG1" s="136" t="s">
        <v>39</v>
      </c>
      <c r="BH1" s="136" t="s">
        <v>40</v>
      </c>
      <c r="BI1" s="136" t="s">
        <v>41</v>
      </c>
      <c r="BJ1" s="136" t="s">
        <v>42</v>
      </c>
      <c r="BK1" s="136" t="s">
        <v>339</v>
      </c>
      <c r="BL1" s="136" t="s">
        <v>43</v>
      </c>
      <c r="BM1" s="136" t="s">
        <v>44</v>
      </c>
      <c r="BN1" s="136" t="s">
        <v>340</v>
      </c>
      <c r="BO1" s="136" t="s">
        <v>45</v>
      </c>
      <c r="BP1" s="136" t="s">
        <v>341</v>
      </c>
      <c r="BQ1" s="136" t="s">
        <v>46</v>
      </c>
      <c r="BR1" s="136" t="s">
        <v>47</v>
      </c>
      <c r="BS1" s="136" t="s">
        <v>48</v>
      </c>
      <c r="BT1" s="76" t="s">
        <v>49</v>
      </c>
      <c r="BU1" s="76" t="s">
        <v>50</v>
      </c>
      <c r="BV1" s="76" t="s">
        <v>51</v>
      </c>
      <c r="BW1" s="76"/>
      <c r="BX1" s="136" t="s">
        <v>52</v>
      </c>
      <c r="BY1" s="136" t="s">
        <v>53</v>
      </c>
      <c r="BZ1" s="136" t="s">
        <v>54</v>
      </c>
      <c r="CA1" s="136" t="s">
        <v>55</v>
      </c>
      <c r="CB1" s="133" t="s">
        <v>326</v>
      </c>
      <c r="CC1" s="133" t="s">
        <v>327</v>
      </c>
      <c r="CD1" s="133" t="s">
        <v>328</v>
      </c>
      <c r="CE1" s="133" t="s">
        <v>329</v>
      </c>
      <c r="CF1" s="133" t="s">
        <v>330</v>
      </c>
    </row>
    <row r="2" spans="1:84" x14ac:dyDescent="0.25">
      <c r="A2" s="79" t="s">
        <v>56</v>
      </c>
      <c r="B2" s="135">
        <v>318094100</v>
      </c>
      <c r="C2" s="135">
        <v>163044200</v>
      </c>
      <c r="D2" s="135">
        <v>128701200</v>
      </c>
      <c r="E2" s="135">
        <v>0</v>
      </c>
      <c r="F2" s="135">
        <v>49912500</v>
      </c>
      <c r="G2" s="135">
        <v>12619700</v>
      </c>
      <c r="H2" s="135">
        <v>23893700</v>
      </c>
      <c r="I2" s="135">
        <v>2957600</v>
      </c>
      <c r="J2" s="135">
        <v>64300</v>
      </c>
      <c r="K2" s="135">
        <v>64300</v>
      </c>
      <c r="L2" s="135">
        <v>380326400</v>
      </c>
      <c r="M2" s="135">
        <v>74956300</v>
      </c>
      <c r="N2" s="135">
        <v>2011</v>
      </c>
      <c r="O2" s="135">
        <v>493</v>
      </c>
      <c r="P2" s="135">
        <v>3269500</v>
      </c>
      <c r="Q2" s="135">
        <v>2196100</v>
      </c>
      <c r="R2" s="135">
        <v>1927000</v>
      </c>
      <c r="S2" s="135">
        <v>675000</v>
      </c>
      <c r="T2" s="135">
        <v>419400</v>
      </c>
      <c r="U2" s="135">
        <v>445000</v>
      </c>
      <c r="V2" s="135">
        <v>3269500</v>
      </c>
      <c r="W2" s="135">
        <v>2182000</v>
      </c>
      <c r="X2" s="135">
        <v>1927000</v>
      </c>
      <c r="Y2" s="135">
        <v>675000</v>
      </c>
      <c r="Z2" s="135">
        <v>440500</v>
      </c>
      <c r="AA2" s="135">
        <v>445000</v>
      </c>
      <c r="AB2" s="135">
        <v>-2516000</v>
      </c>
      <c r="AC2" s="135">
        <v>-508447</v>
      </c>
      <c r="AD2" s="135">
        <v>109597</v>
      </c>
      <c r="AE2" s="135">
        <v>0</v>
      </c>
      <c r="AF2" s="135">
        <v>0</v>
      </c>
      <c r="AG2" s="135">
        <v>225431</v>
      </c>
      <c r="AH2" s="135">
        <v>1835360.6557377048</v>
      </c>
      <c r="AI2" s="135">
        <v>360889</v>
      </c>
      <c r="AO2" s="82">
        <v>113625012</v>
      </c>
      <c r="AP2" s="82">
        <v>4573753</v>
      </c>
      <c r="AQ2" s="135">
        <v>694696</v>
      </c>
      <c r="AR2" s="135">
        <v>18639701</v>
      </c>
      <c r="AS2" s="135">
        <v>618639</v>
      </c>
      <c r="AT2" s="135">
        <v>8047735</v>
      </c>
      <c r="AU2" s="135">
        <v>18931580</v>
      </c>
      <c r="AV2" s="135">
        <v>63382484</v>
      </c>
      <c r="AW2" s="135">
        <v>3500</v>
      </c>
      <c r="AX2" s="135">
        <v>970330</v>
      </c>
      <c r="AY2" s="135">
        <v>0</v>
      </c>
      <c r="AZ2" s="135">
        <v>0</v>
      </c>
      <c r="BA2" s="135">
        <v>0</v>
      </c>
      <c r="BB2" s="135">
        <v>745705</v>
      </c>
      <c r="BC2" s="135">
        <v>164500</v>
      </c>
      <c r="BH2" s="82">
        <v>8499601.1199999992</v>
      </c>
      <c r="BI2" s="82">
        <v>4249800.5599999996</v>
      </c>
      <c r="BJ2" s="117">
        <v>0</v>
      </c>
      <c r="BK2" s="118">
        <v>0</v>
      </c>
      <c r="BL2" s="118">
        <v>0</v>
      </c>
      <c r="BM2" s="117">
        <v>17069095</v>
      </c>
      <c r="BN2" s="117">
        <v>17069095</v>
      </c>
      <c r="BO2" s="117">
        <v>38714661</v>
      </c>
      <c r="BP2" s="117">
        <v>38520495</v>
      </c>
      <c r="BQ2" s="117">
        <v>0</v>
      </c>
      <c r="BR2" s="117">
        <v>0</v>
      </c>
      <c r="BS2" s="138"/>
      <c r="BT2" s="86">
        <v>828263825.2157377</v>
      </c>
      <c r="BU2" s="86">
        <v>650225669.65573776</v>
      </c>
      <c r="BV2" s="87">
        <v>272500</v>
      </c>
      <c r="BX2" s="135">
        <v>8010</v>
      </c>
      <c r="BY2" s="135">
        <v>4228</v>
      </c>
      <c r="BZ2" s="135">
        <v>744</v>
      </c>
      <c r="CA2" s="135">
        <f>SUM(BX2:BZ2)</f>
        <v>12982</v>
      </c>
      <c r="CB2" s="86">
        <v>609839500</v>
      </c>
      <c r="CC2" s="82">
        <f t="shared" ref="CC2:CD33" si="0">AO2</f>
        <v>113625012</v>
      </c>
      <c r="CD2" s="82">
        <f t="shared" si="0"/>
        <v>4573753</v>
      </c>
      <c r="CE2" s="86">
        <f t="shared" ref="CE2:CE65" si="1">AR2+AS2+AU2+AW2</f>
        <v>38193420</v>
      </c>
      <c r="CF2" s="86">
        <f t="shared" ref="CF2:CF65" si="2">SUM(CB2:CE2)</f>
        <v>766231685</v>
      </c>
    </row>
    <row r="3" spans="1:84" x14ac:dyDescent="0.25">
      <c r="A3" s="91" t="s">
        <v>57</v>
      </c>
      <c r="B3" s="135">
        <v>558409109</v>
      </c>
      <c r="C3" s="135">
        <v>217951912</v>
      </c>
      <c r="D3" s="135">
        <v>129180187</v>
      </c>
      <c r="E3" s="135">
        <v>0</v>
      </c>
      <c r="F3" s="135">
        <v>51007511</v>
      </c>
      <c r="G3" s="135">
        <v>16278350</v>
      </c>
      <c r="H3" s="135">
        <v>19462986</v>
      </c>
      <c r="I3" s="135">
        <v>2852617</v>
      </c>
      <c r="J3" s="135">
        <v>157200</v>
      </c>
      <c r="K3" s="135">
        <v>0</v>
      </c>
      <c r="L3" s="135">
        <v>366040590</v>
      </c>
      <c r="M3" s="135">
        <v>133470115</v>
      </c>
      <c r="N3" s="135">
        <v>1850</v>
      </c>
      <c r="O3" s="135">
        <v>531</v>
      </c>
      <c r="P3" s="135">
        <v>5786131</v>
      </c>
      <c r="Q3" s="135">
        <v>3719815</v>
      </c>
      <c r="R3" s="135">
        <v>610750</v>
      </c>
      <c r="S3" s="135">
        <v>5048637</v>
      </c>
      <c r="T3" s="135">
        <v>2713297</v>
      </c>
      <c r="U3" s="135">
        <v>1818711</v>
      </c>
      <c r="V3" s="135">
        <v>5786131</v>
      </c>
      <c r="W3" s="135">
        <v>4058093</v>
      </c>
      <c r="X3" s="135">
        <v>610750</v>
      </c>
      <c r="Y3" s="135">
        <v>5048637</v>
      </c>
      <c r="Z3" s="135">
        <v>3095648</v>
      </c>
      <c r="AA3" s="135">
        <v>1818711</v>
      </c>
      <c r="AB3" s="135">
        <v>-2224229</v>
      </c>
      <c r="AC3" s="135">
        <v>0</v>
      </c>
      <c r="AD3" s="135">
        <v>61503</v>
      </c>
      <c r="AE3" s="135">
        <v>0</v>
      </c>
      <c r="AF3" s="135">
        <v>0</v>
      </c>
      <c r="AG3" s="135">
        <v>45778</v>
      </c>
      <c r="AH3" s="135">
        <v>269532.78999999998</v>
      </c>
      <c r="AI3" s="135">
        <v>320770</v>
      </c>
      <c r="AJ3" s="139"/>
      <c r="AO3" s="82">
        <v>133341014</v>
      </c>
      <c r="AP3" s="82">
        <v>8706046</v>
      </c>
      <c r="AQ3" s="135">
        <v>120000</v>
      </c>
      <c r="AR3" s="135">
        <v>28104014</v>
      </c>
      <c r="AS3" s="135">
        <v>2412563</v>
      </c>
      <c r="AT3" s="135">
        <v>146713517</v>
      </c>
      <c r="AU3" s="135">
        <v>53554166</v>
      </c>
      <c r="AV3" s="135">
        <v>26893666</v>
      </c>
      <c r="AW3" s="135">
        <v>25566421</v>
      </c>
      <c r="AX3" s="135">
        <v>0</v>
      </c>
      <c r="AY3" s="135">
        <v>0</v>
      </c>
      <c r="AZ3" s="135">
        <v>0</v>
      </c>
      <c r="BA3" s="135">
        <v>0</v>
      </c>
      <c r="BB3" s="135">
        <v>160350</v>
      </c>
      <c r="BC3" s="135">
        <v>0</v>
      </c>
      <c r="BH3" s="82">
        <v>9974436.1899999995</v>
      </c>
      <c r="BI3" s="82">
        <v>4987218.0999999996</v>
      </c>
      <c r="BJ3" s="117">
        <v>0</v>
      </c>
      <c r="BK3" s="118">
        <v>0</v>
      </c>
      <c r="BL3" s="118">
        <v>0</v>
      </c>
      <c r="BM3" s="117">
        <v>20628750</v>
      </c>
      <c r="BN3" s="117">
        <v>20628750</v>
      </c>
      <c r="BO3" s="117">
        <v>55495566</v>
      </c>
      <c r="BP3" s="117">
        <v>55452258</v>
      </c>
      <c r="BQ3" s="117">
        <v>0</v>
      </c>
      <c r="BR3" s="117">
        <v>0</v>
      </c>
      <c r="BS3" s="138"/>
      <c r="BT3" s="86">
        <v>1213317539.8899999</v>
      </c>
      <c r="BU3" s="86">
        <v>990202253.78999996</v>
      </c>
      <c r="BV3" s="87">
        <v>1298043</v>
      </c>
      <c r="BX3" s="135">
        <v>8893</v>
      </c>
      <c r="BY3" s="135">
        <v>3382</v>
      </c>
      <c r="BZ3" s="135">
        <v>433</v>
      </c>
      <c r="CA3" s="135">
        <f>SUM(BX3:BZ3)</f>
        <v>12708</v>
      </c>
      <c r="CB3" s="86">
        <v>905541208</v>
      </c>
      <c r="CC3" s="82">
        <f t="shared" si="0"/>
        <v>133341014</v>
      </c>
      <c r="CD3" s="82">
        <f t="shared" si="0"/>
        <v>8706046</v>
      </c>
      <c r="CE3" s="86">
        <f t="shared" si="1"/>
        <v>109637164</v>
      </c>
      <c r="CF3" s="86">
        <f t="shared" si="2"/>
        <v>1157225432</v>
      </c>
    </row>
    <row r="4" spans="1:84" x14ac:dyDescent="0.25">
      <c r="A4" s="91" t="s">
        <v>58</v>
      </c>
      <c r="B4" s="135">
        <v>986038498</v>
      </c>
      <c r="C4" s="135">
        <v>205553130</v>
      </c>
      <c r="D4" s="135">
        <v>242209523</v>
      </c>
      <c r="E4" s="135">
        <v>1061180</v>
      </c>
      <c r="F4" s="135">
        <v>72618800</v>
      </c>
      <c r="G4" s="135">
        <v>8553700</v>
      </c>
      <c r="H4" s="135">
        <v>14213000</v>
      </c>
      <c r="I4" s="135">
        <v>1331900</v>
      </c>
      <c r="J4" s="135">
        <v>275100</v>
      </c>
      <c r="K4" s="135">
        <v>0</v>
      </c>
      <c r="L4" s="135">
        <v>177309945</v>
      </c>
      <c r="M4" s="135">
        <v>136726085</v>
      </c>
      <c r="N4" s="135">
        <v>2247</v>
      </c>
      <c r="O4" s="135">
        <v>264</v>
      </c>
      <c r="P4" s="135">
        <v>12463280</v>
      </c>
      <c r="Q4" s="135">
        <v>1279000</v>
      </c>
      <c r="R4" s="135">
        <v>1071000</v>
      </c>
      <c r="S4" s="135">
        <v>2222808</v>
      </c>
      <c r="T4" s="135">
        <v>0</v>
      </c>
      <c r="U4" s="135">
        <v>1177550</v>
      </c>
      <c r="V4" s="135">
        <v>12463280</v>
      </c>
      <c r="W4" s="135">
        <v>1453300</v>
      </c>
      <c r="X4" s="135">
        <v>1071000</v>
      </c>
      <c r="Y4" s="135">
        <v>2222808</v>
      </c>
      <c r="Z4" s="135">
        <v>20000</v>
      </c>
      <c r="AA4" s="135">
        <v>1177550</v>
      </c>
      <c r="AB4" s="135">
        <v>-2673000</v>
      </c>
      <c r="AC4" s="135">
        <v>-29049</v>
      </c>
      <c r="AD4" s="135">
        <v>0</v>
      </c>
      <c r="AE4" s="135">
        <v>0</v>
      </c>
      <c r="AF4" s="135">
        <v>0</v>
      </c>
      <c r="AG4" s="135">
        <v>109019</v>
      </c>
      <c r="AH4" s="135">
        <v>0</v>
      </c>
      <c r="AI4" s="135">
        <v>74959</v>
      </c>
      <c r="AJ4" s="139">
        <v>0</v>
      </c>
      <c r="AO4" s="82">
        <v>182848788</v>
      </c>
      <c r="AP4" s="82">
        <v>6317863</v>
      </c>
      <c r="AQ4" s="135">
        <v>0</v>
      </c>
      <c r="AR4" s="135">
        <v>24141652</v>
      </c>
      <c r="AS4" s="135">
        <v>7447670</v>
      </c>
      <c r="AT4" s="135">
        <v>141011205</v>
      </c>
      <c r="AU4" s="135">
        <v>37920156</v>
      </c>
      <c r="AV4" s="135">
        <v>28495532</v>
      </c>
      <c r="AW4" s="135">
        <v>22775346</v>
      </c>
      <c r="AX4" s="135">
        <v>290315</v>
      </c>
      <c r="AY4" s="135">
        <v>0</v>
      </c>
      <c r="AZ4" s="135">
        <v>307353</v>
      </c>
      <c r="BA4" s="135">
        <v>11785605</v>
      </c>
      <c r="BB4" s="135">
        <v>7592</v>
      </c>
      <c r="BC4" s="135">
        <v>38500</v>
      </c>
      <c r="BH4" s="82">
        <v>13677813.85</v>
      </c>
      <c r="BI4" s="82">
        <v>6838906.9299999997</v>
      </c>
      <c r="BJ4" s="117">
        <v>0</v>
      </c>
      <c r="BK4" s="118">
        <v>1752207</v>
      </c>
      <c r="BL4" s="118">
        <v>3504414</v>
      </c>
      <c r="BM4" s="117">
        <v>21349129</v>
      </c>
      <c r="BN4" s="117">
        <v>21349129</v>
      </c>
      <c r="BO4" s="117">
        <v>39044925</v>
      </c>
      <c r="BP4" s="117">
        <v>37393363</v>
      </c>
      <c r="BQ4" s="117">
        <v>158482417</v>
      </c>
      <c r="BR4" s="117">
        <v>0</v>
      </c>
      <c r="BS4" s="138"/>
      <c r="BT4" s="86">
        <v>1918368261.9300001</v>
      </c>
      <c r="BU4" s="86">
        <v>1503385588</v>
      </c>
      <c r="BV4" s="87">
        <v>1061180</v>
      </c>
      <c r="BX4" s="135">
        <v>9365</v>
      </c>
      <c r="BY4" s="135">
        <v>2024</v>
      </c>
      <c r="BZ4" s="135">
        <v>506</v>
      </c>
      <c r="CA4" s="135">
        <f>SUM(BX4:BZ4)</f>
        <v>11895</v>
      </c>
      <c r="CB4" s="86">
        <v>1433801151</v>
      </c>
      <c r="CC4" s="82">
        <f t="shared" si="0"/>
        <v>182848788</v>
      </c>
      <c r="CD4" s="82">
        <f t="shared" si="0"/>
        <v>6317863</v>
      </c>
      <c r="CE4" s="86">
        <f t="shared" si="1"/>
        <v>92284824</v>
      </c>
      <c r="CF4" s="86">
        <f t="shared" si="2"/>
        <v>1715252626</v>
      </c>
    </row>
    <row r="5" spans="1:84" x14ac:dyDescent="0.25">
      <c r="A5" s="91" t="s">
        <v>59</v>
      </c>
      <c r="B5" s="135">
        <v>180626698</v>
      </c>
      <c r="C5" s="135">
        <v>159929683</v>
      </c>
      <c r="D5" s="135">
        <v>69045987</v>
      </c>
      <c r="E5" s="135">
        <v>0</v>
      </c>
      <c r="F5" s="135">
        <v>27701630</v>
      </c>
      <c r="G5" s="135">
        <v>6424033</v>
      </c>
      <c r="H5" s="135">
        <v>7165837</v>
      </c>
      <c r="I5" s="135">
        <v>943200</v>
      </c>
      <c r="J5" s="135">
        <v>15000</v>
      </c>
      <c r="K5" s="135">
        <v>39300</v>
      </c>
      <c r="L5" s="135">
        <v>325900183</v>
      </c>
      <c r="M5" s="135">
        <v>47032441</v>
      </c>
      <c r="N5" s="135">
        <v>929</v>
      </c>
      <c r="O5" s="135">
        <v>207</v>
      </c>
      <c r="P5" s="135">
        <v>1723600</v>
      </c>
      <c r="Q5" s="135">
        <v>913781</v>
      </c>
      <c r="R5" s="135">
        <v>1386392</v>
      </c>
      <c r="S5" s="135">
        <v>970301</v>
      </c>
      <c r="T5" s="135">
        <v>105772</v>
      </c>
      <c r="U5" s="135">
        <v>89000</v>
      </c>
      <c r="V5" s="135">
        <v>1723600</v>
      </c>
      <c r="W5" s="135">
        <v>1248886</v>
      </c>
      <c r="X5" s="135">
        <v>1386392</v>
      </c>
      <c r="Y5" s="135">
        <v>970301</v>
      </c>
      <c r="Z5" s="135">
        <v>50216</v>
      </c>
      <c r="AA5" s="135">
        <v>89000</v>
      </c>
      <c r="AB5" s="135">
        <v>-1367657</v>
      </c>
      <c r="AC5" s="135">
        <v>947442</v>
      </c>
      <c r="AD5" s="135">
        <v>32579</v>
      </c>
      <c r="AE5" s="135">
        <v>4077</v>
      </c>
      <c r="AF5" s="135">
        <v>2152</v>
      </c>
      <c r="AG5" s="135">
        <v>141628</v>
      </c>
      <c r="AI5" s="135">
        <v>53750</v>
      </c>
      <c r="AJ5" s="139"/>
      <c r="AO5" s="82">
        <v>69365696</v>
      </c>
      <c r="AP5" s="82">
        <v>3127175</v>
      </c>
      <c r="AQ5" s="135">
        <v>0</v>
      </c>
      <c r="AR5" s="135">
        <v>37103065</v>
      </c>
      <c r="AS5" s="135">
        <v>6046220</v>
      </c>
      <c r="AT5" s="135">
        <v>191627069</v>
      </c>
      <c r="AU5" s="135">
        <v>35878777</v>
      </c>
      <c r="AV5" s="135">
        <v>40283019</v>
      </c>
      <c r="AW5" s="135">
        <v>1191976</v>
      </c>
      <c r="AX5" s="135">
        <v>48251</v>
      </c>
      <c r="AY5" s="135">
        <v>0</v>
      </c>
      <c r="AZ5" s="135">
        <v>72289</v>
      </c>
      <c r="BA5" s="135">
        <v>6876277</v>
      </c>
      <c r="BB5" s="135">
        <v>0</v>
      </c>
      <c r="BC5" s="135">
        <v>0</v>
      </c>
      <c r="BH5" s="82">
        <v>5188828.91</v>
      </c>
      <c r="BI5" s="82">
        <v>2594414.46</v>
      </c>
      <c r="BJ5" s="117">
        <v>35036269.430051811</v>
      </c>
      <c r="BK5" s="118">
        <v>1042286</v>
      </c>
      <c r="BL5" s="118">
        <v>2084572</v>
      </c>
      <c r="BM5" s="117">
        <v>29227225</v>
      </c>
      <c r="BN5" s="117">
        <v>29227225</v>
      </c>
      <c r="BO5" s="117">
        <v>70234334</v>
      </c>
      <c r="BP5" s="117">
        <v>60459453</v>
      </c>
      <c r="BQ5" s="117">
        <v>0</v>
      </c>
      <c r="BR5" s="117">
        <v>0</v>
      </c>
      <c r="BS5" s="138"/>
      <c r="BT5" s="86">
        <v>654500429.46000004</v>
      </c>
      <c r="BU5" s="86">
        <v>488684180</v>
      </c>
      <c r="BV5" s="87">
        <v>1844973</v>
      </c>
      <c r="BX5" s="135">
        <v>3840</v>
      </c>
      <c r="BY5" s="135">
        <v>2068</v>
      </c>
      <c r="BZ5" s="135">
        <v>450</v>
      </c>
      <c r="CA5" s="135">
        <f>SUM(BX5:BZ5)</f>
        <v>6358</v>
      </c>
      <c r="CB5" s="86">
        <v>409602368</v>
      </c>
      <c r="CC5" s="82">
        <f t="shared" si="0"/>
        <v>69365696</v>
      </c>
      <c r="CD5" s="82">
        <f t="shared" si="0"/>
        <v>3127175</v>
      </c>
      <c r="CE5" s="86">
        <f t="shared" si="1"/>
        <v>80220038</v>
      </c>
      <c r="CF5" s="86">
        <f t="shared" si="2"/>
        <v>562315277</v>
      </c>
    </row>
    <row r="6" spans="1:84" x14ac:dyDescent="0.25">
      <c r="A6" s="91" t="s">
        <v>60</v>
      </c>
      <c r="B6" s="135">
        <v>1296157617</v>
      </c>
      <c r="C6" s="135">
        <v>323278641</v>
      </c>
      <c r="D6" s="135">
        <v>530487107</v>
      </c>
      <c r="E6" s="135">
        <v>48500</v>
      </c>
      <c r="F6" s="135">
        <v>131729943</v>
      </c>
      <c r="G6" s="135">
        <v>18106599</v>
      </c>
      <c r="H6" s="135">
        <v>28494355</v>
      </c>
      <c r="I6" s="135">
        <v>1947600</v>
      </c>
      <c r="J6" s="135">
        <v>274800</v>
      </c>
      <c r="K6" s="135">
        <v>39300</v>
      </c>
      <c r="L6" s="135">
        <v>549380828</v>
      </c>
      <c r="M6" s="135">
        <v>246170875</v>
      </c>
      <c r="N6" s="135">
        <v>4170</v>
      </c>
      <c r="O6" s="135">
        <v>557</v>
      </c>
      <c r="P6" s="135">
        <v>27741650</v>
      </c>
      <c r="Q6" s="135">
        <v>6140600</v>
      </c>
      <c r="R6" s="135">
        <v>9519900</v>
      </c>
      <c r="S6" s="135">
        <v>8655050</v>
      </c>
      <c r="T6" s="135">
        <v>3791575</v>
      </c>
      <c r="U6" s="135">
        <v>4801450</v>
      </c>
      <c r="V6" s="135">
        <v>27741650</v>
      </c>
      <c r="W6" s="135">
        <v>9121400</v>
      </c>
      <c r="X6" s="135">
        <v>9519900</v>
      </c>
      <c r="Y6" s="135">
        <v>8655050</v>
      </c>
      <c r="Z6" s="135">
        <v>7324300</v>
      </c>
      <c r="AA6" s="135">
        <v>4801450</v>
      </c>
      <c r="AB6" s="135">
        <v>-6021872</v>
      </c>
      <c r="AC6" s="135">
        <v>-1081722</v>
      </c>
      <c r="AD6" s="135">
        <v>47</v>
      </c>
      <c r="AE6" s="135">
        <v>1012020</v>
      </c>
      <c r="AF6" s="135">
        <v>0</v>
      </c>
      <c r="AG6" s="135">
        <v>267097</v>
      </c>
      <c r="AH6" s="135">
        <v>304122.95</v>
      </c>
      <c r="AI6" s="139">
        <v>384627</v>
      </c>
      <c r="AJ6" s="139"/>
      <c r="AK6" s="139"/>
      <c r="AL6" s="139"/>
      <c r="AM6" s="139"/>
      <c r="AN6" s="139"/>
      <c r="AO6" s="82">
        <v>308892742</v>
      </c>
      <c r="AP6" s="82">
        <v>16405189</v>
      </c>
      <c r="AQ6" s="135">
        <v>1718072</v>
      </c>
      <c r="AR6" s="135">
        <v>101462946</v>
      </c>
      <c r="AS6" s="135">
        <v>17351766</v>
      </c>
      <c r="AT6" s="135">
        <v>295343409</v>
      </c>
      <c r="AU6" s="135">
        <v>130538528</v>
      </c>
      <c r="AV6" s="135">
        <v>69146014</v>
      </c>
      <c r="AW6" s="135">
        <v>234529694</v>
      </c>
      <c r="AX6" s="135">
        <v>8991972</v>
      </c>
      <c r="AY6" s="135">
        <v>6512</v>
      </c>
      <c r="AZ6" s="135">
        <v>511960</v>
      </c>
      <c r="BA6" s="135">
        <v>0</v>
      </c>
      <c r="BB6" s="135">
        <v>12860643</v>
      </c>
      <c r="BC6" s="135">
        <v>633416</v>
      </c>
      <c r="BH6" s="82">
        <v>23106401.039999999</v>
      </c>
      <c r="BI6" s="82">
        <v>11553200.52</v>
      </c>
      <c r="BJ6" s="117">
        <v>0</v>
      </c>
      <c r="BK6" s="118">
        <v>2079470</v>
      </c>
      <c r="BL6" s="118">
        <v>4158940</v>
      </c>
      <c r="BM6" s="117">
        <v>43105164</v>
      </c>
      <c r="BN6" s="117">
        <v>42657124</v>
      </c>
      <c r="BO6" s="117">
        <v>105768857</v>
      </c>
      <c r="BP6" s="117">
        <v>103178229</v>
      </c>
      <c r="BQ6" s="117">
        <v>0</v>
      </c>
      <c r="BR6" s="117">
        <v>18404244</v>
      </c>
      <c r="BS6" s="138"/>
      <c r="BT6" s="86">
        <v>2903135553.4699998</v>
      </c>
      <c r="BU6" s="86">
        <v>2399965354.9499998</v>
      </c>
      <c r="BV6" s="87">
        <v>4144722</v>
      </c>
      <c r="BX6" s="135">
        <v>17660</v>
      </c>
      <c r="BY6" s="135">
        <v>4662</v>
      </c>
      <c r="BZ6" s="135">
        <v>1503</v>
      </c>
      <c r="CA6" s="135">
        <f t="shared" ref="CA6:CA16" si="3">SUM(BX6:BZ6)</f>
        <v>23825</v>
      </c>
      <c r="CB6" s="86">
        <v>2149923365</v>
      </c>
      <c r="CC6" s="82">
        <f t="shared" si="0"/>
        <v>308892742</v>
      </c>
      <c r="CD6" s="82">
        <f t="shared" si="0"/>
        <v>16405189</v>
      </c>
      <c r="CE6" s="86">
        <f t="shared" si="1"/>
        <v>483882934</v>
      </c>
      <c r="CF6" s="86">
        <f t="shared" si="2"/>
        <v>2959104230</v>
      </c>
    </row>
    <row r="7" spans="1:84" x14ac:dyDescent="0.25">
      <c r="A7" s="91" t="s">
        <v>61</v>
      </c>
      <c r="B7" s="135">
        <v>205050819</v>
      </c>
      <c r="C7" s="135">
        <v>100107988</v>
      </c>
      <c r="D7" s="135">
        <v>45890330</v>
      </c>
      <c r="E7" s="135">
        <v>11600004</v>
      </c>
      <c r="F7" s="135">
        <v>32288291</v>
      </c>
      <c r="G7" s="135">
        <v>14784942</v>
      </c>
      <c r="H7" s="135">
        <v>10028690</v>
      </c>
      <c r="I7" s="135">
        <v>2521579</v>
      </c>
      <c r="J7" s="135">
        <v>0</v>
      </c>
      <c r="K7" s="135">
        <v>39300</v>
      </c>
      <c r="L7" s="135">
        <v>156716352</v>
      </c>
      <c r="M7" s="135">
        <v>62227448</v>
      </c>
      <c r="N7" s="135">
        <v>1138</v>
      </c>
      <c r="O7" s="135">
        <v>513</v>
      </c>
      <c r="P7" s="135">
        <v>5705630</v>
      </c>
      <c r="Q7" s="135">
        <v>4287852</v>
      </c>
      <c r="R7" s="135">
        <v>2717437</v>
      </c>
      <c r="S7" s="135">
        <v>2121540</v>
      </c>
      <c r="T7" s="135">
        <v>303221</v>
      </c>
      <c r="U7" s="135">
        <v>805950</v>
      </c>
      <c r="V7" s="135">
        <v>5705630</v>
      </c>
      <c r="W7" s="135">
        <v>4599017</v>
      </c>
      <c r="X7" s="135">
        <v>2717437</v>
      </c>
      <c r="Y7" s="135">
        <v>2121540</v>
      </c>
      <c r="Z7" s="135">
        <v>698100</v>
      </c>
      <c r="AA7" s="135">
        <v>805950</v>
      </c>
      <c r="AB7" s="135">
        <v>-8475650</v>
      </c>
      <c r="AC7" s="135">
        <v>0</v>
      </c>
      <c r="AD7" s="135">
        <v>133</v>
      </c>
      <c r="AE7" s="135">
        <v>10185</v>
      </c>
      <c r="AF7" s="135">
        <v>17731817</v>
      </c>
      <c r="AG7" s="135">
        <v>144751</v>
      </c>
      <c r="AI7" s="139">
        <v>0</v>
      </c>
      <c r="AJ7" s="139"/>
      <c r="AK7" s="139"/>
      <c r="AL7" s="139"/>
      <c r="AM7" s="139"/>
      <c r="AN7" s="139"/>
      <c r="AO7" s="82">
        <v>74490583</v>
      </c>
      <c r="AP7" s="82">
        <v>1972334</v>
      </c>
      <c r="AQ7" s="135">
        <v>0</v>
      </c>
      <c r="AR7" s="135">
        <v>15652474</v>
      </c>
      <c r="AS7" s="135">
        <v>653845</v>
      </c>
      <c r="AT7" s="135">
        <v>19696045</v>
      </c>
      <c r="AU7" s="135">
        <v>4912747</v>
      </c>
      <c r="AV7" s="135">
        <v>3762536</v>
      </c>
      <c r="AW7" s="135">
        <v>6287251</v>
      </c>
      <c r="AX7" s="135">
        <v>376433</v>
      </c>
      <c r="AY7" s="135">
        <v>0</v>
      </c>
      <c r="AZ7" s="135">
        <v>0</v>
      </c>
      <c r="BA7" s="135">
        <v>1882655</v>
      </c>
      <c r="BB7" s="135">
        <v>0</v>
      </c>
      <c r="BC7" s="135">
        <v>92500</v>
      </c>
      <c r="BH7" s="82">
        <v>5572190.7699999996</v>
      </c>
      <c r="BI7" s="82">
        <v>2786095.39</v>
      </c>
      <c r="BJ7" s="117">
        <v>0</v>
      </c>
      <c r="BK7" s="118">
        <v>0</v>
      </c>
      <c r="BL7" s="118">
        <v>0</v>
      </c>
      <c r="BM7" s="117">
        <v>37076561</v>
      </c>
      <c r="BN7" s="117">
        <v>37076561</v>
      </c>
      <c r="BO7" s="117">
        <v>133193019</v>
      </c>
      <c r="BP7" s="117">
        <v>133190138</v>
      </c>
      <c r="BQ7" s="117">
        <v>0</v>
      </c>
      <c r="BR7" s="117">
        <v>0</v>
      </c>
      <c r="BS7" s="138"/>
      <c r="BT7" s="86">
        <v>621783914.38999999</v>
      </c>
      <c r="BU7" s="86">
        <v>372268203</v>
      </c>
      <c r="BV7" s="87">
        <v>853000</v>
      </c>
      <c r="BX7" s="135">
        <v>4784</v>
      </c>
      <c r="BY7" s="135">
        <v>1993</v>
      </c>
      <c r="BZ7" s="135">
        <v>281</v>
      </c>
      <c r="CA7" s="135">
        <f t="shared" si="3"/>
        <v>7058</v>
      </c>
      <c r="CB7" s="86">
        <v>351049137</v>
      </c>
      <c r="CC7" s="82">
        <f t="shared" si="0"/>
        <v>74490583</v>
      </c>
      <c r="CD7" s="82">
        <f t="shared" si="0"/>
        <v>1972334</v>
      </c>
      <c r="CE7" s="86">
        <f t="shared" si="1"/>
        <v>27506317</v>
      </c>
      <c r="CF7" s="86">
        <f t="shared" si="2"/>
        <v>455018371</v>
      </c>
    </row>
    <row r="8" spans="1:84" x14ac:dyDescent="0.25">
      <c r="A8" s="91" t="s">
        <v>62</v>
      </c>
      <c r="B8" s="135">
        <v>442723750</v>
      </c>
      <c r="C8" s="135">
        <v>28056700</v>
      </c>
      <c r="D8" s="135">
        <v>195039621</v>
      </c>
      <c r="E8" s="135">
        <v>0</v>
      </c>
      <c r="F8" s="135">
        <v>80788400</v>
      </c>
      <c r="G8" s="135">
        <v>20956400</v>
      </c>
      <c r="H8" s="135">
        <v>4918400</v>
      </c>
      <c r="I8" s="135">
        <v>720200</v>
      </c>
      <c r="J8" s="135">
        <v>152900</v>
      </c>
      <c r="K8" s="135">
        <v>0</v>
      </c>
      <c r="L8" s="135">
        <v>32985750</v>
      </c>
      <c r="M8" s="135">
        <v>0</v>
      </c>
      <c r="N8" s="135">
        <v>2612</v>
      </c>
      <c r="O8" s="135">
        <v>720</v>
      </c>
      <c r="P8" s="135">
        <v>2540900</v>
      </c>
      <c r="Q8" s="135">
        <v>0</v>
      </c>
      <c r="R8" s="135">
        <v>3000000</v>
      </c>
      <c r="S8" s="135">
        <v>5047000</v>
      </c>
      <c r="T8" s="135">
        <v>110600</v>
      </c>
      <c r="U8" s="135">
        <v>1244270</v>
      </c>
      <c r="V8" s="135">
        <v>2540900</v>
      </c>
      <c r="W8" s="135">
        <v>0</v>
      </c>
      <c r="X8" s="135">
        <v>3000000</v>
      </c>
      <c r="Y8" s="135">
        <v>5047000</v>
      </c>
      <c r="Z8" s="135">
        <v>109100</v>
      </c>
      <c r="AA8" s="135">
        <v>1244270</v>
      </c>
      <c r="AB8" s="135">
        <v>-2671958</v>
      </c>
      <c r="AC8" s="135">
        <v>-40116</v>
      </c>
      <c r="AD8" s="135">
        <v>155542</v>
      </c>
      <c r="AE8" s="135">
        <v>0</v>
      </c>
      <c r="AF8" s="135">
        <v>0</v>
      </c>
      <c r="AG8" s="135">
        <v>0</v>
      </c>
      <c r="AH8" s="135">
        <v>6930188.5300000003</v>
      </c>
      <c r="AI8" s="139">
        <v>12053073.770491803</v>
      </c>
      <c r="AJ8" s="139">
        <v>12000000</v>
      </c>
      <c r="AK8" s="139"/>
      <c r="AL8" s="139"/>
      <c r="AM8" s="139"/>
      <c r="AN8" s="139"/>
      <c r="AO8" s="82">
        <v>130504963</v>
      </c>
      <c r="AP8" s="82">
        <v>1096292</v>
      </c>
      <c r="AQ8" s="135">
        <v>0</v>
      </c>
      <c r="AR8" s="135">
        <v>45122526</v>
      </c>
      <c r="AS8" s="135">
        <v>4031945</v>
      </c>
      <c r="AT8" s="135">
        <v>39536843</v>
      </c>
      <c r="AU8" s="135">
        <v>39613187</v>
      </c>
      <c r="AV8" s="135">
        <v>26671640</v>
      </c>
      <c r="AW8" s="135">
        <v>160678</v>
      </c>
      <c r="AX8" s="135">
        <v>0</v>
      </c>
      <c r="AY8" s="135">
        <v>0</v>
      </c>
      <c r="AZ8" s="135">
        <v>0</v>
      </c>
      <c r="BA8" s="135">
        <v>0</v>
      </c>
      <c r="BB8" s="135">
        <v>24043</v>
      </c>
      <c r="BC8" s="135">
        <v>1974000</v>
      </c>
      <c r="BH8" s="82">
        <v>9762288.3399999999</v>
      </c>
      <c r="BI8" s="82">
        <v>4881144.17</v>
      </c>
      <c r="BJ8" s="117">
        <v>0</v>
      </c>
      <c r="BK8" s="118">
        <v>8430855</v>
      </c>
      <c r="BL8" s="118">
        <v>16861711</v>
      </c>
      <c r="BM8" s="117">
        <v>54702030</v>
      </c>
      <c r="BN8" s="117">
        <v>54702030</v>
      </c>
      <c r="BO8" s="117">
        <v>100868856</v>
      </c>
      <c r="BP8" s="117">
        <v>95208795</v>
      </c>
      <c r="BQ8" s="117">
        <v>0</v>
      </c>
      <c r="BR8" s="117">
        <v>0</v>
      </c>
      <c r="BS8" s="138"/>
      <c r="BT8" s="86">
        <v>1080395070.4704919</v>
      </c>
      <c r="BU8" s="86">
        <v>785570991.30049181</v>
      </c>
      <c r="BV8" s="87">
        <v>2481300</v>
      </c>
      <c r="BX8" s="135">
        <v>14746</v>
      </c>
      <c r="BY8" s="135">
        <v>1083</v>
      </c>
      <c r="BZ8" s="135">
        <v>636</v>
      </c>
      <c r="CA8" s="135">
        <f t="shared" si="3"/>
        <v>16465</v>
      </c>
      <c r="CB8" s="86">
        <v>665820071</v>
      </c>
      <c r="CC8" s="82">
        <f t="shared" si="0"/>
        <v>130504963</v>
      </c>
      <c r="CD8" s="82">
        <f t="shared" si="0"/>
        <v>1096292</v>
      </c>
      <c r="CE8" s="86">
        <f t="shared" si="1"/>
        <v>88928336</v>
      </c>
      <c r="CF8" s="86">
        <f t="shared" si="2"/>
        <v>886349662</v>
      </c>
    </row>
    <row r="9" spans="1:84" x14ac:dyDescent="0.25">
      <c r="A9" s="91" t="s">
        <v>63</v>
      </c>
      <c r="B9" s="135">
        <v>7657096918</v>
      </c>
      <c r="C9" s="135">
        <v>307828095</v>
      </c>
      <c r="D9" s="135">
        <v>4994033426</v>
      </c>
      <c r="E9" s="135">
        <v>130230781</v>
      </c>
      <c r="F9" s="135">
        <v>337794310</v>
      </c>
      <c r="G9" s="135">
        <v>22821220</v>
      </c>
      <c r="H9" s="135">
        <v>17181590</v>
      </c>
      <c r="I9" s="135">
        <v>314400</v>
      </c>
      <c r="J9" s="135">
        <v>510900</v>
      </c>
      <c r="K9" s="135">
        <v>0</v>
      </c>
      <c r="L9" s="135">
        <v>777845155</v>
      </c>
      <c r="M9" s="135">
        <v>0</v>
      </c>
      <c r="N9" s="135">
        <v>9169</v>
      </c>
      <c r="O9" s="135">
        <v>608</v>
      </c>
      <c r="P9" s="135">
        <v>185448370</v>
      </c>
      <c r="Q9" s="135">
        <v>10737370</v>
      </c>
      <c r="R9" s="135">
        <v>259236810</v>
      </c>
      <c r="S9" s="135">
        <v>27722843</v>
      </c>
      <c r="T9" s="135">
        <v>15837960</v>
      </c>
      <c r="U9" s="135">
        <v>90883430</v>
      </c>
      <c r="V9" s="135">
        <v>185448370</v>
      </c>
      <c r="W9" s="135">
        <v>20056000</v>
      </c>
      <c r="X9" s="135">
        <v>259236810</v>
      </c>
      <c r="Y9" s="135">
        <v>27722843</v>
      </c>
      <c r="Z9" s="135">
        <v>42959940</v>
      </c>
      <c r="AA9" s="135">
        <v>90883430</v>
      </c>
      <c r="AB9" s="135">
        <v>1318655</v>
      </c>
      <c r="AC9" s="135">
        <v>21155716</v>
      </c>
      <c r="AD9" s="135">
        <v>0</v>
      </c>
      <c r="AE9" s="135">
        <v>0</v>
      </c>
      <c r="AF9" s="135">
        <v>0</v>
      </c>
      <c r="AG9" s="135">
        <v>0</v>
      </c>
      <c r="AI9" s="139">
        <v>274344</v>
      </c>
      <c r="AJ9" s="139"/>
      <c r="AK9" s="139"/>
      <c r="AL9" s="139"/>
      <c r="AM9" s="139"/>
      <c r="AN9" s="139"/>
      <c r="AO9" s="82">
        <v>1289746704</v>
      </c>
      <c r="AP9" s="82">
        <v>27224529</v>
      </c>
      <c r="AQ9" s="135">
        <v>0</v>
      </c>
      <c r="AR9" s="135">
        <v>1240647115</v>
      </c>
      <c r="AS9" s="135">
        <v>71892916</v>
      </c>
      <c r="AT9" s="135">
        <v>1286513031</v>
      </c>
      <c r="AU9" s="135">
        <v>759137880</v>
      </c>
      <c r="AV9" s="135">
        <v>583693539</v>
      </c>
      <c r="AW9" s="135">
        <v>1602169671</v>
      </c>
      <c r="AX9" s="135">
        <f>3446008+1202569329</f>
        <v>1206015337</v>
      </c>
      <c r="AY9" s="135">
        <v>1124574</v>
      </c>
      <c r="AZ9" s="135">
        <v>199933</v>
      </c>
      <c r="BA9" s="135">
        <v>10561378</v>
      </c>
      <c r="BB9" s="135">
        <v>11926411</v>
      </c>
      <c r="BC9" s="135">
        <v>19299438</v>
      </c>
      <c r="BH9" s="82">
        <v>96478163.890000001</v>
      </c>
      <c r="BI9" s="82">
        <v>48239081.950000003</v>
      </c>
      <c r="BJ9" s="117">
        <v>46715025.906735756</v>
      </c>
      <c r="BK9" s="118">
        <v>1267507</v>
      </c>
      <c r="BL9" s="118">
        <v>2535015</v>
      </c>
      <c r="BM9" s="117">
        <v>210198153</v>
      </c>
      <c r="BN9" s="117">
        <v>210198153</v>
      </c>
      <c r="BO9" s="117">
        <v>1034036986</v>
      </c>
      <c r="BP9" s="117">
        <v>639201356</v>
      </c>
      <c r="BQ9" s="117">
        <v>486461</v>
      </c>
      <c r="BR9" s="117">
        <v>0</v>
      </c>
      <c r="BS9" s="138"/>
      <c r="BT9" s="86">
        <v>17247274485.950001</v>
      </c>
      <c r="BU9" s="86">
        <v>15030910694</v>
      </c>
      <c r="BV9" s="87">
        <v>4524670</v>
      </c>
      <c r="BX9" s="135">
        <v>43399</v>
      </c>
      <c r="BY9" s="135">
        <v>2462</v>
      </c>
      <c r="BZ9" s="135">
        <v>2699</v>
      </c>
      <c r="CA9" s="135">
        <f t="shared" si="3"/>
        <v>48560</v>
      </c>
      <c r="CB9" s="86">
        <v>12958958439</v>
      </c>
      <c r="CC9" s="82">
        <f t="shared" si="0"/>
        <v>1289746704</v>
      </c>
      <c r="CD9" s="82">
        <f t="shared" si="0"/>
        <v>27224529</v>
      </c>
      <c r="CE9" s="86">
        <f t="shared" si="1"/>
        <v>3673847582</v>
      </c>
      <c r="CF9" s="86">
        <f t="shared" si="2"/>
        <v>17949777254</v>
      </c>
    </row>
    <row r="10" spans="1:84" x14ac:dyDescent="0.25">
      <c r="A10" s="91" t="s">
        <v>64</v>
      </c>
      <c r="B10" s="135">
        <v>699856941</v>
      </c>
      <c r="C10" s="135">
        <v>415370040</v>
      </c>
      <c r="D10" s="135">
        <v>224570935</v>
      </c>
      <c r="E10" s="135">
        <v>0</v>
      </c>
      <c r="F10" s="135">
        <v>59150035</v>
      </c>
      <c r="G10" s="135">
        <v>5016550</v>
      </c>
      <c r="H10" s="135">
        <v>14431700</v>
      </c>
      <c r="I10" s="135">
        <v>432300</v>
      </c>
      <c r="J10" s="135">
        <v>74300</v>
      </c>
      <c r="K10" s="135">
        <v>39300</v>
      </c>
      <c r="L10" s="135">
        <v>843405155</v>
      </c>
      <c r="M10" s="135">
        <v>236194201</v>
      </c>
      <c r="N10" s="135">
        <v>1904</v>
      </c>
      <c r="O10" s="135">
        <v>148</v>
      </c>
      <c r="P10" s="135">
        <v>7738530</v>
      </c>
      <c r="Q10" s="135">
        <v>250500</v>
      </c>
      <c r="R10" s="135">
        <v>4122600</v>
      </c>
      <c r="S10" s="135">
        <v>1399595</v>
      </c>
      <c r="T10" s="135">
        <v>1222886</v>
      </c>
      <c r="U10" s="135">
        <v>1009300</v>
      </c>
      <c r="V10" s="135">
        <v>7738530</v>
      </c>
      <c r="W10" s="135">
        <v>1344958</v>
      </c>
      <c r="X10" s="135">
        <v>4122600</v>
      </c>
      <c r="Y10" s="135">
        <v>1399595</v>
      </c>
      <c r="Z10" s="135">
        <v>2223350</v>
      </c>
      <c r="AA10" s="135">
        <v>1009300</v>
      </c>
      <c r="AB10" s="135">
        <v>-3906760</v>
      </c>
      <c r="AC10" s="135">
        <v>0</v>
      </c>
      <c r="AD10" s="135">
        <v>0</v>
      </c>
      <c r="AE10" s="135">
        <v>0</v>
      </c>
      <c r="AF10" s="135">
        <v>0</v>
      </c>
      <c r="AG10" s="135">
        <v>174431.49400000001</v>
      </c>
      <c r="AI10" s="135">
        <v>388053</v>
      </c>
      <c r="AJ10" s="139"/>
      <c r="AK10" s="139"/>
      <c r="AL10" s="139"/>
      <c r="AM10" s="139"/>
      <c r="AN10" s="139"/>
      <c r="AO10" s="82">
        <v>176888800</v>
      </c>
      <c r="AP10" s="82">
        <v>4087021</v>
      </c>
      <c r="AQ10" s="135">
        <v>0</v>
      </c>
      <c r="AR10" s="135">
        <v>46599971</v>
      </c>
      <c r="AS10" s="135">
        <v>23375135</v>
      </c>
      <c r="AT10" s="135">
        <v>140658023</v>
      </c>
      <c r="AU10" s="135">
        <v>33999588</v>
      </c>
      <c r="AV10" s="135">
        <v>109838290</v>
      </c>
      <c r="AW10" s="135">
        <v>25262757</v>
      </c>
      <c r="AX10" s="135">
        <f>101060335+285</f>
        <v>101060620</v>
      </c>
      <c r="AY10" s="135">
        <v>0</v>
      </c>
      <c r="AZ10" s="135">
        <v>62771</v>
      </c>
      <c r="BA10" s="135">
        <v>52877</v>
      </c>
      <c r="BB10" s="135">
        <v>3143121</v>
      </c>
      <c r="BC10" s="135">
        <v>10000</v>
      </c>
      <c r="BH10" s="82">
        <v>13231983.140000001</v>
      </c>
      <c r="BI10" s="82">
        <v>6615991.5700000003</v>
      </c>
      <c r="BJ10" s="117">
        <v>0</v>
      </c>
      <c r="BK10" s="118">
        <v>2447550</v>
      </c>
      <c r="BL10" s="118">
        <v>4895100</v>
      </c>
      <c r="BM10" s="117">
        <v>30372166</v>
      </c>
      <c r="BN10" s="117">
        <v>30372166</v>
      </c>
      <c r="BO10" s="117">
        <v>56706575</v>
      </c>
      <c r="BP10" s="117">
        <v>53046741</v>
      </c>
      <c r="BQ10" s="117">
        <v>45640</v>
      </c>
      <c r="BR10" s="117">
        <v>0</v>
      </c>
      <c r="BS10" s="138"/>
      <c r="BT10" s="86">
        <v>1717664572.5699999</v>
      </c>
      <c r="BU10" s="86">
        <v>1444160663</v>
      </c>
      <c r="BV10" s="87">
        <v>2540458</v>
      </c>
      <c r="BX10" s="135">
        <v>6628</v>
      </c>
      <c r="BY10" s="135">
        <v>1856</v>
      </c>
      <c r="BZ10" s="135">
        <v>526</v>
      </c>
      <c r="CA10" s="135">
        <f t="shared" si="3"/>
        <v>9010</v>
      </c>
      <c r="CB10" s="86">
        <v>1339797916</v>
      </c>
      <c r="CC10" s="82">
        <f t="shared" si="0"/>
        <v>176888800</v>
      </c>
      <c r="CD10" s="82">
        <f t="shared" si="0"/>
        <v>4087021</v>
      </c>
      <c r="CE10" s="86">
        <f t="shared" si="1"/>
        <v>129237451</v>
      </c>
      <c r="CF10" s="86">
        <f t="shared" si="2"/>
        <v>1650011188</v>
      </c>
    </row>
    <row r="11" spans="1:84" x14ac:dyDescent="0.25">
      <c r="A11" s="91" t="s">
        <v>65</v>
      </c>
      <c r="B11" s="135">
        <v>1242468415</v>
      </c>
      <c r="C11" s="135">
        <v>98121389</v>
      </c>
      <c r="D11" s="135">
        <v>706365099</v>
      </c>
      <c r="E11" s="135">
        <v>1000000</v>
      </c>
      <c r="F11" s="135">
        <v>149311140</v>
      </c>
      <c r="G11" s="135">
        <v>51463450</v>
      </c>
      <c r="H11" s="135">
        <v>9271811</v>
      </c>
      <c r="I11" s="135">
        <v>2558030</v>
      </c>
      <c r="J11" s="135">
        <v>563100</v>
      </c>
      <c r="K11" s="135">
        <v>196500</v>
      </c>
      <c r="L11" s="135">
        <v>66465894</v>
      </c>
      <c r="M11" s="135">
        <v>85759454</v>
      </c>
      <c r="N11" s="135">
        <v>4270</v>
      </c>
      <c r="O11" s="135">
        <v>1513</v>
      </c>
      <c r="P11" s="135">
        <v>3807599</v>
      </c>
      <c r="Q11" s="135">
        <v>1578132</v>
      </c>
      <c r="R11" s="135">
        <v>8519484</v>
      </c>
      <c r="S11" s="135">
        <v>6769816</v>
      </c>
      <c r="T11" s="135">
        <v>1465671</v>
      </c>
      <c r="U11" s="135">
        <v>1680000</v>
      </c>
      <c r="V11" s="135">
        <v>3807599</v>
      </c>
      <c r="W11" s="135">
        <v>1637063</v>
      </c>
      <c r="X11" s="135">
        <v>8519484</v>
      </c>
      <c r="Y11" s="135">
        <v>6769816</v>
      </c>
      <c r="Z11" s="135">
        <v>299275</v>
      </c>
      <c r="AA11" s="135">
        <v>1680000</v>
      </c>
      <c r="AB11" s="135">
        <v>-9259900</v>
      </c>
      <c r="AC11" s="135">
        <v>-5322163</v>
      </c>
      <c r="AD11" s="135">
        <v>47882</v>
      </c>
      <c r="AE11" s="135">
        <v>0</v>
      </c>
      <c r="AF11" s="135">
        <v>0</v>
      </c>
      <c r="AG11" s="135">
        <v>0</v>
      </c>
      <c r="AH11" s="135">
        <v>42184.43</v>
      </c>
      <c r="AI11" s="139">
        <v>1946819.6721311475</v>
      </c>
      <c r="AJ11" s="139">
        <v>301000</v>
      </c>
      <c r="AK11" s="139"/>
      <c r="AL11" s="139"/>
      <c r="AM11" s="139"/>
      <c r="AN11" s="139"/>
      <c r="AO11" s="82">
        <v>345525594</v>
      </c>
      <c r="AP11" s="82">
        <v>9851032</v>
      </c>
      <c r="AQ11" s="135">
        <v>606136</v>
      </c>
      <c r="AR11" s="135">
        <v>112900042</v>
      </c>
      <c r="AS11" s="135">
        <v>11076452</v>
      </c>
      <c r="AT11" s="135">
        <v>195732577</v>
      </c>
      <c r="AU11" s="135">
        <v>119032988</v>
      </c>
      <c r="AV11" s="135">
        <v>89149177</v>
      </c>
      <c r="AW11" s="135">
        <v>20415902</v>
      </c>
      <c r="AX11" s="135">
        <f>926522+1418159930</f>
        <v>1419086452</v>
      </c>
      <c r="AY11" s="135">
        <v>0</v>
      </c>
      <c r="AZ11" s="135">
        <v>0</v>
      </c>
      <c r="BA11" s="135">
        <v>0</v>
      </c>
      <c r="BB11" s="135">
        <v>4099912</v>
      </c>
      <c r="BC11" s="135">
        <v>4500</v>
      </c>
      <c r="BH11" s="82">
        <v>25846683.52</v>
      </c>
      <c r="BI11" s="82">
        <v>12923341.76</v>
      </c>
      <c r="BJ11" s="117">
        <v>26217616.580310881</v>
      </c>
      <c r="BK11" s="118">
        <v>6890021</v>
      </c>
      <c r="BL11" s="118">
        <v>13780042</v>
      </c>
      <c r="BM11" s="117">
        <v>87552544</v>
      </c>
      <c r="BN11" s="117">
        <v>87552544</v>
      </c>
      <c r="BO11" s="117">
        <v>229569695</v>
      </c>
      <c r="BP11" s="117">
        <v>225954137</v>
      </c>
      <c r="BQ11" s="117">
        <v>0</v>
      </c>
      <c r="BR11" s="117">
        <v>0</v>
      </c>
      <c r="BS11" s="138"/>
      <c r="BT11" s="86">
        <v>2980951058.8621311</v>
      </c>
      <c r="BU11" s="86">
        <v>2292254389.1021309</v>
      </c>
      <c r="BV11" s="87">
        <v>6846843</v>
      </c>
      <c r="BX11" s="135">
        <v>22375</v>
      </c>
      <c r="BY11" s="135">
        <v>1248</v>
      </c>
      <c r="BZ11" s="135">
        <v>2268</v>
      </c>
      <c r="CA11" s="135">
        <f t="shared" si="3"/>
        <v>25891</v>
      </c>
      <c r="CB11" s="86">
        <v>2046954903</v>
      </c>
      <c r="CC11" s="82">
        <f t="shared" si="0"/>
        <v>345525594</v>
      </c>
      <c r="CD11" s="82">
        <f t="shared" si="0"/>
        <v>9851032</v>
      </c>
      <c r="CE11" s="86">
        <f t="shared" si="1"/>
        <v>263425384</v>
      </c>
      <c r="CF11" s="86">
        <f t="shared" si="2"/>
        <v>2665756913</v>
      </c>
    </row>
    <row r="12" spans="1:84" x14ac:dyDescent="0.25">
      <c r="A12" s="91" t="s">
        <v>66</v>
      </c>
      <c r="B12" s="135">
        <v>1098957460</v>
      </c>
      <c r="C12" s="135">
        <v>186436750</v>
      </c>
      <c r="D12" s="135">
        <v>472253400</v>
      </c>
      <c r="E12" s="135">
        <v>0</v>
      </c>
      <c r="F12" s="135">
        <v>108814100</v>
      </c>
      <c r="G12" s="135">
        <v>9436800</v>
      </c>
      <c r="H12" s="135">
        <v>14053900</v>
      </c>
      <c r="I12" s="135">
        <v>1034500</v>
      </c>
      <c r="J12" s="135">
        <v>196500</v>
      </c>
      <c r="K12" s="135">
        <v>0</v>
      </c>
      <c r="L12" s="135">
        <v>277377480</v>
      </c>
      <c r="M12" s="135">
        <v>159894</v>
      </c>
      <c r="N12" s="135">
        <v>3218</v>
      </c>
      <c r="O12" s="135">
        <v>292</v>
      </c>
      <c r="P12" s="135">
        <v>9874900</v>
      </c>
      <c r="Q12" s="135">
        <v>2563500</v>
      </c>
      <c r="R12" s="135">
        <v>8011000</v>
      </c>
      <c r="S12" s="135">
        <v>3076040</v>
      </c>
      <c r="T12" s="135">
        <v>1429000</v>
      </c>
      <c r="U12" s="135">
        <v>9042500</v>
      </c>
      <c r="V12" s="135">
        <v>9874900</v>
      </c>
      <c r="W12" s="135">
        <v>2812000</v>
      </c>
      <c r="X12" s="135">
        <v>8011000</v>
      </c>
      <c r="Y12" s="135">
        <v>3076040</v>
      </c>
      <c r="Z12" s="135">
        <v>1522000</v>
      </c>
      <c r="AA12" s="135">
        <v>9042500</v>
      </c>
      <c r="AB12" s="135">
        <v>-4590400</v>
      </c>
      <c r="AC12" s="135">
        <v>-56772</v>
      </c>
      <c r="AD12" s="135">
        <v>15013</v>
      </c>
      <c r="AE12" s="135">
        <v>0</v>
      </c>
      <c r="AF12" s="135">
        <v>0</v>
      </c>
      <c r="AG12" s="135">
        <v>97502</v>
      </c>
      <c r="AI12" s="139">
        <v>0</v>
      </c>
      <c r="AJ12" s="139"/>
      <c r="AK12" s="139"/>
      <c r="AL12" s="139"/>
      <c r="AM12" s="139"/>
      <c r="AN12" s="139"/>
      <c r="AO12" s="82">
        <v>199975418</v>
      </c>
      <c r="AP12" s="82">
        <v>6407193</v>
      </c>
      <c r="AQ12" s="135">
        <v>1600</v>
      </c>
      <c r="AR12" s="135">
        <v>99074170</v>
      </c>
      <c r="AS12" s="135">
        <v>10065530</v>
      </c>
      <c r="AT12" s="135">
        <v>216861127</v>
      </c>
      <c r="AU12" s="135">
        <v>80571351</v>
      </c>
      <c r="AV12" s="135">
        <v>138259835</v>
      </c>
      <c r="AW12" s="135">
        <v>257431972</v>
      </c>
      <c r="AX12" s="135">
        <v>762049</v>
      </c>
      <c r="AY12" s="135">
        <v>0</v>
      </c>
      <c r="AZ12" s="135">
        <v>446691</v>
      </c>
      <c r="BA12" s="135">
        <v>760525</v>
      </c>
      <c r="BB12" s="135">
        <v>766136</v>
      </c>
      <c r="BC12" s="135">
        <v>16447422</v>
      </c>
      <c r="BH12" s="82">
        <v>14958953.640000001</v>
      </c>
      <c r="BI12" s="82">
        <v>7479476.8200000003</v>
      </c>
      <c r="BJ12" s="117">
        <v>0</v>
      </c>
      <c r="BK12" s="118">
        <v>3522635</v>
      </c>
      <c r="BL12" s="118">
        <v>7045271</v>
      </c>
      <c r="BM12" s="117">
        <v>62404714</v>
      </c>
      <c r="BN12" s="117">
        <v>62404714</v>
      </c>
      <c r="BO12" s="117">
        <v>71281762</v>
      </c>
      <c r="BP12" s="117">
        <v>65942314</v>
      </c>
      <c r="BQ12" s="117">
        <v>3484696</v>
      </c>
      <c r="BR12" s="117">
        <v>0</v>
      </c>
      <c r="BS12" s="138"/>
      <c r="BT12" s="86">
        <v>2296575107.8200002</v>
      </c>
      <c r="BU12" s="86">
        <v>1947358661</v>
      </c>
      <c r="BV12" s="87">
        <v>2550000</v>
      </c>
      <c r="BX12" s="135">
        <v>10419</v>
      </c>
      <c r="BY12" s="135">
        <v>1499</v>
      </c>
      <c r="BZ12" s="135">
        <v>866</v>
      </c>
      <c r="CA12" s="135">
        <f t="shared" si="3"/>
        <v>12784</v>
      </c>
      <c r="CB12" s="86">
        <v>1757647610</v>
      </c>
      <c r="CC12" s="82">
        <f t="shared" si="0"/>
        <v>199975418</v>
      </c>
      <c r="CD12" s="82">
        <f t="shared" si="0"/>
        <v>6407193</v>
      </c>
      <c r="CE12" s="86">
        <f t="shared" si="1"/>
        <v>447143023</v>
      </c>
      <c r="CF12" s="86">
        <f t="shared" si="2"/>
        <v>2411173244</v>
      </c>
    </row>
    <row r="13" spans="1:84" x14ac:dyDescent="0.25">
      <c r="A13" s="91" t="s">
        <v>67</v>
      </c>
      <c r="B13" s="135">
        <v>147029445</v>
      </c>
      <c r="C13" s="135">
        <v>107268675</v>
      </c>
      <c r="D13" s="135">
        <v>28557465</v>
      </c>
      <c r="E13" s="135">
        <v>0</v>
      </c>
      <c r="F13" s="135">
        <v>23312050</v>
      </c>
      <c r="G13" s="135">
        <v>3931440</v>
      </c>
      <c r="H13" s="135">
        <v>10222600</v>
      </c>
      <c r="I13" s="135">
        <v>885650</v>
      </c>
      <c r="J13" s="135">
        <v>0</v>
      </c>
      <c r="K13" s="135">
        <v>0</v>
      </c>
      <c r="L13" s="135">
        <v>117480815</v>
      </c>
      <c r="M13" s="135">
        <v>65196625</v>
      </c>
      <c r="N13" s="135">
        <v>922</v>
      </c>
      <c r="O13" s="135">
        <v>142</v>
      </c>
      <c r="P13" s="135">
        <v>1856650</v>
      </c>
      <c r="Q13" s="135">
        <v>1643400</v>
      </c>
      <c r="R13" s="135">
        <v>853000</v>
      </c>
      <c r="S13" s="135">
        <v>1629915</v>
      </c>
      <c r="T13" s="135">
        <v>573150</v>
      </c>
      <c r="U13" s="135">
        <v>831500</v>
      </c>
      <c r="V13" s="135">
        <v>1856650</v>
      </c>
      <c r="W13" s="135">
        <v>1786100</v>
      </c>
      <c r="X13" s="135">
        <v>853000</v>
      </c>
      <c r="Y13" s="135">
        <v>1629915</v>
      </c>
      <c r="Z13" s="135">
        <v>293760</v>
      </c>
      <c r="AA13" s="135">
        <v>831500</v>
      </c>
      <c r="AB13" s="135">
        <v>-220700</v>
      </c>
      <c r="AC13" s="135">
        <v>0</v>
      </c>
      <c r="AD13" s="135">
        <v>0</v>
      </c>
      <c r="AE13" s="135">
        <v>0</v>
      </c>
      <c r="AF13" s="135">
        <v>0</v>
      </c>
      <c r="AG13" s="135">
        <v>118548</v>
      </c>
      <c r="AH13" s="135">
        <v>0</v>
      </c>
      <c r="AI13" s="135">
        <v>0</v>
      </c>
      <c r="AJ13" s="139">
        <v>0</v>
      </c>
      <c r="AO13" s="82">
        <v>61120578</v>
      </c>
      <c r="AP13" s="82">
        <v>1348101</v>
      </c>
      <c r="AQ13" s="135">
        <v>0</v>
      </c>
      <c r="AR13" s="135">
        <v>3278942</v>
      </c>
      <c r="AS13" s="135">
        <v>45445</v>
      </c>
      <c r="AT13" s="135">
        <v>17491568</v>
      </c>
      <c r="AU13" s="135">
        <v>2338364</v>
      </c>
      <c r="AV13" s="135">
        <v>6323690</v>
      </c>
      <c r="AW13" s="135">
        <v>6454845</v>
      </c>
      <c r="AX13" s="135">
        <v>536095</v>
      </c>
      <c r="AY13" s="135">
        <v>0</v>
      </c>
      <c r="AZ13" s="135">
        <v>0</v>
      </c>
      <c r="BA13" s="135">
        <v>0</v>
      </c>
      <c r="BB13" s="135">
        <v>0</v>
      </c>
      <c r="BC13" s="135">
        <v>0</v>
      </c>
      <c r="BH13" s="82">
        <v>4572061.42</v>
      </c>
      <c r="BI13" s="82">
        <v>2286030.71</v>
      </c>
      <c r="BJ13" s="117">
        <v>23000000.000000004</v>
      </c>
      <c r="BK13" s="118">
        <v>1588940</v>
      </c>
      <c r="BL13" s="118">
        <v>3177879</v>
      </c>
      <c r="BM13" s="117">
        <v>128961418</v>
      </c>
      <c r="BN13" s="117">
        <v>128961418</v>
      </c>
      <c r="BO13" s="117">
        <v>90734625</v>
      </c>
      <c r="BP13" s="117">
        <v>85839380</v>
      </c>
      <c r="BQ13" s="117">
        <v>0</v>
      </c>
      <c r="BR13" s="117">
        <v>0</v>
      </c>
      <c r="BS13" s="138"/>
      <c r="BT13" s="86">
        <v>569662783.71000004</v>
      </c>
      <c r="BU13" s="86">
        <v>288518336</v>
      </c>
      <c r="BV13" s="87">
        <v>935040</v>
      </c>
      <c r="BX13" s="135">
        <v>3835</v>
      </c>
      <c r="BY13" s="135">
        <v>1908</v>
      </c>
      <c r="BZ13" s="135">
        <v>255</v>
      </c>
      <c r="CA13" s="135">
        <f t="shared" si="3"/>
        <v>5998</v>
      </c>
      <c r="CB13" s="86">
        <v>282855585</v>
      </c>
      <c r="CC13" s="82">
        <f t="shared" si="0"/>
        <v>61120578</v>
      </c>
      <c r="CD13" s="82">
        <f t="shared" si="0"/>
        <v>1348101</v>
      </c>
      <c r="CE13" s="86">
        <f t="shared" si="1"/>
        <v>12117596</v>
      </c>
      <c r="CF13" s="86">
        <f t="shared" si="2"/>
        <v>357441860</v>
      </c>
    </row>
    <row r="14" spans="1:84" x14ac:dyDescent="0.25">
      <c r="A14" s="91" t="s">
        <v>68</v>
      </c>
      <c r="B14" s="135">
        <v>140034191</v>
      </c>
      <c r="C14" s="135">
        <v>80937445</v>
      </c>
      <c r="D14" s="135">
        <v>81886018</v>
      </c>
      <c r="E14" s="135">
        <v>0</v>
      </c>
      <c r="F14" s="135">
        <v>23442340</v>
      </c>
      <c r="G14" s="135">
        <v>36421220</v>
      </c>
      <c r="H14" s="135">
        <v>11617220</v>
      </c>
      <c r="I14" s="135">
        <v>12208320</v>
      </c>
      <c r="J14" s="135">
        <v>196500</v>
      </c>
      <c r="K14" s="135">
        <v>196500</v>
      </c>
      <c r="L14" s="135">
        <v>79699607</v>
      </c>
      <c r="M14" s="135">
        <v>49724435</v>
      </c>
      <c r="N14" s="135">
        <v>1006</v>
      </c>
      <c r="O14" s="135">
        <v>1508</v>
      </c>
      <c r="P14" s="135">
        <v>1362800</v>
      </c>
      <c r="Q14" s="135">
        <v>269300</v>
      </c>
      <c r="R14" s="135">
        <v>0</v>
      </c>
      <c r="S14" s="135">
        <v>3329297</v>
      </c>
      <c r="T14" s="135">
        <v>303677</v>
      </c>
      <c r="U14" s="135">
        <v>336600</v>
      </c>
      <c r="V14" s="135">
        <v>1362800</v>
      </c>
      <c r="W14" s="135">
        <v>269300</v>
      </c>
      <c r="X14" s="135">
        <v>0</v>
      </c>
      <c r="Y14" s="135">
        <v>3329267</v>
      </c>
      <c r="Z14" s="135">
        <v>260300</v>
      </c>
      <c r="AA14" s="135">
        <v>336600</v>
      </c>
      <c r="AB14" s="135">
        <v>-3490401</v>
      </c>
      <c r="AC14" s="135">
        <v>0</v>
      </c>
      <c r="AD14" s="135">
        <v>258328</v>
      </c>
      <c r="AE14" s="135">
        <v>0</v>
      </c>
      <c r="AF14" s="135">
        <v>0</v>
      </c>
      <c r="AG14" s="135">
        <v>276690</v>
      </c>
      <c r="AH14" s="135">
        <v>410557.38</v>
      </c>
      <c r="AI14" s="135">
        <v>1422098.3606557378</v>
      </c>
      <c r="AJ14" s="139">
        <v>4500000</v>
      </c>
      <c r="AO14" s="82">
        <v>67285508</v>
      </c>
      <c r="AP14" s="82">
        <v>1369202</v>
      </c>
      <c r="AQ14" s="135">
        <v>0</v>
      </c>
      <c r="AR14" s="135">
        <v>9547421</v>
      </c>
      <c r="AS14" s="135">
        <v>189611</v>
      </c>
      <c r="AT14" s="135">
        <v>1514192</v>
      </c>
      <c r="AU14" s="135">
        <v>10870465</v>
      </c>
      <c r="AV14" s="135">
        <v>82500</v>
      </c>
      <c r="AW14" s="135">
        <v>0</v>
      </c>
      <c r="AX14" s="135">
        <v>265043</v>
      </c>
      <c r="AY14" s="135">
        <v>0</v>
      </c>
      <c r="AZ14" s="135">
        <v>0</v>
      </c>
      <c r="BA14" s="135">
        <v>0</v>
      </c>
      <c r="BB14" s="135">
        <v>0</v>
      </c>
      <c r="BC14" s="135">
        <v>0</v>
      </c>
      <c r="BH14" s="82">
        <v>5033222.6100000003</v>
      </c>
      <c r="BI14" s="82">
        <v>2516611.31</v>
      </c>
      <c r="BJ14" s="117">
        <v>0</v>
      </c>
      <c r="BK14" s="118">
        <v>2649447</v>
      </c>
      <c r="BL14" s="118">
        <v>5298895</v>
      </c>
      <c r="BM14" s="117">
        <v>15541873</v>
      </c>
      <c r="BN14" s="117">
        <v>15541873</v>
      </c>
      <c r="BO14" s="117">
        <v>52430762</v>
      </c>
      <c r="BP14" s="117">
        <v>45934491</v>
      </c>
      <c r="BQ14" s="117">
        <v>0</v>
      </c>
      <c r="BR14" s="117">
        <v>0</v>
      </c>
      <c r="BS14" s="138"/>
      <c r="BT14" s="86">
        <v>465094939.05065572</v>
      </c>
      <c r="BU14" s="86">
        <v>329797806.74065572</v>
      </c>
      <c r="BV14" s="87">
        <v>1368077</v>
      </c>
      <c r="BX14" s="135">
        <v>5708</v>
      </c>
      <c r="BY14" s="135">
        <v>3555</v>
      </c>
      <c r="BZ14" s="135">
        <v>319</v>
      </c>
      <c r="CA14" s="135">
        <f t="shared" si="3"/>
        <v>9582</v>
      </c>
      <c r="CB14" s="86">
        <v>302857654</v>
      </c>
      <c r="CC14" s="82">
        <f t="shared" si="0"/>
        <v>67285508</v>
      </c>
      <c r="CD14" s="82">
        <f t="shared" si="0"/>
        <v>1369202</v>
      </c>
      <c r="CE14" s="86">
        <f t="shared" si="1"/>
        <v>20607497</v>
      </c>
      <c r="CF14" s="86">
        <f t="shared" si="2"/>
        <v>392119861</v>
      </c>
    </row>
    <row r="15" spans="1:84" x14ac:dyDescent="0.25">
      <c r="A15" s="91" t="s">
        <v>69</v>
      </c>
      <c r="B15" s="135">
        <v>630490037</v>
      </c>
      <c r="C15" s="135">
        <v>248998673</v>
      </c>
      <c r="D15" s="135">
        <v>97983724</v>
      </c>
      <c r="E15" s="135">
        <v>0</v>
      </c>
      <c r="F15" s="135">
        <v>60756086</v>
      </c>
      <c r="G15" s="135">
        <v>10530375</v>
      </c>
      <c r="H15" s="135">
        <v>23457527</v>
      </c>
      <c r="I15" s="135">
        <v>1965419</v>
      </c>
      <c r="J15" s="135">
        <v>78600</v>
      </c>
      <c r="K15" s="135">
        <v>30000</v>
      </c>
      <c r="L15" s="135">
        <v>465375416</v>
      </c>
      <c r="M15" s="135">
        <v>145780750</v>
      </c>
      <c r="N15" s="135">
        <v>2304</v>
      </c>
      <c r="O15" s="135">
        <v>385</v>
      </c>
      <c r="P15" s="135">
        <v>7842600</v>
      </c>
      <c r="Q15" s="135">
        <v>4468000</v>
      </c>
      <c r="R15" s="135">
        <v>2564500</v>
      </c>
      <c r="S15" s="135">
        <v>3039870</v>
      </c>
      <c r="T15" s="135">
        <v>227650</v>
      </c>
      <c r="U15" s="135">
        <v>396300</v>
      </c>
      <c r="V15" s="135">
        <v>7842600</v>
      </c>
      <c r="W15" s="135">
        <v>4550350</v>
      </c>
      <c r="X15" s="135">
        <v>2564500</v>
      </c>
      <c r="Y15" s="135">
        <v>3039870</v>
      </c>
      <c r="Z15" s="135">
        <v>155200</v>
      </c>
      <c r="AA15" s="135">
        <v>396300</v>
      </c>
      <c r="AB15" s="135">
        <v>-1211897</v>
      </c>
      <c r="AC15" s="135">
        <v>-509826</v>
      </c>
      <c r="AD15" s="135">
        <v>148196</v>
      </c>
      <c r="AE15" s="135">
        <v>0</v>
      </c>
      <c r="AF15" s="135">
        <v>0</v>
      </c>
      <c r="AG15" s="135">
        <v>345679</v>
      </c>
      <c r="AH15" s="135">
        <v>1566618.85</v>
      </c>
      <c r="AI15" s="135">
        <v>722361</v>
      </c>
      <c r="AJ15" s="139"/>
      <c r="AO15" s="82">
        <v>143197045</v>
      </c>
      <c r="AP15" s="82">
        <v>21232336</v>
      </c>
      <c r="AQ15" s="135">
        <v>385500</v>
      </c>
      <c r="AR15" s="135">
        <v>20230636</v>
      </c>
      <c r="AS15" s="135">
        <v>309218</v>
      </c>
      <c r="AT15" s="135">
        <v>17447080</v>
      </c>
      <c r="AU15" s="135">
        <v>17650509</v>
      </c>
      <c r="AV15" s="135">
        <v>18973256</v>
      </c>
      <c r="AW15" s="135">
        <v>0</v>
      </c>
      <c r="AX15" s="135">
        <v>2113630</v>
      </c>
      <c r="AY15" s="135">
        <v>0</v>
      </c>
      <c r="AZ15" s="135">
        <v>0</v>
      </c>
      <c r="BA15" s="135">
        <v>943177</v>
      </c>
      <c r="BB15" s="135">
        <v>0</v>
      </c>
      <c r="BC15" s="135">
        <v>120990</v>
      </c>
      <c r="BH15" s="82">
        <v>10711706.359999999</v>
      </c>
      <c r="BI15" s="82">
        <v>5355853.18</v>
      </c>
      <c r="BJ15" s="117">
        <v>26932642.487046633</v>
      </c>
      <c r="BK15" s="118">
        <v>2164019</v>
      </c>
      <c r="BL15" s="118">
        <v>4328038</v>
      </c>
      <c r="BM15" s="117">
        <v>49349921</v>
      </c>
      <c r="BN15" s="117">
        <v>49349921</v>
      </c>
      <c r="BO15" s="117">
        <v>105805860</v>
      </c>
      <c r="BP15" s="117">
        <v>102788439</v>
      </c>
      <c r="BQ15" s="117">
        <v>0</v>
      </c>
      <c r="BR15" s="117">
        <v>0</v>
      </c>
      <c r="BS15" s="138"/>
      <c r="BT15" s="86">
        <v>1342039390.03</v>
      </c>
      <c r="BU15" s="86">
        <v>1017951776.85</v>
      </c>
      <c r="BV15" s="87">
        <v>1942700</v>
      </c>
      <c r="BX15" s="135">
        <v>12536</v>
      </c>
      <c r="BY15" s="135">
        <v>4801</v>
      </c>
      <c r="BZ15" s="135">
        <v>610</v>
      </c>
      <c r="CA15" s="135">
        <f t="shared" si="3"/>
        <v>17947</v>
      </c>
      <c r="CB15" s="86">
        <v>977472434</v>
      </c>
      <c r="CC15" s="82">
        <f t="shared" si="0"/>
        <v>143197045</v>
      </c>
      <c r="CD15" s="82">
        <f t="shared" si="0"/>
        <v>21232336</v>
      </c>
      <c r="CE15" s="86">
        <f t="shared" si="1"/>
        <v>38190363</v>
      </c>
      <c r="CF15" s="86">
        <f t="shared" si="2"/>
        <v>1180092178</v>
      </c>
    </row>
    <row r="16" spans="1:84" x14ac:dyDescent="0.25">
      <c r="A16" s="91" t="s">
        <v>70</v>
      </c>
      <c r="B16" s="135">
        <v>4501857243</v>
      </c>
      <c r="C16" s="135">
        <v>275706653</v>
      </c>
      <c r="D16" s="135">
        <v>1372826519</v>
      </c>
      <c r="E16" s="135">
        <v>6784350</v>
      </c>
      <c r="F16" s="135">
        <v>246047367</v>
      </c>
      <c r="G16" s="135">
        <v>43460877</v>
      </c>
      <c r="H16" s="135">
        <v>20136344</v>
      </c>
      <c r="I16" s="135">
        <v>2924202</v>
      </c>
      <c r="J16" s="135">
        <v>275100</v>
      </c>
      <c r="K16" s="135">
        <v>0</v>
      </c>
      <c r="L16" s="135">
        <v>326566554</v>
      </c>
      <c r="M16" s="135">
        <v>185190314</v>
      </c>
      <c r="N16" s="135">
        <v>6901</v>
      </c>
      <c r="O16" s="135">
        <v>1252</v>
      </c>
      <c r="P16" s="135">
        <v>127337946</v>
      </c>
      <c r="Q16" s="135">
        <v>15591445</v>
      </c>
      <c r="R16" s="135">
        <v>71439427</v>
      </c>
      <c r="S16" s="135">
        <v>13469695</v>
      </c>
      <c r="T16" s="135">
        <v>10773335</v>
      </c>
      <c r="U16" s="135">
        <v>8240735</v>
      </c>
      <c r="V16" s="135">
        <v>127337946</v>
      </c>
      <c r="W16" s="135">
        <v>15896199</v>
      </c>
      <c r="X16" s="135">
        <v>71439427</v>
      </c>
      <c r="Y16" s="135">
        <v>13469695</v>
      </c>
      <c r="Z16" s="135">
        <v>17912940</v>
      </c>
      <c r="AA16" s="135">
        <v>8240735</v>
      </c>
      <c r="AB16" s="135">
        <v>-38341712</v>
      </c>
      <c r="AC16" s="135">
        <v>-2039297</v>
      </c>
      <c r="AD16" s="135">
        <v>0</v>
      </c>
      <c r="AE16" s="135">
        <v>0</v>
      </c>
      <c r="AF16" s="135">
        <v>0</v>
      </c>
      <c r="AG16" s="135">
        <v>0</v>
      </c>
      <c r="AH16" s="135">
        <v>0</v>
      </c>
      <c r="AI16" s="135">
        <v>1226471</v>
      </c>
      <c r="AJ16" s="139">
        <v>0</v>
      </c>
      <c r="AO16" s="82">
        <v>665457261</v>
      </c>
      <c r="AP16" s="82">
        <v>27313431</v>
      </c>
      <c r="AQ16" s="135">
        <v>6000</v>
      </c>
      <c r="AR16" s="135">
        <v>217255608</v>
      </c>
      <c r="AS16" s="135">
        <v>5921341</v>
      </c>
      <c r="AT16" s="135">
        <v>239933853</v>
      </c>
      <c r="AU16" s="135">
        <v>929628307</v>
      </c>
      <c r="AV16" s="135">
        <v>1001772978</v>
      </c>
      <c r="AW16" s="135">
        <v>8001590078</v>
      </c>
      <c r="AX16" s="135">
        <f>259344+17929512</f>
        <v>18188856</v>
      </c>
      <c r="AY16" s="135">
        <v>0</v>
      </c>
      <c r="AZ16" s="135">
        <v>0</v>
      </c>
      <c r="BA16" s="135">
        <v>6559422</v>
      </c>
      <c r="BB16" s="135">
        <v>1506039</v>
      </c>
      <c r="BC16" s="135">
        <v>89000</v>
      </c>
      <c r="BH16" s="82">
        <v>49778839.899999999</v>
      </c>
      <c r="BI16" s="82">
        <v>24889419.949999999</v>
      </c>
      <c r="BJ16" s="117">
        <v>0</v>
      </c>
      <c r="BK16" s="118">
        <v>3306161</v>
      </c>
      <c r="BL16" s="118">
        <v>6612321</v>
      </c>
      <c r="BM16" s="117">
        <v>37677972</v>
      </c>
      <c r="BN16" s="117">
        <v>37467190</v>
      </c>
      <c r="BO16" s="117">
        <v>83461041</v>
      </c>
      <c r="BP16" s="117">
        <v>79507700</v>
      </c>
      <c r="BQ16" s="117">
        <v>283203854</v>
      </c>
      <c r="BR16" s="117">
        <v>0</v>
      </c>
      <c r="BS16" s="138"/>
      <c r="BT16" s="86">
        <v>8425567158.9499998</v>
      </c>
      <c r="BU16" s="86">
        <v>7304422142</v>
      </c>
      <c r="BV16" s="87">
        <v>9124351</v>
      </c>
      <c r="BX16" s="135">
        <v>31904</v>
      </c>
      <c r="BY16" s="135">
        <v>2461</v>
      </c>
      <c r="BZ16" s="135">
        <v>1462</v>
      </c>
      <c r="CA16" s="135">
        <f t="shared" si="3"/>
        <v>35827</v>
      </c>
      <c r="CB16" s="86">
        <v>6150390415</v>
      </c>
      <c r="CC16" s="82">
        <f t="shared" si="0"/>
        <v>665457261</v>
      </c>
      <c r="CD16" s="82">
        <f t="shared" si="0"/>
        <v>27313431</v>
      </c>
      <c r="CE16" s="86">
        <f t="shared" si="1"/>
        <v>9154395334</v>
      </c>
      <c r="CF16" s="86">
        <f t="shared" si="2"/>
        <v>15997556441</v>
      </c>
    </row>
    <row r="17" spans="1:84" x14ac:dyDescent="0.25">
      <c r="A17" s="91" t="s">
        <v>71</v>
      </c>
      <c r="B17" s="135">
        <v>210142780</v>
      </c>
      <c r="C17" s="135">
        <v>160381910</v>
      </c>
      <c r="D17" s="135">
        <v>71203234</v>
      </c>
      <c r="E17" s="135">
        <v>0</v>
      </c>
      <c r="F17" s="135">
        <v>25312500</v>
      </c>
      <c r="G17" s="135">
        <v>10107200</v>
      </c>
      <c r="H17" s="135">
        <v>14121300</v>
      </c>
      <c r="I17" s="135">
        <v>3518300</v>
      </c>
      <c r="J17" s="135">
        <v>0</v>
      </c>
      <c r="K17" s="135">
        <v>0</v>
      </c>
      <c r="L17" s="135">
        <v>260689731</v>
      </c>
      <c r="M17" s="135">
        <v>93447400</v>
      </c>
      <c r="N17" s="135">
        <v>1082</v>
      </c>
      <c r="O17" s="135">
        <v>408</v>
      </c>
      <c r="P17" s="135">
        <v>2360598</v>
      </c>
      <c r="Q17" s="135">
        <v>672900</v>
      </c>
      <c r="R17" s="135">
        <v>900000</v>
      </c>
      <c r="S17" s="135">
        <v>308400</v>
      </c>
      <c r="T17" s="135">
        <v>283000</v>
      </c>
      <c r="U17" s="135">
        <v>50000</v>
      </c>
      <c r="V17" s="135">
        <v>2360598</v>
      </c>
      <c r="W17" s="135">
        <v>789600</v>
      </c>
      <c r="X17" s="135">
        <v>900000</v>
      </c>
      <c r="Y17" s="135">
        <v>308400</v>
      </c>
      <c r="Z17" s="135">
        <v>256500</v>
      </c>
      <c r="AA17" s="135">
        <v>50000</v>
      </c>
      <c r="AB17" s="135">
        <v>-782300</v>
      </c>
      <c r="AC17" s="135">
        <v>0</v>
      </c>
      <c r="AD17" s="135">
        <v>151788</v>
      </c>
      <c r="AE17" s="135">
        <v>0</v>
      </c>
      <c r="AF17" s="135">
        <v>0</v>
      </c>
      <c r="AG17" s="135">
        <v>255430</v>
      </c>
      <c r="AH17" s="135">
        <v>185032.79</v>
      </c>
      <c r="AI17" s="135">
        <v>183980</v>
      </c>
      <c r="AJ17" s="139"/>
      <c r="AO17" s="82">
        <v>93142140</v>
      </c>
      <c r="AP17" s="82">
        <v>2668236</v>
      </c>
      <c r="AQ17" s="135">
        <v>0</v>
      </c>
      <c r="AR17" s="135">
        <v>13549315</v>
      </c>
      <c r="AS17" s="135">
        <v>2799053</v>
      </c>
      <c r="AT17" s="135">
        <v>49685895</v>
      </c>
      <c r="AU17" s="135">
        <v>9654704</v>
      </c>
      <c r="AV17" s="135">
        <v>24497860</v>
      </c>
      <c r="AW17" s="135">
        <v>1513732</v>
      </c>
      <c r="AX17" s="135">
        <f>1718565+24134</f>
        <v>1742699</v>
      </c>
      <c r="AY17" s="135">
        <v>0</v>
      </c>
      <c r="AZ17" s="135">
        <v>26272</v>
      </c>
      <c r="BA17" s="135">
        <v>0</v>
      </c>
      <c r="BB17" s="135">
        <v>293496</v>
      </c>
      <c r="BC17" s="135">
        <v>0</v>
      </c>
      <c r="BH17" s="82">
        <v>6967401.1299999999</v>
      </c>
      <c r="BI17" s="82">
        <v>3483700.57</v>
      </c>
      <c r="BJ17" s="117">
        <v>0</v>
      </c>
      <c r="BK17" s="118">
        <v>0</v>
      </c>
      <c r="BL17" s="118">
        <v>0</v>
      </c>
      <c r="BM17" s="117">
        <v>3122549</v>
      </c>
      <c r="BN17" s="117">
        <v>3122549</v>
      </c>
      <c r="BO17" s="117">
        <v>26293476</v>
      </c>
      <c r="BP17" s="117">
        <v>26293476</v>
      </c>
      <c r="BQ17" s="117">
        <v>0</v>
      </c>
      <c r="BR17" s="117">
        <v>0</v>
      </c>
      <c r="BS17" s="138"/>
      <c r="BT17" s="86">
        <v>596810110.36000001</v>
      </c>
      <c r="BU17" s="86">
        <v>468100008.79000002</v>
      </c>
      <c r="BV17" s="87">
        <v>1574600</v>
      </c>
      <c r="BX17" s="135">
        <v>4988</v>
      </c>
      <c r="BY17" s="135">
        <v>3298</v>
      </c>
      <c r="BZ17" s="135">
        <v>388</v>
      </c>
      <c r="CA17" s="135">
        <f>SUM(BX17:BZ17)</f>
        <v>8674</v>
      </c>
      <c r="CB17" s="86">
        <v>441727924</v>
      </c>
      <c r="CC17" s="82">
        <f t="shared" si="0"/>
        <v>93142140</v>
      </c>
      <c r="CD17" s="82">
        <f t="shared" si="0"/>
        <v>2668236</v>
      </c>
      <c r="CE17" s="86">
        <f t="shared" si="1"/>
        <v>27516804</v>
      </c>
      <c r="CF17" s="86">
        <f t="shared" si="2"/>
        <v>565055104</v>
      </c>
    </row>
    <row r="18" spans="1:84" x14ac:dyDescent="0.25">
      <c r="A18" s="91" t="s">
        <v>72</v>
      </c>
      <c r="B18" s="135">
        <v>251651793</v>
      </c>
      <c r="C18" s="135">
        <v>128066643</v>
      </c>
      <c r="D18" s="135">
        <v>106938923</v>
      </c>
      <c r="E18" s="135">
        <v>3700000</v>
      </c>
      <c r="F18" s="135">
        <v>40036559</v>
      </c>
      <c r="G18" s="135">
        <v>11400970</v>
      </c>
      <c r="H18" s="135">
        <v>11238442</v>
      </c>
      <c r="I18" s="135">
        <v>1890387</v>
      </c>
      <c r="J18" s="135">
        <v>115100</v>
      </c>
      <c r="K18" s="135">
        <v>37000</v>
      </c>
      <c r="L18" s="135">
        <v>297512409</v>
      </c>
      <c r="M18" s="135">
        <v>69948286</v>
      </c>
      <c r="N18" s="135">
        <v>1360</v>
      </c>
      <c r="O18" s="135">
        <v>382</v>
      </c>
      <c r="P18" s="135">
        <v>2432677</v>
      </c>
      <c r="Q18" s="135">
        <v>1398300</v>
      </c>
      <c r="R18" s="135">
        <v>767045</v>
      </c>
      <c r="S18" s="135">
        <v>2229729</v>
      </c>
      <c r="T18" s="135">
        <v>259125</v>
      </c>
      <c r="U18" s="135">
        <v>733695</v>
      </c>
      <c r="V18" s="135">
        <v>2432677</v>
      </c>
      <c r="W18" s="135">
        <v>1358300</v>
      </c>
      <c r="X18" s="135">
        <v>767045</v>
      </c>
      <c r="Y18" s="135">
        <v>2229729</v>
      </c>
      <c r="Z18" s="135">
        <v>589236</v>
      </c>
      <c r="AA18" s="135">
        <v>733695</v>
      </c>
      <c r="AB18" s="135">
        <v>-2032843</v>
      </c>
      <c r="AC18" s="135">
        <v>-22460</v>
      </c>
      <c r="AD18" s="135">
        <v>25044</v>
      </c>
      <c r="AE18" s="135">
        <v>46616</v>
      </c>
      <c r="AF18" s="135">
        <v>32836019</v>
      </c>
      <c r="AG18" s="135">
        <v>199657</v>
      </c>
      <c r="AH18" s="135">
        <v>9692.6200000000008</v>
      </c>
      <c r="AI18" s="135">
        <v>200000</v>
      </c>
      <c r="AJ18" s="139"/>
      <c r="AO18" s="82">
        <v>98329863</v>
      </c>
      <c r="AP18" s="82">
        <v>3918946</v>
      </c>
      <c r="AQ18" s="135">
        <v>0</v>
      </c>
      <c r="AR18" s="135">
        <v>24966226</v>
      </c>
      <c r="AS18" s="135">
        <v>12687938</v>
      </c>
      <c r="AT18" s="135">
        <v>93469837</v>
      </c>
      <c r="AU18" s="135">
        <v>29862370</v>
      </c>
      <c r="AV18" s="135">
        <v>38402637</v>
      </c>
      <c r="AW18" s="135">
        <v>15543001</v>
      </c>
      <c r="AX18" s="135">
        <v>1788004</v>
      </c>
      <c r="AY18" s="135">
        <v>138733</v>
      </c>
      <c r="AZ18" s="135">
        <v>1221093</v>
      </c>
      <c r="BA18" s="135">
        <v>0</v>
      </c>
      <c r="BB18" s="135">
        <v>73726</v>
      </c>
      <c r="BC18" s="135">
        <v>987885</v>
      </c>
      <c r="BH18" s="82">
        <v>7355463.3700000001</v>
      </c>
      <c r="BI18" s="82">
        <v>3677731.69</v>
      </c>
      <c r="BJ18" s="117">
        <v>0</v>
      </c>
      <c r="BK18" s="118">
        <v>1609348</v>
      </c>
      <c r="BL18" s="118">
        <v>3218696</v>
      </c>
      <c r="BM18" s="117">
        <v>30990796</v>
      </c>
      <c r="BN18" s="117">
        <v>27574698</v>
      </c>
      <c r="BO18" s="117">
        <v>29446574</v>
      </c>
      <c r="BP18" s="117">
        <v>26033082</v>
      </c>
      <c r="BQ18" s="117">
        <v>0</v>
      </c>
      <c r="BR18" s="117">
        <v>13529832</v>
      </c>
      <c r="BS18" s="138"/>
      <c r="BT18" s="86">
        <v>729057086.31000006</v>
      </c>
      <c r="BU18" s="86">
        <v>554383585.62</v>
      </c>
      <c r="BV18" s="87">
        <v>429000</v>
      </c>
      <c r="BX18" s="135">
        <v>5551</v>
      </c>
      <c r="BY18" s="135">
        <v>2300</v>
      </c>
      <c r="BZ18" s="135">
        <v>493</v>
      </c>
      <c r="CA18" s="135">
        <f>SUM(BX18:BZ18)</f>
        <v>8344</v>
      </c>
      <c r="CB18" s="86">
        <v>486657359</v>
      </c>
      <c r="CC18" s="82">
        <f t="shared" si="0"/>
        <v>98329863</v>
      </c>
      <c r="CD18" s="82">
        <f t="shared" si="0"/>
        <v>3918946</v>
      </c>
      <c r="CE18" s="86">
        <f t="shared" si="1"/>
        <v>83059535</v>
      </c>
      <c r="CF18" s="86">
        <f t="shared" si="2"/>
        <v>671965703</v>
      </c>
    </row>
    <row r="19" spans="1:84" ht="12.75" customHeight="1" x14ac:dyDescent="0.25">
      <c r="A19" s="91" t="s">
        <v>73</v>
      </c>
      <c r="B19" s="135">
        <v>1443666680</v>
      </c>
      <c r="C19" s="135">
        <v>262744942</v>
      </c>
      <c r="D19" s="135">
        <v>442631148</v>
      </c>
      <c r="E19" s="135">
        <v>0</v>
      </c>
      <c r="F19" s="135">
        <v>117914630</v>
      </c>
      <c r="G19" s="135">
        <v>10656461</v>
      </c>
      <c r="H19" s="135">
        <v>18898600</v>
      </c>
      <c r="I19" s="135">
        <v>1178600</v>
      </c>
      <c r="J19" s="135">
        <v>78600</v>
      </c>
      <c r="K19" s="135">
        <v>78600</v>
      </c>
      <c r="L19" s="135">
        <v>648021436</v>
      </c>
      <c r="M19" s="135">
        <v>159342200</v>
      </c>
      <c r="N19" s="135">
        <v>3637</v>
      </c>
      <c r="O19" s="135">
        <v>351</v>
      </c>
      <c r="P19" s="135">
        <v>8059000</v>
      </c>
      <c r="Q19" s="135">
        <v>237000</v>
      </c>
      <c r="R19" s="135">
        <v>21940500</v>
      </c>
      <c r="S19" s="135">
        <v>6070356</v>
      </c>
      <c r="T19" s="135">
        <v>354650</v>
      </c>
      <c r="U19" s="135">
        <v>171500</v>
      </c>
      <c r="V19" s="135">
        <v>8059000</v>
      </c>
      <c r="W19" s="135">
        <v>323000</v>
      </c>
      <c r="X19" s="135">
        <v>21940500</v>
      </c>
      <c r="Y19" s="135">
        <v>6070356</v>
      </c>
      <c r="Z19" s="135">
        <v>890000</v>
      </c>
      <c r="AA19" s="135">
        <v>171500</v>
      </c>
      <c r="AB19" s="135">
        <v>-5070800</v>
      </c>
      <c r="AC19" s="135">
        <v>-3692884</v>
      </c>
      <c r="AD19" s="135">
        <v>66372</v>
      </c>
      <c r="AE19" s="135">
        <v>4681</v>
      </c>
      <c r="AF19" s="135">
        <v>2340500</v>
      </c>
      <c r="AG19" s="135">
        <v>202058</v>
      </c>
      <c r="AI19" s="135">
        <v>30532.79</v>
      </c>
      <c r="AJ19" s="139"/>
      <c r="AO19" s="82">
        <v>281054698</v>
      </c>
      <c r="AP19" s="82">
        <v>18116073</v>
      </c>
      <c r="AQ19" s="135">
        <v>389250</v>
      </c>
      <c r="AR19" s="135">
        <v>64037265</v>
      </c>
      <c r="AS19" s="135">
        <v>7603052</v>
      </c>
      <c r="AT19" s="135">
        <v>157047978</v>
      </c>
      <c r="AU19" s="135">
        <v>68618892</v>
      </c>
      <c r="AV19" s="135">
        <v>68898836</v>
      </c>
      <c r="AW19" s="135">
        <v>62366050</v>
      </c>
      <c r="AX19" s="135">
        <f>6772644+1578</f>
        <v>6774222</v>
      </c>
      <c r="AY19" s="135">
        <v>0</v>
      </c>
      <c r="AZ19" s="135">
        <v>129105</v>
      </c>
      <c r="BA19" s="135">
        <v>578253</v>
      </c>
      <c r="BB19" s="135">
        <v>257766</v>
      </c>
      <c r="BC19" s="135">
        <v>1990056</v>
      </c>
      <c r="BH19" s="82">
        <v>21024005.050000001</v>
      </c>
      <c r="BI19" s="82">
        <v>10512002.529999999</v>
      </c>
      <c r="BJ19" s="117">
        <v>11142487.046632124</v>
      </c>
      <c r="BK19" s="118">
        <v>885579</v>
      </c>
      <c r="BL19" s="118">
        <v>1771157</v>
      </c>
      <c r="BM19" s="117">
        <v>3149971</v>
      </c>
      <c r="BN19" s="117">
        <v>3149971</v>
      </c>
      <c r="BO19" s="117">
        <v>48091251</v>
      </c>
      <c r="BP19" s="117">
        <v>47135076</v>
      </c>
      <c r="BQ19" s="117">
        <v>0</v>
      </c>
      <c r="BR19" s="117">
        <v>11611619</v>
      </c>
      <c r="BS19" s="138"/>
      <c r="BT19" s="86">
        <v>2661797530.3200002</v>
      </c>
      <c r="BU19" s="86">
        <v>2289332511.79</v>
      </c>
      <c r="BV19" s="87">
        <v>2935449</v>
      </c>
      <c r="BX19" s="135">
        <v>31323</v>
      </c>
      <c r="BY19" s="135">
        <v>5681</v>
      </c>
      <c r="BZ19" s="135">
        <v>1507</v>
      </c>
      <c r="CA19" s="135">
        <f t="shared" ref="CA19:CA34" si="4">SUM(BX19:BZ19)</f>
        <v>38511</v>
      </c>
      <c r="CB19" s="86">
        <v>2149042770</v>
      </c>
      <c r="CC19" s="82">
        <f t="shared" si="0"/>
        <v>281054698</v>
      </c>
      <c r="CD19" s="82">
        <f t="shared" si="0"/>
        <v>18116073</v>
      </c>
      <c r="CE19" s="86">
        <f t="shared" si="1"/>
        <v>202625259</v>
      </c>
      <c r="CF19" s="86">
        <f t="shared" si="2"/>
        <v>2650838800</v>
      </c>
    </row>
    <row r="20" spans="1:84" x14ac:dyDescent="0.25">
      <c r="A20" s="91" t="s">
        <v>74</v>
      </c>
      <c r="B20" s="135">
        <v>4878249139</v>
      </c>
      <c r="C20" s="135">
        <v>195260110</v>
      </c>
      <c r="D20" s="135">
        <v>1333383190</v>
      </c>
      <c r="E20" s="135">
        <v>0</v>
      </c>
      <c r="F20" s="135">
        <v>295739640</v>
      </c>
      <c r="G20" s="135">
        <v>32059400</v>
      </c>
      <c r="H20" s="135">
        <v>16051600</v>
      </c>
      <c r="I20" s="135">
        <v>1454100</v>
      </c>
      <c r="J20" s="135">
        <v>786000</v>
      </c>
      <c r="K20" s="135">
        <v>78600</v>
      </c>
      <c r="L20" s="135">
        <v>227327783</v>
      </c>
      <c r="M20" s="135">
        <v>422587893</v>
      </c>
      <c r="N20" s="135">
        <v>8004</v>
      </c>
      <c r="O20" s="135">
        <v>872</v>
      </c>
      <c r="P20" s="135">
        <v>50385057</v>
      </c>
      <c r="Q20" s="135">
        <v>7067600</v>
      </c>
      <c r="R20" s="135">
        <v>25204374</v>
      </c>
      <c r="S20" s="135">
        <v>15273756</v>
      </c>
      <c r="T20" s="135">
        <v>3089100</v>
      </c>
      <c r="U20" s="135">
        <v>18543707</v>
      </c>
      <c r="V20" s="135">
        <v>50385057</v>
      </c>
      <c r="W20" s="135">
        <v>7067600</v>
      </c>
      <c r="X20" s="135">
        <v>25204374</v>
      </c>
      <c r="Y20" s="135">
        <v>15273756</v>
      </c>
      <c r="Z20" s="135">
        <v>3089100</v>
      </c>
      <c r="AA20" s="135">
        <v>18543707</v>
      </c>
      <c r="AB20" s="135">
        <v>-20718345</v>
      </c>
      <c r="AC20" s="135">
        <v>-843786</v>
      </c>
      <c r="AD20" s="135">
        <v>0</v>
      </c>
      <c r="AE20" s="135">
        <v>0</v>
      </c>
      <c r="AF20" s="135">
        <v>0</v>
      </c>
      <c r="AG20" s="135">
        <v>0</v>
      </c>
      <c r="AI20" s="135">
        <v>0</v>
      </c>
      <c r="AJ20" s="139"/>
      <c r="AO20" s="82">
        <v>656038348</v>
      </c>
      <c r="AP20" s="82">
        <v>13018536</v>
      </c>
      <c r="AQ20" s="135">
        <v>0</v>
      </c>
      <c r="AR20" s="135">
        <v>150445753</v>
      </c>
      <c r="AS20" s="135">
        <v>21768443</v>
      </c>
      <c r="AT20" s="135">
        <v>264022465</v>
      </c>
      <c r="AU20" s="135">
        <v>138780806</v>
      </c>
      <c r="AV20" s="135">
        <v>113143048</v>
      </c>
      <c r="AW20" s="135">
        <v>24018883</v>
      </c>
      <c r="AX20" s="135">
        <v>224595</v>
      </c>
      <c r="AY20" s="135">
        <v>0</v>
      </c>
      <c r="AZ20" s="135">
        <v>0</v>
      </c>
      <c r="BA20" s="135">
        <v>187907</v>
      </c>
      <c r="BB20" s="135">
        <v>300239</v>
      </c>
      <c r="BC20" s="135">
        <v>0</v>
      </c>
      <c r="BH20" s="82">
        <v>49074267.880000003</v>
      </c>
      <c r="BI20" s="82">
        <v>24537133.940000001</v>
      </c>
      <c r="BJ20" s="117">
        <v>35632124.352331601</v>
      </c>
      <c r="BK20" s="118">
        <v>2580205</v>
      </c>
      <c r="BL20" s="118">
        <v>5160409</v>
      </c>
      <c r="BM20" s="117">
        <v>102675464</v>
      </c>
      <c r="BN20" s="117">
        <v>102675464</v>
      </c>
      <c r="BO20" s="117">
        <v>172564319</v>
      </c>
      <c r="BP20" s="117">
        <v>166050079</v>
      </c>
      <c r="BQ20" s="117">
        <v>1577246</v>
      </c>
      <c r="BR20" s="117">
        <v>0</v>
      </c>
      <c r="BS20" s="138"/>
      <c r="BT20" s="86">
        <v>7684364452.9399996</v>
      </c>
      <c r="BU20" s="86">
        <v>6717887441</v>
      </c>
      <c r="BV20" s="87">
        <v>7518867</v>
      </c>
      <c r="BX20" s="135">
        <v>33690</v>
      </c>
      <c r="BY20" s="135">
        <v>6117</v>
      </c>
      <c r="BZ20" s="135">
        <v>1900</v>
      </c>
      <c r="CA20" s="135">
        <f t="shared" si="4"/>
        <v>41707</v>
      </c>
      <c r="CB20" s="86">
        <v>6406892439</v>
      </c>
      <c r="CC20" s="82">
        <f t="shared" si="0"/>
        <v>656038348</v>
      </c>
      <c r="CD20" s="82">
        <f t="shared" si="0"/>
        <v>13018536</v>
      </c>
      <c r="CE20" s="86">
        <f t="shared" si="1"/>
        <v>335013885</v>
      </c>
      <c r="CF20" s="86">
        <f t="shared" si="2"/>
        <v>7410963208</v>
      </c>
    </row>
    <row r="21" spans="1:84" x14ac:dyDescent="0.25">
      <c r="A21" s="91" t="s">
        <v>75</v>
      </c>
      <c r="B21" s="135">
        <v>79859821</v>
      </c>
      <c r="C21" s="135">
        <v>96057650</v>
      </c>
      <c r="D21" s="135">
        <v>19085692</v>
      </c>
      <c r="E21" s="135">
        <v>0</v>
      </c>
      <c r="F21" s="135">
        <v>15257549</v>
      </c>
      <c r="G21" s="135">
        <v>6221100</v>
      </c>
      <c r="H21" s="135">
        <v>6919940</v>
      </c>
      <c r="I21" s="135">
        <v>1256143</v>
      </c>
      <c r="J21" s="135">
        <v>0</v>
      </c>
      <c r="K21" s="135">
        <v>0</v>
      </c>
      <c r="L21" s="135">
        <v>396368730</v>
      </c>
      <c r="M21" s="135">
        <v>33384620</v>
      </c>
      <c r="N21" s="135">
        <v>625</v>
      </c>
      <c r="O21" s="135">
        <v>223</v>
      </c>
      <c r="P21" s="135">
        <v>1683301</v>
      </c>
      <c r="Q21" s="135">
        <v>1477326</v>
      </c>
      <c r="R21" s="135">
        <v>668400</v>
      </c>
      <c r="S21" s="135">
        <v>1290454</v>
      </c>
      <c r="T21" s="135">
        <v>1871871</v>
      </c>
      <c r="U21" s="135">
        <v>2900</v>
      </c>
      <c r="V21" s="135">
        <v>1683301</v>
      </c>
      <c r="W21" s="135">
        <v>1360870</v>
      </c>
      <c r="X21" s="135">
        <v>668400</v>
      </c>
      <c r="Y21" s="135">
        <v>1290454</v>
      </c>
      <c r="Z21" s="135">
        <v>4783890</v>
      </c>
      <c r="AA21" s="135">
        <v>2900</v>
      </c>
      <c r="AB21" s="135">
        <v>-386334</v>
      </c>
      <c r="AC21" s="135">
        <v>0</v>
      </c>
      <c r="AD21" s="135">
        <v>25672</v>
      </c>
      <c r="AE21" s="135">
        <v>92095</v>
      </c>
      <c r="AF21" s="135">
        <v>51356569</v>
      </c>
      <c r="AG21" s="135">
        <v>40686</v>
      </c>
      <c r="AI21" s="135">
        <v>1279</v>
      </c>
      <c r="AJ21" s="139"/>
      <c r="AO21" s="82">
        <v>48673283</v>
      </c>
      <c r="AP21" s="82">
        <v>1958653</v>
      </c>
      <c r="AQ21" s="135">
        <v>0</v>
      </c>
      <c r="AR21" s="135">
        <v>18585622</v>
      </c>
      <c r="AS21" s="135">
        <v>12037</v>
      </c>
      <c r="AT21" s="135">
        <v>646193</v>
      </c>
      <c r="AU21" s="135">
        <v>2868588</v>
      </c>
      <c r="AV21" s="135">
        <v>875436</v>
      </c>
      <c r="AW21" s="135">
        <v>0</v>
      </c>
      <c r="AX21" s="135">
        <v>1610650</v>
      </c>
      <c r="AY21" s="135">
        <v>0</v>
      </c>
      <c r="AZ21" s="135">
        <v>0</v>
      </c>
      <c r="BA21" s="135">
        <v>0</v>
      </c>
      <c r="BB21" s="135">
        <v>0</v>
      </c>
      <c r="BC21" s="135">
        <v>0</v>
      </c>
      <c r="BH21" s="82">
        <v>3640954.43</v>
      </c>
      <c r="BI21" s="82">
        <v>1820477.22</v>
      </c>
      <c r="BJ21" s="117">
        <v>14896373.056994818</v>
      </c>
      <c r="BK21" s="118">
        <v>896512</v>
      </c>
      <c r="BL21" s="118">
        <v>1793024</v>
      </c>
      <c r="BM21" s="117">
        <v>19886991</v>
      </c>
      <c r="BN21" s="117">
        <v>19886991</v>
      </c>
      <c r="BO21" s="117">
        <v>37155437</v>
      </c>
      <c r="BP21" s="117">
        <v>30144385</v>
      </c>
      <c r="BQ21" s="117">
        <v>0</v>
      </c>
      <c r="BR21" s="117">
        <v>0</v>
      </c>
      <c r="BS21" s="138"/>
      <c r="BT21" s="86">
        <v>319850990.22000003</v>
      </c>
      <c r="BU21" s="86">
        <v>216470689</v>
      </c>
      <c r="BV21" s="87">
        <v>277450</v>
      </c>
      <c r="BX21" s="135">
        <v>2276</v>
      </c>
      <c r="BY21" s="135">
        <v>1587</v>
      </c>
      <c r="BZ21" s="135">
        <v>170</v>
      </c>
      <c r="CA21" s="135">
        <f t="shared" si="4"/>
        <v>4033</v>
      </c>
      <c r="CB21" s="86">
        <v>195003163</v>
      </c>
      <c r="CC21" s="82">
        <f t="shared" si="0"/>
        <v>48673283</v>
      </c>
      <c r="CD21" s="82">
        <f t="shared" si="0"/>
        <v>1958653</v>
      </c>
      <c r="CE21" s="86">
        <f t="shared" si="1"/>
        <v>21466247</v>
      </c>
      <c r="CF21" s="86">
        <f t="shared" si="2"/>
        <v>267101346</v>
      </c>
    </row>
    <row r="22" spans="1:84" x14ac:dyDescent="0.25">
      <c r="A22" s="91" t="s">
        <v>76</v>
      </c>
      <c r="B22" s="135">
        <v>238437340</v>
      </c>
      <c r="C22" s="135">
        <v>67927850</v>
      </c>
      <c r="D22" s="135">
        <v>212330813</v>
      </c>
      <c r="E22" s="135">
        <v>227408896</v>
      </c>
      <c r="F22" s="135">
        <v>27262800</v>
      </c>
      <c r="G22" s="135">
        <v>3078300</v>
      </c>
      <c r="H22" s="135">
        <v>5363000</v>
      </c>
      <c r="I22" s="135">
        <v>142800</v>
      </c>
      <c r="J22" s="135">
        <v>117900</v>
      </c>
      <c r="K22" s="135">
        <v>39300</v>
      </c>
      <c r="L22" s="135">
        <v>133531790</v>
      </c>
      <c r="M22" s="135">
        <v>47902700</v>
      </c>
      <c r="N22" s="135">
        <v>874</v>
      </c>
      <c r="O22" s="135">
        <v>102</v>
      </c>
      <c r="P22" s="135">
        <v>3700700</v>
      </c>
      <c r="Q22" s="135">
        <v>1062000</v>
      </c>
      <c r="R22" s="135">
        <v>3581800</v>
      </c>
      <c r="S22" s="135">
        <v>854500</v>
      </c>
      <c r="T22" s="135">
        <v>276300</v>
      </c>
      <c r="U22" s="135">
        <v>880300</v>
      </c>
      <c r="V22" s="135">
        <v>3700700</v>
      </c>
      <c r="W22" s="135">
        <v>1158400</v>
      </c>
      <c r="X22" s="135">
        <v>3531800</v>
      </c>
      <c r="Y22" s="135">
        <v>854500</v>
      </c>
      <c r="Z22" s="135">
        <v>656800</v>
      </c>
      <c r="AA22" s="135">
        <v>880300</v>
      </c>
      <c r="AB22" s="135">
        <v>-840700</v>
      </c>
      <c r="AC22" s="135">
        <v>0</v>
      </c>
      <c r="AD22" s="135">
        <v>22097</v>
      </c>
      <c r="AE22" s="135">
        <v>0</v>
      </c>
      <c r="AF22" s="135">
        <v>0</v>
      </c>
      <c r="AG22" s="135">
        <v>67023</v>
      </c>
      <c r="AH22" s="135">
        <v>0</v>
      </c>
      <c r="AI22" s="135">
        <v>444742</v>
      </c>
      <c r="AJ22" s="139">
        <v>0</v>
      </c>
      <c r="AO22" s="82">
        <v>74394551</v>
      </c>
      <c r="AP22" s="82">
        <v>2099011</v>
      </c>
      <c r="AQ22" s="135">
        <v>522700</v>
      </c>
      <c r="AR22" s="135">
        <v>48435185</v>
      </c>
      <c r="AS22" s="135">
        <v>3083842</v>
      </c>
      <c r="AT22" s="135">
        <v>166793994</v>
      </c>
      <c r="AU22" s="135">
        <v>22887774</v>
      </c>
      <c r="AV22" s="135">
        <v>32398453</v>
      </c>
      <c r="AW22" s="135">
        <v>13452886</v>
      </c>
      <c r="AX22" s="135">
        <v>1684591004</v>
      </c>
      <c r="AY22" s="135">
        <v>0</v>
      </c>
      <c r="AZ22" s="135">
        <v>0</v>
      </c>
      <c r="BA22" s="135">
        <v>0</v>
      </c>
      <c r="BB22" s="135">
        <v>17449275</v>
      </c>
      <c r="BC22" s="135">
        <v>0</v>
      </c>
      <c r="BH22" s="82">
        <v>5565007.1900000004</v>
      </c>
      <c r="BI22" s="82">
        <v>2782503.6</v>
      </c>
      <c r="BJ22" s="117">
        <v>27141191.709844556</v>
      </c>
      <c r="BK22" s="118">
        <v>2323642</v>
      </c>
      <c r="BL22" s="118">
        <v>4647284</v>
      </c>
      <c r="BM22" s="117">
        <v>83944634</v>
      </c>
      <c r="BN22" s="117">
        <v>83944634</v>
      </c>
      <c r="BO22" s="117">
        <v>64680835</v>
      </c>
      <c r="BP22" s="117">
        <v>62545643</v>
      </c>
      <c r="BQ22" s="117">
        <v>0</v>
      </c>
      <c r="BR22" s="117">
        <v>0</v>
      </c>
      <c r="BS22" s="138"/>
      <c r="BT22" s="86">
        <v>821637530.60000002</v>
      </c>
      <c r="BU22" s="86">
        <v>593547546</v>
      </c>
      <c r="BV22" s="87">
        <v>1115300</v>
      </c>
      <c r="BX22" s="135">
        <v>3881</v>
      </c>
      <c r="BY22" s="135">
        <v>916</v>
      </c>
      <c r="BZ22" s="135">
        <v>441</v>
      </c>
      <c r="CA22" s="135">
        <f t="shared" si="4"/>
        <v>5238</v>
      </c>
      <c r="CB22" s="86">
        <v>518696003</v>
      </c>
      <c r="CC22" s="82">
        <f t="shared" si="0"/>
        <v>74394551</v>
      </c>
      <c r="CD22" s="82">
        <f t="shared" si="0"/>
        <v>2099011</v>
      </c>
      <c r="CE22" s="86">
        <f t="shared" si="1"/>
        <v>87859687</v>
      </c>
      <c r="CF22" s="86">
        <f t="shared" si="2"/>
        <v>683049252</v>
      </c>
    </row>
    <row r="23" spans="1:84" x14ac:dyDescent="0.25">
      <c r="A23" s="91" t="s">
        <v>77</v>
      </c>
      <c r="B23" s="135">
        <v>427877707</v>
      </c>
      <c r="C23" s="135">
        <v>156393774</v>
      </c>
      <c r="D23" s="135">
        <v>181782498</v>
      </c>
      <c r="E23" s="135">
        <v>0</v>
      </c>
      <c r="F23" s="135">
        <v>56842650</v>
      </c>
      <c r="G23" s="135">
        <v>37069269</v>
      </c>
      <c r="H23" s="135">
        <v>21148450</v>
      </c>
      <c r="I23" s="135">
        <v>8747950</v>
      </c>
      <c r="J23" s="135">
        <v>157200</v>
      </c>
      <c r="K23" s="135">
        <v>39300</v>
      </c>
      <c r="L23" s="135">
        <v>151729070</v>
      </c>
      <c r="M23" s="135">
        <v>118081950</v>
      </c>
      <c r="N23" s="135">
        <v>2255</v>
      </c>
      <c r="O23" s="135">
        <v>1414</v>
      </c>
      <c r="P23" s="135">
        <v>6375450</v>
      </c>
      <c r="Q23" s="135">
        <v>2137100</v>
      </c>
      <c r="R23" s="135">
        <v>9517500</v>
      </c>
      <c r="S23" s="135">
        <v>3967246</v>
      </c>
      <c r="T23" s="135">
        <v>815190</v>
      </c>
      <c r="U23" s="135">
        <v>811100</v>
      </c>
      <c r="V23" s="135">
        <v>6375450</v>
      </c>
      <c r="W23" s="135">
        <v>2259100</v>
      </c>
      <c r="X23" s="135">
        <v>9517500</v>
      </c>
      <c r="Y23" s="135">
        <v>3967246</v>
      </c>
      <c r="Z23" s="135">
        <v>707590</v>
      </c>
      <c r="AA23" s="135">
        <v>811100</v>
      </c>
      <c r="AB23" s="135">
        <v>-6403550</v>
      </c>
      <c r="AC23" s="135">
        <v>2007205</v>
      </c>
      <c r="AD23" s="135">
        <v>144275</v>
      </c>
      <c r="AE23" s="135">
        <v>0</v>
      </c>
      <c r="AF23" s="135">
        <v>0</v>
      </c>
      <c r="AG23" s="135">
        <v>218394</v>
      </c>
      <c r="AI23" s="135">
        <v>506722</v>
      </c>
      <c r="AJ23" s="139">
        <v>56000</v>
      </c>
      <c r="AO23" s="82">
        <v>197523456</v>
      </c>
      <c r="AP23" s="82">
        <v>7056409</v>
      </c>
      <c r="AQ23" s="135">
        <v>169580</v>
      </c>
      <c r="AR23" s="135">
        <v>25529321</v>
      </c>
      <c r="AS23" s="135">
        <v>5027799</v>
      </c>
      <c r="AT23" s="135">
        <v>31025834</v>
      </c>
      <c r="AU23" s="135">
        <v>25464893</v>
      </c>
      <c r="AV23" s="135">
        <v>17903365</v>
      </c>
      <c r="AW23" s="135">
        <v>0</v>
      </c>
      <c r="AX23" s="135">
        <v>778926</v>
      </c>
      <c r="AY23" s="135">
        <v>0</v>
      </c>
      <c r="AZ23" s="135">
        <v>0</v>
      </c>
      <c r="BA23" s="135">
        <v>43422</v>
      </c>
      <c r="BB23" s="135">
        <v>827619</v>
      </c>
      <c r="BC23" s="135">
        <v>0</v>
      </c>
      <c r="BH23" s="82">
        <v>14775537.17</v>
      </c>
      <c r="BI23" s="82">
        <v>7387768.5899999999</v>
      </c>
      <c r="BJ23" s="117">
        <v>0</v>
      </c>
      <c r="BK23" s="118">
        <v>0</v>
      </c>
      <c r="BL23" s="118">
        <v>0</v>
      </c>
      <c r="BM23" s="117">
        <v>33431489</v>
      </c>
      <c r="BN23" s="117">
        <v>33431489</v>
      </c>
      <c r="BO23" s="117">
        <v>127982665</v>
      </c>
      <c r="BP23" s="117">
        <v>127976210</v>
      </c>
      <c r="BQ23" s="117">
        <v>0</v>
      </c>
      <c r="BR23" s="117">
        <v>0</v>
      </c>
      <c r="BS23" s="138"/>
      <c r="BT23" s="86">
        <v>1196014046.5900002</v>
      </c>
      <c r="BU23" s="86">
        <v>822638714</v>
      </c>
      <c r="BV23" s="87">
        <v>13995291</v>
      </c>
      <c r="BX23" s="135">
        <v>11773</v>
      </c>
      <c r="BY23" s="135">
        <v>3630</v>
      </c>
      <c r="BZ23" s="135">
        <v>680</v>
      </c>
      <c r="CA23" s="135">
        <f t="shared" si="4"/>
        <v>16083</v>
      </c>
      <c r="CB23" s="86">
        <v>766053979</v>
      </c>
      <c r="CC23" s="82">
        <f t="shared" si="0"/>
        <v>197523456</v>
      </c>
      <c r="CD23" s="82">
        <f t="shared" si="0"/>
        <v>7056409</v>
      </c>
      <c r="CE23" s="86">
        <f t="shared" si="1"/>
        <v>56022013</v>
      </c>
      <c r="CF23" s="86">
        <f t="shared" si="2"/>
        <v>1026655857</v>
      </c>
    </row>
    <row r="24" spans="1:84" x14ac:dyDescent="0.25">
      <c r="A24" s="91" t="s">
        <v>78</v>
      </c>
      <c r="B24" s="135">
        <v>236079595</v>
      </c>
      <c r="C24" s="135">
        <v>192998600</v>
      </c>
      <c r="D24" s="135">
        <v>74769900</v>
      </c>
      <c r="E24" s="135">
        <v>0</v>
      </c>
      <c r="F24" s="135">
        <v>44937000</v>
      </c>
      <c r="G24" s="135">
        <v>5991100</v>
      </c>
      <c r="H24" s="135">
        <v>24552600</v>
      </c>
      <c r="I24" s="135">
        <v>1801400</v>
      </c>
      <c r="J24" s="135">
        <v>0</v>
      </c>
      <c r="K24" s="135">
        <v>0</v>
      </c>
      <c r="L24" s="135">
        <v>297711645</v>
      </c>
      <c r="M24" s="135">
        <v>118611500</v>
      </c>
      <c r="N24" s="135">
        <v>1944</v>
      </c>
      <c r="O24" s="135">
        <v>251</v>
      </c>
      <c r="P24" s="135">
        <v>861000</v>
      </c>
      <c r="Q24" s="135">
        <v>2268000</v>
      </c>
      <c r="R24" s="135">
        <v>30000</v>
      </c>
      <c r="S24" s="135">
        <v>342200</v>
      </c>
      <c r="T24" s="135">
        <v>339500</v>
      </c>
      <c r="U24" s="135">
        <v>475900</v>
      </c>
      <c r="V24" s="135">
        <v>861000</v>
      </c>
      <c r="W24" s="135">
        <v>2342500</v>
      </c>
      <c r="X24" s="135">
        <v>30000</v>
      </c>
      <c r="Y24" s="135">
        <v>342200</v>
      </c>
      <c r="Z24" s="135">
        <v>343500</v>
      </c>
      <c r="AA24" s="135">
        <v>475900</v>
      </c>
      <c r="AB24" s="135">
        <v>-2003000</v>
      </c>
      <c r="AC24" s="135">
        <v>-955762</v>
      </c>
      <c r="AD24" s="135">
        <v>146755</v>
      </c>
      <c r="AE24" s="135">
        <v>0</v>
      </c>
      <c r="AF24" s="135">
        <v>0</v>
      </c>
      <c r="AG24" s="135">
        <v>275730</v>
      </c>
      <c r="AH24" s="135">
        <v>4484</v>
      </c>
      <c r="AI24" s="135">
        <v>41664</v>
      </c>
      <c r="AJ24" s="139"/>
      <c r="AO24" s="82">
        <v>90081819</v>
      </c>
      <c r="AP24" s="82">
        <v>3567457</v>
      </c>
      <c r="AQ24" s="135">
        <v>0</v>
      </c>
      <c r="AR24" s="135">
        <v>10541756</v>
      </c>
      <c r="AS24" s="135">
        <v>247545</v>
      </c>
      <c r="AT24" s="135">
        <v>21832109</v>
      </c>
      <c r="AU24" s="135">
        <v>14520801</v>
      </c>
      <c r="AV24" s="135">
        <v>23824695</v>
      </c>
      <c r="AW24" s="135">
        <v>15554821</v>
      </c>
      <c r="AX24" s="135">
        <v>421869</v>
      </c>
      <c r="AY24" s="135">
        <v>0</v>
      </c>
      <c r="AZ24" s="135">
        <v>0</v>
      </c>
      <c r="BA24" s="135">
        <v>16006</v>
      </c>
      <c r="BB24" s="135">
        <v>8748</v>
      </c>
      <c r="BC24" s="135">
        <v>0</v>
      </c>
      <c r="BH24" s="82">
        <v>6738477</v>
      </c>
      <c r="BI24" s="82">
        <v>3369238.5</v>
      </c>
      <c r="BJ24" s="117">
        <v>0</v>
      </c>
      <c r="BK24" s="118">
        <v>0</v>
      </c>
      <c r="BL24" s="118">
        <v>0</v>
      </c>
      <c r="BM24" s="117">
        <v>17868039</v>
      </c>
      <c r="BN24" s="117">
        <v>17868039</v>
      </c>
      <c r="BO24" s="117">
        <v>57352464</v>
      </c>
      <c r="BP24" s="117">
        <v>57013469</v>
      </c>
      <c r="BQ24" s="117">
        <v>0</v>
      </c>
      <c r="BR24" s="117">
        <v>0</v>
      </c>
      <c r="BS24" s="138"/>
      <c r="BT24" s="86">
        <v>701104367.5</v>
      </c>
      <c r="BU24" s="86">
        <v>529204345</v>
      </c>
      <c r="BV24" s="87">
        <v>704500</v>
      </c>
      <c r="BX24" s="135">
        <v>6531</v>
      </c>
      <c r="BY24" s="135">
        <v>4211</v>
      </c>
      <c r="BZ24" s="135">
        <v>382</v>
      </c>
      <c r="CA24" s="135">
        <f t="shared" si="4"/>
        <v>11124</v>
      </c>
      <c r="CB24" s="86">
        <v>503848095</v>
      </c>
      <c r="CC24" s="82">
        <f t="shared" si="0"/>
        <v>90081819</v>
      </c>
      <c r="CD24" s="82">
        <f t="shared" si="0"/>
        <v>3567457</v>
      </c>
      <c r="CE24" s="86">
        <f t="shared" si="1"/>
        <v>40864923</v>
      </c>
      <c r="CF24" s="86">
        <f t="shared" si="2"/>
        <v>638362294</v>
      </c>
    </row>
    <row r="25" spans="1:84" x14ac:dyDescent="0.25">
      <c r="A25" s="91" t="s">
        <v>79</v>
      </c>
      <c r="B25" s="135">
        <v>1861891545</v>
      </c>
      <c r="C25" s="135">
        <v>451459290</v>
      </c>
      <c r="D25" s="135">
        <v>966028229</v>
      </c>
      <c r="E25" s="135">
        <v>40058124</v>
      </c>
      <c r="F25" s="135">
        <v>135841073</v>
      </c>
      <c r="G25" s="135">
        <v>22410303</v>
      </c>
      <c r="H25" s="135">
        <v>17428437</v>
      </c>
      <c r="I25" s="135">
        <v>1233358</v>
      </c>
      <c r="J25" s="135">
        <v>196500</v>
      </c>
      <c r="K25" s="135">
        <v>0</v>
      </c>
      <c r="L25" s="135">
        <v>1810886854</v>
      </c>
      <c r="M25" s="135">
        <v>213123604</v>
      </c>
      <c r="N25" s="135">
        <v>4020</v>
      </c>
      <c r="O25" s="135">
        <v>644</v>
      </c>
      <c r="P25" s="135">
        <v>35286339</v>
      </c>
      <c r="Q25" s="135">
        <v>4062143</v>
      </c>
      <c r="R25" s="135">
        <v>32264751</v>
      </c>
      <c r="S25" s="135">
        <v>9338841</v>
      </c>
      <c r="T25" s="135">
        <v>4364891</v>
      </c>
      <c r="U25" s="135">
        <v>40419291</v>
      </c>
      <c r="V25" s="135">
        <v>35286339</v>
      </c>
      <c r="W25" s="135">
        <v>7523597</v>
      </c>
      <c r="X25" s="135">
        <v>32264751</v>
      </c>
      <c r="Y25" s="135">
        <v>9338841</v>
      </c>
      <c r="Z25" s="135">
        <v>15890057</v>
      </c>
      <c r="AA25" s="135">
        <v>40419291</v>
      </c>
      <c r="AB25" s="135">
        <v>-8735748</v>
      </c>
      <c r="AC25" s="135">
        <v>-236852</v>
      </c>
      <c r="AD25" s="135">
        <v>44141</v>
      </c>
      <c r="AE25" s="135">
        <v>2810</v>
      </c>
      <c r="AF25" s="135">
        <v>270504091</v>
      </c>
      <c r="AG25" s="135">
        <v>409542</v>
      </c>
      <c r="AH25" s="135">
        <v>1024299.18</v>
      </c>
      <c r="AI25" s="135">
        <v>1765680.5409836066</v>
      </c>
      <c r="AJ25" s="139"/>
      <c r="AO25" s="82">
        <v>380792027</v>
      </c>
      <c r="AP25" s="82">
        <v>10012384</v>
      </c>
      <c r="AQ25" s="135">
        <v>0</v>
      </c>
      <c r="AR25" s="135">
        <v>165021257</v>
      </c>
      <c r="AS25" s="135">
        <v>51664806</v>
      </c>
      <c r="AT25" s="135">
        <v>627784802</v>
      </c>
      <c r="AU25" s="135">
        <v>183736258</v>
      </c>
      <c r="AV25" s="135">
        <v>188417686</v>
      </c>
      <c r="AW25" s="135">
        <v>93888317</v>
      </c>
      <c r="AX25" s="135">
        <v>11763948</v>
      </c>
      <c r="AY25" s="135">
        <v>17861545</v>
      </c>
      <c r="AZ25" s="135">
        <v>1282005</v>
      </c>
      <c r="BA25" s="135">
        <v>287823234</v>
      </c>
      <c r="BB25" s="135">
        <v>1864479</v>
      </c>
      <c r="BC25" s="135">
        <v>1113738</v>
      </c>
      <c r="BH25" s="82">
        <v>28484752.449999999</v>
      </c>
      <c r="BI25" s="82">
        <v>14242376.23</v>
      </c>
      <c r="BJ25" s="117">
        <v>0</v>
      </c>
      <c r="BK25" s="118">
        <v>2454839</v>
      </c>
      <c r="BL25" s="118">
        <v>4909678</v>
      </c>
      <c r="BM25" s="117">
        <v>68480777</v>
      </c>
      <c r="BN25" s="117">
        <v>68480777</v>
      </c>
      <c r="BO25" s="117">
        <v>86764423</v>
      </c>
      <c r="BP25" s="117">
        <v>80158857</v>
      </c>
      <c r="BQ25" s="117">
        <v>101669</v>
      </c>
      <c r="BR25" s="117">
        <v>18104507</v>
      </c>
      <c r="BS25" s="138"/>
      <c r="BT25" s="86">
        <v>4256938800.9509835</v>
      </c>
      <c r="BU25" s="86">
        <v>3682591364.7209835</v>
      </c>
      <c r="BV25" s="87">
        <v>4919026</v>
      </c>
      <c r="BX25" s="135">
        <f>21958+968</f>
        <v>22926</v>
      </c>
      <c r="BY25" s="135">
        <v>3968</v>
      </c>
      <c r="BZ25" s="135">
        <v>1649</v>
      </c>
      <c r="CA25" s="135">
        <f t="shared" si="4"/>
        <v>28543</v>
      </c>
      <c r="CB25" s="86">
        <v>3279379064</v>
      </c>
      <c r="CC25" s="82">
        <f t="shared" si="0"/>
        <v>380792027</v>
      </c>
      <c r="CD25" s="82">
        <f t="shared" si="0"/>
        <v>10012384</v>
      </c>
      <c r="CE25" s="86">
        <f t="shared" si="1"/>
        <v>494310638</v>
      </c>
      <c r="CF25" s="86">
        <f t="shared" si="2"/>
        <v>4164494113</v>
      </c>
    </row>
    <row r="26" spans="1:84" x14ac:dyDescent="0.25">
      <c r="A26" s="91" t="s">
        <v>80</v>
      </c>
      <c r="B26" s="135">
        <v>1523514700</v>
      </c>
      <c r="C26" s="135">
        <v>259411100</v>
      </c>
      <c r="D26" s="135">
        <v>700355300</v>
      </c>
      <c r="E26" s="135">
        <v>7000000</v>
      </c>
      <c r="F26" s="135">
        <v>104321700</v>
      </c>
      <c r="G26" s="135">
        <v>19920300</v>
      </c>
      <c r="H26" s="135">
        <v>15038800</v>
      </c>
      <c r="I26" s="135">
        <v>1642000</v>
      </c>
      <c r="J26" s="135">
        <v>196500</v>
      </c>
      <c r="K26" s="135">
        <v>0</v>
      </c>
      <c r="L26" s="135">
        <v>476769100</v>
      </c>
      <c r="M26" s="135">
        <v>185025900</v>
      </c>
      <c r="N26" s="135">
        <v>3098</v>
      </c>
      <c r="O26" s="135">
        <v>578</v>
      </c>
      <c r="P26" s="140">
        <v>18388400</v>
      </c>
      <c r="Q26" s="135">
        <v>6480000</v>
      </c>
      <c r="R26" s="135">
        <v>28070100</v>
      </c>
      <c r="S26" s="135">
        <v>11363050</v>
      </c>
      <c r="T26" s="135">
        <v>3908600</v>
      </c>
      <c r="U26" s="135">
        <v>4023200</v>
      </c>
      <c r="V26" s="135">
        <v>18388400</v>
      </c>
      <c r="W26" s="135">
        <v>7863400</v>
      </c>
      <c r="X26" s="135">
        <v>28070100</v>
      </c>
      <c r="Y26" s="135">
        <v>11363050</v>
      </c>
      <c r="Z26" s="135">
        <v>9547700</v>
      </c>
      <c r="AA26" s="135">
        <v>4023200</v>
      </c>
      <c r="AB26" s="135">
        <v>-5369200</v>
      </c>
      <c r="AC26" s="135">
        <v>-2887829</v>
      </c>
      <c r="AD26" s="135">
        <v>0</v>
      </c>
      <c r="AE26" s="135">
        <v>0</v>
      </c>
      <c r="AF26" s="135">
        <v>0</v>
      </c>
      <c r="AG26" s="135">
        <v>135875.19349999999</v>
      </c>
      <c r="AH26" s="135">
        <v>0</v>
      </c>
      <c r="AI26" s="135">
        <v>0</v>
      </c>
      <c r="AJ26" s="139">
        <v>0</v>
      </c>
      <c r="AO26" s="82">
        <v>295055388</v>
      </c>
      <c r="AP26" s="82">
        <v>6639621</v>
      </c>
      <c r="AQ26" s="135">
        <v>0</v>
      </c>
      <c r="AR26" s="135">
        <v>93028460</v>
      </c>
      <c r="AS26" s="135">
        <v>17617374</v>
      </c>
      <c r="AT26" s="135">
        <v>243798754</v>
      </c>
      <c r="AU26" s="135">
        <v>76164619</v>
      </c>
      <c r="AV26" s="135">
        <v>96776779</v>
      </c>
      <c r="AW26" s="135">
        <v>53601069</v>
      </c>
      <c r="AX26" s="135">
        <f>746986+2659</f>
        <v>749645</v>
      </c>
      <c r="AY26" s="135">
        <v>0</v>
      </c>
      <c r="AZ26" s="135">
        <v>54537</v>
      </c>
      <c r="BA26" s="135">
        <v>12179151</v>
      </c>
      <c r="BB26" s="135">
        <v>2835520</v>
      </c>
      <c r="BC26" s="135">
        <v>10000</v>
      </c>
      <c r="BH26" s="82">
        <v>22071312.129999999</v>
      </c>
      <c r="BI26" s="82">
        <v>11035656.07</v>
      </c>
      <c r="BJ26" s="117">
        <v>0</v>
      </c>
      <c r="BK26" s="118">
        <v>3729635</v>
      </c>
      <c r="BL26" s="118">
        <v>7459270</v>
      </c>
      <c r="BM26" s="117">
        <v>94764752</v>
      </c>
      <c r="BN26" s="117">
        <v>94626029</v>
      </c>
      <c r="BO26" s="117">
        <v>153798542</v>
      </c>
      <c r="BP26" s="117">
        <v>147929836</v>
      </c>
      <c r="BQ26" s="117">
        <v>0</v>
      </c>
      <c r="BR26" s="117">
        <v>0</v>
      </c>
      <c r="BS26" s="138"/>
      <c r="BT26" s="86">
        <v>3229107718.0700002</v>
      </c>
      <c r="BU26" s="86">
        <v>2670091553</v>
      </c>
      <c r="BV26" s="87">
        <v>1585300</v>
      </c>
      <c r="BX26" s="135">
        <v>13285</v>
      </c>
      <c r="BY26" s="135">
        <v>2535</v>
      </c>
      <c r="BZ26" s="135">
        <v>950</v>
      </c>
      <c r="CA26" s="135">
        <f t="shared" si="4"/>
        <v>16770</v>
      </c>
      <c r="CB26" s="86">
        <v>2483281100</v>
      </c>
      <c r="CC26" s="82">
        <f t="shared" si="0"/>
        <v>295055388</v>
      </c>
      <c r="CD26" s="82">
        <f t="shared" si="0"/>
        <v>6639621</v>
      </c>
      <c r="CE26" s="86">
        <f t="shared" si="1"/>
        <v>240411522</v>
      </c>
      <c r="CF26" s="86">
        <f t="shared" si="2"/>
        <v>3025387631</v>
      </c>
    </row>
    <row r="27" spans="1:84" x14ac:dyDescent="0.25">
      <c r="A27" s="91" t="s">
        <v>81</v>
      </c>
      <c r="B27" s="135">
        <v>198515400</v>
      </c>
      <c r="C27" s="135">
        <v>71205205</v>
      </c>
      <c r="D27" s="135">
        <v>78939800</v>
      </c>
      <c r="E27" s="135">
        <v>0</v>
      </c>
      <c r="F27" s="135">
        <v>42513500</v>
      </c>
      <c r="G27" s="135">
        <v>31690000</v>
      </c>
      <c r="H27" s="135">
        <v>12409200</v>
      </c>
      <c r="I27" s="135">
        <v>5496200</v>
      </c>
      <c r="J27" s="135">
        <v>74300</v>
      </c>
      <c r="K27" s="135">
        <v>78600</v>
      </c>
      <c r="L27" s="135">
        <v>70305930</v>
      </c>
      <c r="M27" s="135">
        <v>48327490</v>
      </c>
      <c r="N27" s="135">
        <v>1694</v>
      </c>
      <c r="O27" s="135">
        <v>1225</v>
      </c>
      <c r="P27" s="135">
        <v>4240500</v>
      </c>
      <c r="Q27" s="135">
        <v>933240</v>
      </c>
      <c r="R27" s="135">
        <v>1220000</v>
      </c>
      <c r="S27" s="135">
        <v>6414000</v>
      </c>
      <c r="T27" s="135">
        <v>1297540</v>
      </c>
      <c r="U27" s="135">
        <v>1712300</v>
      </c>
      <c r="V27" s="135">
        <v>4240500</v>
      </c>
      <c r="W27" s="135">
        <v>1039840</v>
      </c>
      <c r="X27" s="135">
        <v>1220000</v>
      </c>
      <c r="Y27" s="135">
        <v>6414000</v>
      </c>
      <c r="Z27" s="135">
        <v>1599730</v>
      </c>
      <c r="AA27" s="135">
        <v>1712300</v>
      </c>
      <c r="AB27" s="135">
        <v>-2386500</v>
      </c>
      <c r="AC27" s="135">
        <v>-6351</v>
      </c>
      <c r="AD27" s="135">
        <v>182520</v>
      </c>
      <c r="AE27" s="135">
        <v>0</v>
      </c>
      <c r="AF27" s="140">
        <v>0</v>
      </c>
      <c r="AG27" s="135">
        <v>0</v>
      </c>
      <c r="AH27" s="135">
        <v>1879754.1</v>
      </c>
      <c r="AI27" s="135">
        <v>9324959.0163934436</v>
      </c>
      <c r="AJ27" s="139">
        <v>20000</v>
      </c>
      <c r="AO27" s="82">
        <v>99482269</v>
      </c>
      <c r="AP27" s="82">
        <v>2420179</v>
      </c>
      <c r="AQ27" s="135">
        <v>0</v>
      </c>
      <c r="AR27" s="135">
        <v>16397801</v>
      </c>
      <c r="AS27" s="135">
        <v>89641</v>
      </c>
      <c r="AT27" s="135">
        <v>6490832</v>
      </c>
      <c r="AU27" s="135">
        <v>11217405</v>
      </c>
      <c r="AV27" s="135">
        <v>5017213</v>
      </c>
      <c r="AW27" s="135">
        <v>0</v>
      </c>
      <c r="AX27" s="135">
        <v>344727</v>
      </c>
      <c r="AY27" s="135">
        <v>0</v>
      </c>
      <c r="AZ27" s="135">
        <v>0</v>
      </c>
      <c r="BA27" s="135">
        <v>0</v>
      </c>
      <c r="BB27" s="135">
        <v>820</v>
      </c>
      <c r="BC27" s="135">
        <v>0</v>
      </c>
      <c r="BH27" s="82">
        <v>7441667.9000000004</v>
      </c>
      <c r="BI27" s="82">
        <v>3720833.95</v>
      </c>
      <c r="BJ27" s="117">
        <v>0</v>
      </c>
      <c r="BK27" s="118">
        <v>777706</v>
      </c>
      <c r="BL27" s="118">
        <v>1555412</v>
      </c>
      <c r="BM27" s="117">
        <v>14312721</v>
      </c>
      <c r="BN27" s="117">
        <v>14312721</v>
      </c>
      <c r="BO27" s="117">
        <v>54479926</v>
      </c>
      <c r="BP27" s="117">
        <v>53087743</v>
      </c>
      <c r="BQ27" s="117">
        <v>0</v>
      </c>
      <c r="BR27" s="117">
        <v>0</v>
      </c>
      <c r="BS27" s="138"/>
      <c r="BT27" s="86">
        <v>561391417.06639338</v>
      </c>
      <c r="BU27" s="86">
        <v>387589965.11639345</v>
      </c>
      <c r="BV27" s="87">
        <v>504700</v>
      </c>
      <c r="BX27" s="135">
        <v>8516</v>
      </c>
      <c r="BY27" s="135">
        <v>3314</v>
      </c>
      <c r="BZ27" s="135">
        <v>387</v>
      </c>
      <c r="CA27" s="135">
        <f t="shared" si="4"/>
        <v>12217</v>
      </c>
      <c r="CB27" s="86">
        <v>348660405</v>
      </c>
      <c r="CC27" s="82">
        <f t="shared" si="0"/>
        <v>99482269</v>
      </c>
      <c r="CD27" s="82">
        <f t="shared" si="0"/>
        <v>2420179</v>
      </c>
      <c r="CE27" s="86">
        <f t="shared" si="1"/>
        <v>27704847</v>
      </c>
      <c r="CF27" s="86">
        <f t="shared" si="2"/>
        <v>478267700</v>
      </c>
    </row>
    <row r="28" spans="1:84" x14ac:dyDescent="0.25">
      <c r="A28" s="91" t="s">
        <v>82</v>
      </c>
      <c r="B28" s="135">
        <v>200438246</v>
      </c>
      <c r="C28" s="135">
        <v>71412351</v>
      </c>
      <c r="D28" s="135">
        <v>106987836</v>
      </c>
      <c r="E28" s="135">
        <v>0</v>
      </c>
      <c r="F28" s="135">
        <v>26911800</v>
      </c>
      <c r="G28" s="135">
        <v>10674962</v>
      </c>
      <c r="H28" s="135">
        <v>9175850</v>
      </c>
      <c r="I28" s="135">
        <v>1411700</v>
      </c>
      <c r="J28" s="135">
        <v>39300</v>
      </c>
      <c r="K28" s="135">
        <v>39300</v>
      </c>
      <c r="L28" s="135">
        <v>139578787</v>
      </c>
      <c r="M28" s="135">
        <v>46360240</v>
      </c>
      <c r="N28" s="135">
        <v>1037</v>
      </c>
      <c r="O28" s="135">
        <v>388</v>
      </c>
      <c r="P28" s="135">
        <v>222200</v>
      </c>
      <c r="Q28" s="135">
        <v>434618</v>
      </c>
      <c r="R28" s="135">
        <v>89210</v>
      </c>
      <c r="S28" s="135">
        <v>2392983</v>
      </c>
      <c r="T28" s="135">
        <v>432399</v>
      </c>
      <c r="U28" s="135">
        <v>1340340</v>
      </c>
      <c r="V28" s="135">
        <v>222200</v>
      </c>
      <c r="W28" s="135">
        <v>578500</v>
      </c>
      <c r="X28" s="135">
        <v>89210</v>
      </c>
      <c r="Y28" s="135">
        <v>2392983</v>
      </c>
      <c r="Z28" s="135">
        <v>803602</v>
      </c>
      <c r="AA28" s="135">
        <v>1340340</v>
      </c>
      <c r="AB28" s="135">
        <v>-1032320</v>
      </c>
      <c r="AC28" s="135">
        <v>0</v>
      </c>
      <c r="AD28" s="135">
        <v>47971</v>
      </c>
      <c r="AE28" s="135">
        <v>0</v>
      </c>
      <c r="AF28" s="135">
        <v>0</v>
      </c>
      <c r="AG28" s="135">
        <v>96529</v>
      </c>
      <c r="AH28" s="135">
        <v>1061270.4918032787</v>
      </c>
      <c r="AI28" s="135">
        <v>373898</v>
      </c>
      <c r="AJ28" s="139"/>
      <c r="AO28" s="82">
        <v>61616850</v>
      </c>
      <c r="AP28" s="82">
        <v>9590150</v>
      </c>
      <c r="AQ28" s="135">
        <v>5093653</v>
      </c>
      <c r="AR28" s="135">
        <v>15164121</v>
      </c>
      <c r="AS28" s="135">
        <v>3899869</v>
      </c>
      <c r="AT28" s="135">
        <v>36340109</v>
      </c>
      <c r="AU28" s="135">
        <v>9739273</v>
      </c>
      <c r="AV28" s="135">
        <v>2197520</v>
      </c>
      <c r="AW28" s="135">
        <v>0</v>
      </c>
      <c r="AX28" s="135">
        <v>82311</v>
      </c>
      <c r="AY28" s="135">
        <v>0</v>
      </c>
      <c r="AZ28" s="135">
        <v>0</v>
      </c>
      <c r="BA28" s="135">
        <v>910205</v>
      </c>
      <c r="BB28" s="135">
        <v>0</v>
      </c>
      <c r="BC28" s="135">
        <v>0</v>
      </c>
      <c r="BH28" s="82">
        <v>4609184.53</v>
      </c>
      <c r="BI28" s="82">
        <v>2304592.27</v>
      </c>
      <c r="BJ28" s="117">
        <v>0</v>
      </c>
      <c r="BK28" s="118">
        <v>0</v>
      </c>
      <c r="BL28" s="118">
        <v>0</v>
      </c>
      <c r="BM28" s="117">
        <v>4230200</v>
      </c>
      <c r="BN28" s="117">
        <v>4230200</v>
      </c>
      <c r="BO28" s="117">
        <v>32485717</v>
      </c>
      <c r="BP28" s="117">
        <v>31913438</v>
      </c>
      <c r="BQ28" s="117">
        <v>0</v>
      </c>
      <c r="BR28" s="117">
        <v>0</v>
      </c>
      <c r="BS28" s="138"/>
      <c r="BT28" s="86">
        <v>518732094.76180327</v>
      </c>
      <c r="BU28" s="86">
        <v>409076864.49180329</v>
      </c>
      <c r="BV28" s="87">
        <v>402056</v>
      </c>
      <c r="BX28" s="135">
        <v>5639</v>
      </c>
      <c r="BY28" s="135">
        <v>1787</v>
      </c>
      <c r="BZ28" s="135">
        <v>401</v>
      </c>
      <c r="CA28" s="135">
        <f t="shared" si="4"/>
        <v>7827</v>
      </c>
      <c r="CB28" s="86">
        <v>378838433</v>
      </c>
      <c r="CC28" s="82">
        <f t="shared" si="0"/>
        <v>61616850</v>
      </c>
      <c r="CD28" s="82">
        <f t="shared" si="0"/>
        <v>9590150</v>
      </c>
      <c r="CE28" s="86">
        <f t="shared" si="1"/>
        <v>28803263</v>
      </c>
      <c r="CF28" s="86">
        <f t="shared" si="2"/>
        <v>478848696</v>
      </c>
    </row>
    <row r="29" spans="1:84" x14ac:dyDescent="0.25">
      <c r="A29" s="91" t="s">
        <v>83</v>
      </c>
      <c r="B29" s="135">
        <v>160429732</v>
      </c>
      <c r="C29" s="135">
        <v>158098904</v>
      </c>
      <c r="D29" s="135">
        <v>50615793</v>
      </c>
      <c r="E29" s="135">
        <v>0</v>
      </c>
      <c r="F29" s="135">
        <v>26928891</v>
      </c>
      <c r="G29" s="135">
        <v>5320226</v>
      </c>
      <c r="H29" s="135">
        <v>9246150</v>
      </c>
      <c r="I29" s="135">
        <v>1534899</v>
      </c>
      <c r="J29" s="135">
        <v>17500</v>
      </c>
      <c r="K29" s="135">
        <v>0</v>
      </c>
      <c r="L29" s="135">
        <v>249679333</v>
      </c>
      <c r="M29" s="135">
        <v>61779798</v>
      </c>
      <c r="N29" s="135">
        <v>1007</v>
      </c>
      <c r="O29" s="135">
        <v>214</v>
      </c>
      <c r="P29" s="135">
        <v>1921580</v>
      </c>
      <c r="Q29" s="135">
        <v>1501900</v>
      </c>
      <c r="R29" s="135">
        <v>4022284</v>
      </c>
      <c r="S29" s="135">
        <v>1595240</v>
      </c>
      <c r="T29" s="135">
        <v>1554100</v>
      </c>
      <c r="U29" s="135">
        <v>441500</v>
      </c>
      <c r="V29" s="135">
        <v>1921580</v>
      </c>
      <c r="W29" s="135">
        <v>2050648</v>
      </c>
      <c r="X29" s="135">
        <v>4022284</v>
      </c>
      <c r="Y29" s="135">
        <v>1595240</v>
      </c>
      <c r="Z29" s="135">
        <v>1972975</v>
      </c>
      <c r="AA29" s="135">
        <v>441500</v>
      </c>
      <c r="AB29" s="135">
        <v>-2222138</v>
      </c>
      <c r="AC29" s="135">
        <v>-249256</v>
      </c>
      <c r="AD29" s="135">
        <v>94802</v>
      </c>
      <c r="AE29" s="135">
        <v>4568</v>
      </c>
      <c r="AF29" s="135">
        <v>780226</v>
      </c>
      <c r="AG29" s="135">
        <v>213430</v>
      </c>
      <c r="AI29" s="135">
        <v>603312</v>
      </c>
      <c r="AJ29" s="139"/>
      <c r="AO29" s="82">
        <v>62543535</v>
      </c>
      <c r="AP29" s="82">
        <v>3001791</v>
      </c>
      <c r="AQ29" s="135">
        <v>10000</v>
      </c>
      <c r="AR29" s="135">
        <v>9247423</v>
      </c>
      <c r="AS29" s="135">
        <v>249312</v>
      </c>
      <c r="AT29" s="135">
        <v>11501403</v>
      </c>
      <c r="AU29" s="135">
        <v>9186718</v>
      </c>
      <c r="AV29" s="135">
        <v>15789260</v>
      </c>
      <c r="AW29" s="135">
        <v>0</v>
      </c>
      <c r="AX29" s="135">
        <v>1265339</v>
      </c>
      <c r="AY29" s="135">
        <v>0</v>
      </c>
      <c r="AZ29" s="135">
        <v>0</v>
      </c>
      <c r="BA29" s="135">
        <v>100776</v>
      </c>
      <c r="BB29" s="135">
        <v>2341672</v>
      </c>
      <c r="BC29" s="135">
        <v>855100</v>
      </c>
      <c r="BH29" s="82">
        <v>4678504.24</v>
      </c>
      <c r="BI29" s="82">
        <v>2339252.12</v>
      </c>
      <c r="BJ29" s="117">
        <v>25443005.18134715</v>
      </c>
      <c r="BK29" s="118">
        <v>0</v>
      </c>
      <c r="BL29" s="118">
        <v>0</v>
      </c>
      <c r="BM29" s="117">
        <v>12753000</v>
      </c>
      <c r="BN29" s="117">
        <v>12753000</v>
      </c>
      <c r="BO29" s="117">
        <v>26784035</v>
      </c>
      <c r="BP29" s="117">
        <v>26105444</v>
      </c>
      <c r="BQ29" s="117">
        <v>0</v>
      </c>
      <c r="BR29" s="117">
        <v>0</v>
      </c>
      <c r="BS29" s="138"/>
      <c r="BT29" s="86">
        <v>495174216.12</v>
      </c>
      <c r="BU29" s="86">
        <v>388431194</v>
      </c>
      <c r="BV29" s="87">
        <v>424294</v>
      </c>
      <c r="BX29" s="135">
        <v>4501</v>
      </c>
      <c r="BY29" s="135">
        <v>2917</v>
      </c>
      <c r="CA29" s="135">
        <f t="shared" si="4"/>
        <v>7418</v>
      </c>
      <c r="CB29" s="86">
        <v>369144429</v>
      </c>
      <c r="CC29" s="82">
        <f t="shared" si="0"/>
        <v>62543535</v>
      </c>
      <c r="CD29" s="82">
        <f t="shared" si="0"/>
        <v>3001791</v>
      </c>
      <c r="CE29" s="86">
        <f t="shared" si="1"/>
        <v>18683453</v>
      </c>
      <c r="CF29" s="86">
        <f t="shared" si="2"/>
        <v>453373208</v>
      </c>
    </row>
    <row r="30" spans="1:84" x14ac:dyDescent="0.25">
      <c r="A30" s="91" t="s">
        <v>84</v>
      </c>
      <c r="B30" s="135">
        <v>165368474</v>
      </c>
      <c r="C30" s="135">
        <v>120309650</v>
      </c>
      <c r="D30" s="135">
        <v>38881402</v>
      </c>
      <c r="E30" s="135">
        <v>0</v>
      </c>
      <c r="F30" s="135">
        <v>19209650</v>
      </c>
      <c r="G30" s="135">
        <v>4794100</v>
      </c>
      <c r="H30" s="135">
        <v>8202100</v>
      </c>
      <c r="I30" s="135">
        <v>1051800</v>
      </c>
      <c r="J30" s="135">
        <v>39300</v>
      </c>
      <c r="K30" s="135">
        <v>0</v>
      </c>
      <c r="L30" s="135">
        <v>149663466</v>
      </c>
      <c r="M30" s="135">
        <v>60419000</v>
      </c>
      <c r="N30" s="135">
        <v>721</v>
      </c>
      <c r="O30" s="135">
        <v>159</v>
      </c>
      <c r="P30" s="135">
        <v>1822000</v>
      </c>
      <c r="Q30" s="135">
        <v>960300</v>
      </c>
      <c r="R30" s="135">
        <v>1231000</v>
      </c>
      <c r="S30" s="135">
        <v>1242414</v>
      </c>
      <c r="T30" s="135">
        <v>38000</v>
      </c>
      <c r="U30" s="135">
        <v>943700</v>
      </c>
      <c r="V30" s="135">
        <v>1822000</v>
      </c>
      <c r="W30" s="135">
        <v>515000</v>
      </c>
      <c r="X30" s="135">
        <v>1231000</v>
      </c>
      <c r="Y30" s="135">
        <v>1242414</v>
      </c>
      <c r="Z30" s="135">
        <v>73000</v>
      </c>
      <c r="AA30" s="135">
        <v>943700</v>
      </c>
      <c r="AB30" s="135">
        <v>-1761600</v>
      </c>
      <c r="AC30" s="135">
        <v>-28722</v>
      </c>
      <c r="AD30" s="135">
        <v>0</v>
      </c>
      <c r="AE30" s="135">
        <v>0</v>
      </c>
      <c r="AF30" s="135">
        <v>0</v>
      </c>
      <c r="AG30" s="135">
        <v>0</v>
      </c>
      <c r="AH30" s="135">
        <v>1022745.9</v>
      </c>
      <c r="AI30" s="135">
        <v>0</v>
      </c>
      <c r="AJ30" s="139"/>
      <c r="AO30" s="82">
        <v>43534143</v>
      </c>
      <c r="AP30" s="82">
        <v>7676750</v>
      </c>
      <c r="AQ30" s="135">
        <v>6510170</v>
      </c>
      <c r="AR30" s="135">
        <v>5777666</v>
      </c>
      <c r="AS30" s="135">
        <v>168724</v>
      </c>
      <c r="AT30" s="135">
        <v>2009188</v>
      </c>
      <c r="AU30" s="135">
        <v>3669447</v>
      </c>
      <c r="AV30" s="135">
        <v>5844478</v>
      </c>
      <c r="AW30" s="135">
        <v>0</v>
      </c>
      <c r="AX30" s="135">
        <v>108234</v>
      </c>
      <c r="AY30" s="135">
        <v>0</v>
      </c>
      <c r="AZ30" s="135">
        <v>0</v>
      </c>
      <c r="BA30" s="135">
        <v>0</v>
      </c>
      <c r="BB30" s="135">
        <v>0</v>
      </c>
      <c r="BC30" s="135">
        <v>70000</v>
      </c>
      <c r="BH30" s="82">
        <v>3256526.39</v>
      </c>
      <c r="BI30" s="82">
        <v>1628263.2</v>
      </c>
      <c r="BJ30" s="117">
        <v>0</v>
      </c>
      <c r="BK30" s="118">
        <v>0</v>
      </c>
      <c r="BL30" s="118">
        <v>0</v>
      </c>
      <c r="BM30" s="117">
        <v>2075840</v>
      </c>
      <c r="BN30" s="117">
        <v>2075840</v>
      </c>
      <c r="BO30" s="117">
        <v>21255462</v>
      </c>
      <c r="BP30" s="117">
        <v>21175401</v>
      </c>
      <c r="BQ30" s="117">
        <v>0</v>
      </c>
      <c r="BR30" s="117">
        <v>0</v>
      </c>
      <c r="BS30" s="138"/>
      <c r="BT30" s="86">
        <v>411288506.09999996</v>
      </c>
      <c r="BU30" s="86">
        <v>335198108.89999998</v>
      </c>
      <c r="BV30" s="87">
        <v>381000</v>
      </c>
      <c r="BX30" s="135">
        <v>3576</v>
      </c>
      <c r="BY30" s="135">
        <v>1841</v>
      </c>
      <c r="BZ30" s="135">
        <v>238</v>
      </c>
      <c r="CA30" s="135">
        <f t="shared" si="4"/>
        <v>5655</v>
      </c>
      <c r="CB30" s="86">
        <v>324559526</v>
      </c>
      <c r="CC30" s="82">
        <f t="shared" si="0"/>
        <v>43534143</v>
      </c>
      <c r="CD30" s="82">
        <f t="shared" si="0"/>
        <v>7676750</v>
      </c>
      <c r="CE30" s="86">
        <f t="shared" si="1"/>
        <v>9615837</v>
      </c>
      <c r="CF30" s="86">
        <f t="shared" si="2"/>
        <v>385386256</v>
      </c>
    </row>
    <row r="31" spans="1:84" x14ac:dyDescent="0.25">
      <c r="A31" s="91" t="s">
        <v>85</v>
      </c>
      <c r="B31" s="135">
        <v>4030059491</v>
      </c>
      <c r="C31" s="135">
        <v>466441628</v>
      </c>
      <c r="D31" s="135">
        <v>1849656924</v>
      </c>
      <c r="E31" s="135">
        <v>0</v>
      </c>
      <c r="F31" s="135">
        <v>329026300</v>
      </c>
      <c r="G31" s="135">
        <v>36059700</v>
      </c>
      <c r="H31" s="135">
        <v>21900765</v>
      </c>
      <c r="I31" s="135">
        <v>1321993</v>
      </c>
      <c r="J31" s="135">
        <v>1127100</v>
      </c>
      <c r="K31" s="135">
        <v>78600</v>
      </c>
      <c r="L31" s="135">
        <v>1066491113</v>
      </c>
      <c r="M31" s="135">
        <v>237920033</v>
      </c>
      <c r="N31" s="135">
        <v>9064</v>
      </c>
      <c r="O31" s="135">
        <v>992</v>
      </c>
      <c r="P31" s="135">
        <v>72378693</v>
      </c>
      <c r="Q31" s="135">
        <v>12276430</v>
      </c>
      <c r="R31" s="135">
        <v>53435663</v>
      </c>
      <c r="S31" s="135">
        <v>15416366</v>
      </c>
      <c r="T31" s="135">
        <v>4386795</v>
      </c>
      <c r="U31" s="135">
        <v>37587340</v>
      </c>
      <c r="V31" s="135">
        <v>72378693</v>
      </c>
      <c r="W31" s="135">
        <v>13863332</v>
      </c>
      <c r="X31" s="135">
        <v>53435663</v>
      </c>
      <c r="Y31" s="135">
        <v>15416366</v>
      </c>
      <c r="Z31" s="135">
        <v>13576833</v>
      </c>
      <c r="AA31" s="135">
        <v>37587340</v>
      </c>
      <c r="AB31" s="135">
        <v>-18764713</v>
      </c>
      <c r="AC31" s="135">
        <v>0</v>
      </c>
      <c r="AD31" s="135">
        <v>0</v>
      </c>
      <c r="AE31" s="135">
        <v>0</v>
      </c>
      <c r="AF31" s="135">
        <v>0</v>
      </c>
      <c r="AG31" s="135">
        <v>244467.35949999999</v>
      </c>
      <c r="AI31" s="135">
        <v>252406</v>
      </c>
      <c r="AJ31" s="139">
        <v>235000</v>
      </c>
      <c r="AO31" s="82">
        <v>710553065</v>
      </c>
      <c r="AP31" s="82">
        <v>18825651</v>
      </c>
      <c r="AQ31" s="135">
        <v>56185</v>
      </c>
      <c r="AR31" s="135">
        <v>237237701</v>
      </c>
      <c r="AS31" s="135">
        <v>29490166</v>
      </c>
      <c r="AT31" s="135">
        <v>423575556</v>
      </c>
      <c r="AU31" s="135">
        <v>294314226</v>
      </c>
      <c r="AV31" s="135">
        <v>281441288</v>
      </c>
      <c r="AW31" s="135">
        <v>64194983</v>
      </c>
      <c r="AX31" s="135">
        <f>27311102+232486171</f>
        <v>259797273</v>
      </c>
      <c r="AY31" s="135">
        <v>23782784</v>
      </c>
      <c r="AZ31" s="135">
        <v>3863466</v>
      </c>
      <c r="BA31" s="135">
        <v>86825053</v>
      </c>
      <c r="BB31" s="135">
        <v>5348946</v>
      </c>
      <c r="BC31" s="135">
        <v>6076700</v>
      </c>
      <c r="BH31" s="82">
        <v>53152184.719999999</v>
      </c>
      <c r="BI31" s="82">
        <v>26576092.359999999</v>
      </c>
      <c r="BJ31" s="117">
        <v>39683937.823834196</v>
      </c>
      <c r="BK31" s="118">
        <v>2158188</v>
      </c>
      <c r="BL31" s="118">
        <v>4316376</v>
      </c>
      <c r="BM31" s="117">
        <v>104384376</v>
      </c>
      <c r="BN31" s="117">
        <v>104384376</v>
      </c>
      <c r="BO31" s="117">
        <v>142554803</v>
      </c>
      <c r="BP31" s="117">
        <v>137463624</v>
      </c>
      <c r="BQ31" s="117">
        <v>63040523</v>
      </c>
      <c r="BR31" s="117">
        <v>0</v>
      </c>
      <c r="BS31" s="138"/>
      <c r="BT31" s="86">
        <v>7970689061.3599997</v>
      </c>
      <c r="BU31" s="86">
        <v>6907687542</v>
      </c>
      <c r="BV31" s="87">
        <v>3692180</v>
      </c>
      <c r="BX31" s="135">
        <v>36034</v>
      </c>
      <c r="BY31" s="135">
        <v>4762</v>
      </c>
      <c r="BZ31" s="135">
        <v>4185</v>
      </c>
      <c r="CA31" s="135">
        <f t="shared" si="4"/>
        <v>44981</v>
      </c>
      <c r="CB31" s="86">
        <v>6346158043</v>
      </c>
      <c r="CC31" s="82">
        <f t="shared" si="0"/>
        <v>710553065</v>
      </c>
      <c r="CD31" s="82">
        <f t="shared" si="0"/>
        <v>18825651</v>
      </c>
      <c r="CE31" s="86">
        <f t="shared" si="1"/>
        <v>625237076</v>
      </c>
      <c r="CF31" s="86">
        <f t="shared" si="2"/>
        <v>7700773835</v>
      </c>
    </row>
    <row r="32" spans="1:84" x14ac:dyDescent="0.25">
      <c r="A32" s="91" t="s">
        <v>86</v>
      </c>
      <c r="B32" s="135">
        <v>461778595</v>
      </c>
      <c r="C32" s="135">
        <v>129109100</v>
      </c>
      <c r="D32" s="135">
        <v>51958892</v>
      </c>
      <c r="E32" s="135">
        <v>0</v>
      </c>
      <c r="F32" s="135">
        <v>32543250</v>
      </c>
      <c r="G32" s="135">
        <v>11026850</v>
      </c>
      <c r="H32" s="135">
        <v>14756490</v>
      </c>
      <c r="I32" s="135">
        <v>1775759</v>
      </c>
      <c r="J32" s="135">
        <v>39300</v>
      </c>
      <c r="K32" s="135">
        <v>0</v>
      </c>
      <c r="L32" s="135">
        <v>225592284</v>
      </c>
      <c r="M32" s="135">
        <v>103684037</v>
      </c>
      <c r="N32" s="135">
        <v>1288</v>
      </c>
      <c r="O32" s="135">
        <v>388</v>
      </c>
      <c r="P32" s="135">
        <v>11835589</v>
      </c>
      <c r="Q32" s="135">
        <v>3323048</v>
      </c>
      <c r="R32" s="135">
        <v>298000</v>
      </c>
      <c r="S32" s="135">
        <v>314225</v>
      </c>
      <c r="T32" s="135">
        <v>79865</v>
      </c>
      <c r="U32" s="135">
        <v>122000</v>
      </c>
      <c r="V32" s="135">
        <v>11835589</v>
      </c>
      <c r="W32" s="135">
        <v>338000</v>
      </c>
      <c r="X32" s="135">
        <v>298000</v>
      </c>
      <c r="Y32" s="135">
        <v>314225</v>
      </c>
      <c r="Z32" s="135">
        <v>10000</v>
      </c>
      <c r="AA32" s="135">
        <v>122000</v>
      </c>
      <c r="AB32" s="135">
        <v>-1900952</v>
      </c>
      <c r="AC32" s="135">
        <v>-13098</v>
      </c>
      <c r="AD32" s="135">
        <v>71529</v>
      </c>
      <c r="AE32" s="135">
        <v>7845</v>
      </c>
      <c r="AF32" s="135">
        <v>10044704</v>
      </c>
      <c r="AG32" s="135">
        <v>137849</v>
      </c>
      <c r="AH32" s="135">
        <v>716622.95081967209</v>
      </c>
      <c r="AI32" s="135">
        <v>0</v>
      </c>
      <c r="AJ32" s="139"/>
      <c r="AO32" s="82">
        <v>83708221</v>
      </c>
      <c r="AP32" s="82">
        <v>9425811</v>
      </c>
      <c r="AQ32" s="135">
        <v>599476</v>
      </c>
      <c r="AR32" s="135">
        <v>4418878</v>
      </c>
      <c r="AS32" s="135">
        <v>129738</v>
      </c>
      <c r="AT32" s="135">
        <v>4893719</v>
      </c>
      <c r="AU32" s="135">
        <v>5078006</v>
      </c>
      <c r="AV32" s="135">
        <v>879677</v>
      </c>
      <c r="AW32" s="135">
        <v>0</v>
      </c>
      <c r="AX32" s="135">
        <v>949912</v>
      </c>
      <c r="AY32" s="135">
        <v>0</v>
      </c>
      <c r="AZ32" s="135">
        <v>0</v>
      </c>
      <c r="BA32" s="135">
        <v>0</v>
      </c>
      <c r="BB32" s="135">
        <v>0</v>
      </c>
      <c r="BC32" s="135">
        <v>0</v>
      </c>
      <c r="BH32" s="82">
        <v>6261706.6100000003</v>
      </c>
      <c r="BI32" s="82">
        <v>3130853.31</v>
      </c>
      <c r="BJ32" s="117">
        <v>0</v>
      </c>
      <c r="BK32" s="118">
        <v>323619</v>
      </c>
      <c r="BL32" s="118">
        <v>647238</v>
      </c>
      <c r="BM32" s="117">
        <v>2745323</v>
      </c>
      <c r="BN32" s="117">
        <v>2745323</v>
      </c>
      <c r="BO32" s="117">
        <v>19182128</v>
      </c>
      <c r="BP32" s="117">
        <v>18511564</v>
      </c>
      <c r="BQ32" s="117">
        <v>0</v>
      </c>
      <c r="BR32" s="117">
        <v>0</v>
      </c>
      <c r="BS32" s="138"/>
      <c r="BT32" s="86">
        <v>771035223.26081967</v>
      </c>
      <c r="BU32" s="86">
        <v>653189831.95081973</v>
      </c>
      <c r="BV32" s="87">
        <v>767550</v>
      </c>
      <c r="BX32" s="135">
        <v>7428</v>
      </c>
      <c r="BY32" s="135">
        <v>2218</v>
      </c>
      <c r="BZ32" s="135">
        <v>253</v>
      </c>
      <c r="CA32" s="135">
        <f t="shared" si="4"/>
        <v>9899</v>
      </c>
      <c r="CB32" s="86">
        <v>642846587</v>
      </c>
      <c r="CC32" s="82">
        <f t="shared" si="0"/>
        <v>83708221</v>
      </c>
      <c r="CD32" s="82">
        <f t="shared" si="0"/>
        <v>9425811</v>
      </c>
      <c r="CE32" s="86">
        <f t="shared" si="1"/>
        <v>9626622</v>
      </c>
      <c r="CF32" s="86">
        <f t="shared" si="2"/>
        <v>745607241</v>
      </c>
    </row>
    <row r="33" spans="1:84" x14ac:dyDescent="0.25">
      <c r="A33" s="91" t="s">
        <v>87</v>
      </c>
      <c r="B33" s="135">
        <v>70350947</v>
      </c>
      <c r="C33" s="135">
        <v>69692057</v>
      </c>
      <c r="D33" s="135">
        <v>23271954</v>
      </c>
      <c r="E33" s="135">
        <v>0</v>
      </c>
      <c r="F33" s="135">
        <v>8435818</v>
      </c>
      <c r="G33" s="135">
        <v>8276160</v>
      </c>
      <c r="H33" s="135">
        <v>11608662</v>
      </c>
      <c r="I33" s="135">
        <v>6725298</v>
      </c>
      <c r="J33" s="135">
        <v>78600</v>
      </c>
      <c r="K33" s="135">
        <v>0</v>
      </c>
      <c r="L33" s="135">
        <v>101412961</v>
      </c>
      <c r="M33" s="135">
        <v>40334239</v>
      </c>
      <c r="N33" s="135">
        <v>575</v>
      </c>
      <c r="O33" s="135">
        <v>475</v>
      </c>
      <c r="P33" s="135">
        <v>1492861</v>
      </c>
      <c r="Q33" s="135">
        <v>1710065</v>
      </c>
      <c r="R33" s="135">
        <v>75000</v>
      </c>
      <c r="S33" s="135">
        <v>1144955</v>
      </c>
      <c r="T33" s="135">
        <v>1836299</v>
      </c>
      <c r="U33" s="135">
        <v>18500</v>
      </c>
      <c r="V33" s="135">
        <v>1492861</v>
      </c>
      <c r="W33" s="135">
        <v>2290575</v>
      </c>
      <c r="X33" s="135">
        <v>75000</v>
      </c>
      <c r="Y33" s="135">
        <v>1144955</v>
      </c>
      <c r="Z33" s="135">
        <v>17176379</v>
      </c>
      <c r="AA33" s="135">
        <v>18500</v>
      </c>
      <c r="AB33" s="135">
        <v>-2102433</v>
      </c>
      <c r="AC33" s="135">
        <v>0</v>
      </c>
      <c r="AD33" s="135">
        <v>121664</v>
      </c>
      <c r="AE33" s="135">
        <v>7540</v>
      </c>
      <c r="AF33" s="135">
        <v>0</v>
      </c>
      <c r="AG33" s="135">
        <v>147546</v>
      </c>
      <c r="AH33" s="135">
        <v>1076881.1499999999</v>
      </c>
      <c r="AI33" s="135">
        <v>0</v>
      </c>
      <c r="AJ33" s="139">
        <v>10000</v>
      </c>
      <c r="AO33" s="82">
        <v>34280323</v>
      </c>
      <c r="AP33" s="82">
        <v>1092375</v>
      </c>
      <c r="AQ33" s="135">
        <v>0</v>
      </c>
      <c r="AR33" s="135">
        <v>1958153</v>
      </c>
      <c r="AS33" s="135">
        <v>195486</v>
      </c>
      <c r="AT33" s="135">
        <v>217878</v>
      </c>
      <c r="AU33" s="135">
        <v>1369768</v>
      </c>
      <c r="AV33" s="135">
        <v>68383</v>
      </c>
      <c r="AW33" s="135">
        <v>0</v>
      </c>
      <c r="AX33" s="135">
        <f>553943+50</f>
        <v>553993</v>
      </c>
      <c r="AY33" s="135">
        <v>0</v>
      </c>
      <c r="AZ33" s="135">
        <v>0</v>
      </c>
      <c r="BA33" s="135">
        <v>0</v>
      </c>
      <c r="BB33" s="135">
        <v>0</v>
      </c>
      <c r="BC33" s="135">
        <v>0</v>
      </c>
      <c r="BH33" s="82">
        <v>2564303.9900000002</v>
      </c>
      <c r="BI33" s="82">
        <v>1282152</v>
      </c>
      <c r="BJ33" s="117">
        <v>0</v>
      </c>
      <c r="BK33" s="118">
        <v>0</v>
      </c>
      <c r="BL33" s="118">
        <v>0</v>
      </c>
      <c r="BM33" s="117">
        <v>2818296</v>
      </c>
      <c r="BN33" s="117">
        <v>2818296</v>
      </c>
      <c r="BO33" s="117">
        <v>23739550</v>
      </c>
      <c r="BP33" s="117">
        <v>23739550</v>
      </c>
      <c r="BQ33" s="117">
        <v>0</v>
      </c>
      <c r="BR33" s="117">
        <v>0</v>
      </c>
      <c r="BS33" s="138"/>
      <c r="BT33" s="86">
        <v>231137942.15000001</v>
      </c>
      <c r="BU33" s="86">
        <v>167925246.15000001</v>
      </c>
      <c r="BV33" s="87">
        <v>56000</v>
      </c>
      <c r="BX33" s="135">
        <v>2132</v>
      </c>
      <c r="BY33" s="135">
        <v>2190</v>
      </c>
      <c r="BZ33" s="135">
        <v>92</v>
      </c>
      <c r="CA33" s="135">
        <f t="shared" si="4"/>
        <v>4414</v>
      </c>
      <c r="CB33" s="86">
        <v>163314958</v>
      </c>
      <c r="CC33" s="82">
        <f t="shared" si="0"/>
        <v>34280323</v>
      </c>
      <c r="CD33" s="82">
        <f t="shared" si="0"/>
        <v>1092375</v>
      </c>
      <c r="CE33" s="86">
        <f t="shared" si="1"/>
        <v>3523407</v>
      </c>
      <c r="CF33" s="86">
        <f t="shared" si="2"/>
        <v>202211063</v>
      </c>
    </row>
    <row r="34" spans="1:84" x14ac:dyDescent="0.25">
      <c r="A34" s="91" t="s">
        <v>88</v>
      </c>
      <c r="B34" s="135">
        <v>237872758</v>
      </c>
      <c r="C34" s="135">
        <v>108917174</v>
      </c>
      <c r="D34" s="135">
        <v>67902649</v>
      </c>
      <c r="E34" s="135">
        <v>0</v>
      </c>
      <c r="F34" s="135">
        <v>40765742</v>
      </c>
      <c r="G34" s="135">
        <v>10502735</v>
      </c>
      <c r="H34" s="135">
        <v>12584001</v>
      </c>
      <c r="I34" s="135">
        <v>2019600</v>
      </c>
      <c r="J34" s="135">
        <v>228752</v>
      </c>
      <c r="K34" s="135">
        <v>0</v>
      </c>
      <c r="L34" s="135">
        <v>89974013</v>
      </c>
      <c r="M34" s="135">
        <v>2136800</v>
      </c>
      <c r="N34" s="135">
        <v>1484</v>
      </c>
      <c r="O34" s="135">
        <v>378</v>
      </c>
      <c r="P34" s="135">
        <v>2085150</v>
      </c>
      <c r="Q34" s="135">
        <v>505500</v>
      </c>
      <c r="R34" s="135">
        <v>66500</v>
      </c>
      <c r="S34" s="135">
        <v>2373844</v>
      </c>
      <c r="T34" s="135">
        <v>2369530</v>
      </c>
      <c r="U34" s="135">
        <v>958150</v>
      </c>
      <c r="V34" s="135">
        <v>2085150</v>
      </c>
      <c r="W34" s="135">
        <v>505000</v>
      </c>
      <c r="X34" s="135">
        <v>66500</v>
      </c>
      <c r="Y34" s="135">
        <v>2373844</v>
      </c>
      <c r="Z34" s="135">
        <v>1247500</v>
      </c>
      <c r="AA34" s="135">
        <v>958150</v>
      </c>
      <c r="AB34" s="135">
        <v>-1943535</v>
      </c>
      <c r="AC34" s="135">
        <v>-63123</v>
      </c>
      <c r="AD34" s="135">
        <v>94475</v>
      </c>
      <c r="AE34" s="135">
        <v>11830</v>
      </c>
      <c r="AF34" s="135">
        <v>12902949</v>
      </c>
      <c r="AG34" s="135">
        <v>137045</v>
      </c>
      <c r="AH34" s="135">
        <v>1595364.75</v>
      </c>
      <c r="AI34" s="135">
        <v>35894</v>
      </c>
      <c r="AJ34" s="139"/>
      <c r="AO34" s="82">
        <v>86715785</v>
      </c>
      <c r="AP34" s="82">
        <v>2084729</v>
      </c>
      <c r="AQ34" s="135">
        <v>0</v>
      </c>
      <c r="AR34" s="135">
        <v>5924135</v>
      </c>
      <c r="AS34" s="135">
        <v>245110</v>
      </c>
      <c r="AT34" s="135">
        <v>1860934</v>
      </c>
      <c r="AU34" s="135">
        <v>6350847</v>
      </c>
      <c r="AV34" s="135">
        <v>1955411</v>
      </c>
      <c r="AW34" s="135">
        <v>0</v>
      </c>
      <c r="AX34" s="135">
        <v>167279</v>
      </c>
      <c r="AY34" s="135">
        <v>0</v>
      </c>
      <c r="AZ34" s="135">
        <v>0</v>
      </c>
      <c r="BA34" s="135">
        <v>0</v>
      </c>
      <c r="BB34" s="135">
        <v>52885</v>
      </c>
      <c r="BC34" s="135">
        <v>0</v>
      </c>
      <c r="BH34" s="82">
        <v>6486684.3200000003</v>
      </c>
      <c r="BI34" s="82">
        <v>3243342.16</v>
      </c>
      <c r="BJ34" s="117">
        <v>0</v>
      </c>
      <c r="BK34" s="118">
        <v>5242772</v>
      </c>
      <c r="BL34" s="118">
        <v>10485544</v>
      </c>
      <c r="BM34" s="117">
        <v>16533072</v>
      </c>
      <c r="BN34" s="117">
        <v>16533072</v>
      </c>
      <c r="BO34" s="117">
        <v>40582710</v>
      </c>
      <c r="BP34" s="117">
        <v>37159799</v>
      </c>
      <c r="BQ34" s="117">
        <v>0</v>
      </c>
      <c r="BR34" s="117">
        <v>0</v>
      </c>
      <c r="BS34" s="138"/>
      <c r="BT34" s="86">
        <v>579823430.91000009</v>
      </c>
      <c r="BU34" s="86">
        <v>428843931.75</v>
      </c>
      <c r="BV34" s="87">
        <v>1115000</v>
      </c>
      <c r="BX34" s="135">
        <v>6946</v>
      </c>
      <c r="BY34" s="135">
        <v>2468</v>
      </c>
      <c r="BZ34" s="135">
        <v>450</v>
      </c>
      <c r="CA34" s="135">
        <f t="shared" si="4"/>
        <v>9864</v>
      </c>
      <c r="CB34" s="86">
        <v>414692581</v>
      </c>
      <c r="CC34" s="82">
        <f t="shared" ref="CC34:CD65" si="5">AO34</f>
        <v>86715785</v>
      </c>
      <c r="CD34" s="82">
        <f t="shared" si="5"/>
        <v>2084729</v>
      </c>
      <c r="CE34" s="86">
        <f t="shared" si="1"/>
        <v>12520092</v>
      </c>
      <c r="CF34" s="86">
        <f t="shared" si="2"/>
        <v>516013187</v>
      </c>
    </row>
    <row r="35" spans="1:84" x14ac:dyDescent="0.25">
      <c r="A35" s="91" t="s">
        <v>89</v>
      </c>
      <c r="B35" s="135">
        <v>18979626100</v>
      </c>
      <c r="C35" s="135">
        <v>784559800</v>
      </c>
      <c r="D35" s="135">
        <v>9375806000</v>
      </c>
      <c r="E35" s="135">
        <v>0</v>
      </c>
      <c r="F35" s="135">
        <v>826555400</v>
      </c>
      <c r="G35" s="135">
        <v>40303600</v>
      </c>
      <c r="H35" s="135">
        <v>12640700</v>
      </c>
      <c r="I35" s="135">
        <v>196500</v>
      </c>
      <c r="J35" s="135">
        <v>1532700</v>
      </c>
      <c r="K35" s="135">
        <v>157200</v>
      </c>
      <c r="L35" s="135">
        <v>1486661700</v>
      </c>
      <c r="M35" s="135">
        <v>561729650</v>
      </c>
      <c r="N35" s="135">
        <v>21160</v>
      </c>
      <c r="O35" s="135">
        <v>1053</v>
      </c>
      <c r="P35" s="135">
        <v>288780800</v>
      </c>
      <c r="Q35" s="135">
        <v>25269400</v>
      </c>
      <c r="R35" s="135">
        <v>399135600</v>
      </c>
      <c r="S35" s="135">
        <v>22244700</v>
      </c>
      <c r="T35" s="135">
        <v>3673500</v>
      </c>
      <c r="U35" s="135">
        <v>62255700</v>
      </c>
      <c r="V35" s="135">
        <v>288780800</v>
      </c>
      <c r="W35" s="135">
        <v>25518100</v>
      </c>
      <c r="X35" s="135">
        <v>399135600</v>
      </c>
      <c r="Y35" s="135">
        <v>21103800</v>
      </c>
      <c r="Z35" s="135">
        <v>19132200</v>
      </c>
      <c r="AA35" s="135">
        <v>62255700</v>
      </c>
      <c r="AB35" s="135">
        <v>89119383</v>
      </c>
      <c r="AC35" s="135">
        <v>-3777461</v>
      </c>
      <c r="AD35" s="135">
        <v>0</v>
      </c>
      <c r="AE35" s="135">
        <v>0</v>
      </c>
      <c r="AF35" s="135">
        <v>0</v>
      </c>
      <c r="AG35" s="135">
        <v>0</v>
      </c>
      <c r="AI35" s="135">
        <v>1730582</v>
      </c>
      <c r="AJ35" s="139"/>
      <c r="AO35" s="82">
        <v>2396973953</v>
      </c>
      <c r="AP35" s="82">
        <v>28683659</v>
      </c>
      <c r="AQ35" s="135">
        <v>81899</v>
      </c>
      <c r="AR35" s="135">
        <v>999362138</v>
      </c>
      <c r="AS35" s="135">
        <v>34582891</v>
      </c>
      <c r="AT35" s="135">
        <v>458584744</v>
      </c>
      <c r="AU35" s="135">
        <v>809997812</v>
      </c>
      <c r="AV35" s="135">
        <v>535163583</v>
      </c>
      <c r="AW35" s="135">
        <v>217764985</v>
      </c>
      <c r="AX35" s="135">
        <f>521376134+47483028</f>
        <v>568859162</v>
      </c>
      <c r="AY35" s="135">
        <v>634169</v>
      </c>
      <c r="AZ35" s="135">
        <v>31116</v>
      </c>
      <c r="BA35" s="135">
        <v>3026829</v>
      </c>
      <c r="BB35" s="135">
        <v>3739446</v>
      </c>
      <c r="BC35" s="135">
        <v>39606943</v>
      </c>
      <c r="BH35" s="82">
        <v>179287932.41</v>
      </c>
      <c r="BI35" s="82">
        <v>89643966.209999993</v>
      </c>
      <c r="BJ35" s="117">
        <v>0</v>
      </c>
      <c r="BK35" s="118">
        <v>5285046</v>
      </c>
      <c r="BL35" s="118">
        <v>10570093</v>
      </c>
      <c r="BM35" s="117">
        <v>410362208</v>
      </c>
      <c r="BN35" s="117">
        <v>406612451</v>
      </c>
      <c r="BO35" s="117">
        <v>733194777</v>
      </c>
      <c r="BP35" s="117">
        <v>687343021</v>
      </c>
      <c r="BQ35" s="117">
        <v>434029</v>
      </c>
      <c r="BR35" s="117">
        <v>0</v>
      </c>
      <c r="BS35" s="138"/>
      <c r="BT35" s="86">
        <v>34600641448.209999</v>
      </c>
      <c r="BU35" s="86">
        <v>30985665323</v>
      </c>
      <c r="BV35" s="87">
        <v>14383500</v>
      </c>
      <c r="BX35" s="135">
        <v>98982</v>
      </c>
      <c r="BY35" s="135">
        <v>2031</v>
      </c>
      <c r="BZ35" s="135">
        <v>9076</v>
      </c>
      <c r="CA35" s="135">
        <f t="shared" ref="CA35:CA40" si="6">SUM(BX35:BZ35)</f>
        <v>110089</v>
      </c>
      <c r="CB35" s="86">
        <v>29139991900</v>
      </c>
      <c r="CC35" s="82">
        <f t="shared" si="5"/>
        <v>2396973953</v>
      </c>
      <c r="CD35" s="82">
        <f t="shared" si="5"/>
        <v>28683659</v>
      </c>
      <c r="CE35" s="86">
        <f t="shared" si="1"/>
        <v>2061707826</v>
      </c>
      <c r="CF35" s="86">
        <f t="shared" si="2"/>
        <v>33627357338</v>
      </c>
    </row>
    <row r="36" spans="1:84" x14ac:dyDescent="0.25">
      <c r="A36" s="91" t="s">
        <v>90</v>
      </c>
      <c r="B36" s="135">
        <v>293910080</v>
      </c>
      <c r="C36" s="135">
        <v>198946701</v>
      </c>
      <c r="D36" s="135">
        <v>81474590</v>
      </c>
      <c r="E36" s="135">
        <v>0</v>
      </c>
      <c r="F36" s="135">
        <v>45089500</v>
      </c>
      <c r="G36" s="135">
        <v>8585800</v>
      </c>
      <c r="H36" s="135">
        <v>16429700</v>
      </c>
      <c r="I36" s="135">
        <v>1907800</v>
      </c>
      <c r="J36" s="135">
        <v>0</v>
      </c>
      <c r="K36" s="135">
        <v>0</v>
      </c>
      <c r="L36" s="135">
        <v>250132012</v>
      </c>
      <c r="M36" s="135">
        <v>105005800</v>
      </c>
      <c r="N36" s="135">
        <v>1670</v>
      </c>
      <c r="O36" s="135">
        <v>297</v>
      </c>
      <c r="P36" s="135">
        <v>2493000</v>
      </c>
      <c r="Q36" s="135">
        <v>3217500</v>
      </c>
      <c r="R36" s="135">
        <v>37500</v>
      </c>
      <c r="S36" s="135">
        <v>2024950</v>
      </c>
      <c r="T36" s="135">
        <v>342800</v>
      </c>
      <c r="U36" s="135">
        <v>193400</v>
      </c>
      <c r="V36" s="135">
        <v>2493000</v>
      </c>
      <c r="W36" s="135">
        <v>3760500</v>
      </c>
      <c r="X36" s="135">
        <v>37500</v>
      </c>
      <c r="Y36" s="135">
        <v>2043950</v>
      </c>
      <c r="Z36" s="135">
        <v>917000</v>
      </c>
      <c r="AA36" s="135">
        <v>193400</v>
      </c>
      <c r="AB36" s="135">
        <v>-2011700</v>
      </c>
      <c r="AC36" s="135">
        <v>-316592</v>
      </c>
      <c r="AD36" s="135">
        <v>51966</v>
      </c>
      <c r="AE36" s="135">
        <v>100805</v>
      </c>
      <c r="AF36" s="135">
        <v>86057990</v>
      </c>
      <c r="AG36" s="135">
        <v>213523</v>
      </c>
      <c r="AH36" s="135">
        <v>0</v>
      </c>
      <c r="AI36" s="135">
        <v>57057</v>
      </c>
      <c r="AJ36" s="139">
        <v>0</v>
      </c>
      <c r="AO36" s="82">
        <v>117355995</v>
      </c>
      <c r="AP36" s="82">
        <v>2069703</v>
      </c>
      <c r="AQ36" s="135">
        <v>0</v>
      </c>
      <c r="AR36" s="135">
        <v>21155798</v>
      </c>
      <c r="AS36" s="135">
        <v>3396452</v>
      </c>
      <c r="AT36" s="135">
        <v>37639977</v>
      </c>
      <c r="AU36" s="135">
        <v>24604502</v>
      </c>
      <c r="AV36" s="135">
        <v>18243530</v>
      </c>
      <c r="AW36" s="135">
        <v>585933</v>
      </c>
      <c r="AX36" s="135">
        <v>179</v>
      </c>
      <c r="AY36" s="135">
        <v>0</v>
      </c>
      <c r="AZ36" s="135">
        <v>114629</v>
      </c>
      <c r="BA36" s="135">
        <v>1368615</v>
      </c>
      <c r="BB36" s="135">
        <v>1555</v>
      </c>
      <c r="BC36" s="135">
        <v>90000</v>
      </c>
      <c r="BH36" s="82">
        <v>8778693.4299999997</v>
      </c>
      <c r="BI36" s="82">
        <v>4389346.72</v>
      </c>
      <c r="BJ36" s="117">
        <v>0</v>
      </c>
      <c r="BK36" s="118">
        <v>651611</v>
      </c>
      <c r="BL36" s="118">
        <v>1303222</v>
      </c>
      <c r="BM36" s="117">
        <v>14790575</v>
      </c>
      <c r="BN36" s="117">
        <v>14790575</v>
      </c>
      <c r="BO36" s="117">
        <v>34249887</v>
      </c>
      <c r="BP36" s="117">
        <v>33942150</v>
      </c>
      <c r="BQ36" s="117">
        <v>0</v>
      </c>
      <c r="BR36" s="117">
        <v>0</v>
      </c>
      <c r="BS36" s="138"/>
      <c r="BT36" s="86">
        <v>796744560.72000003</v>
      </c>
      <c r="BU36" s="86">
        <v>623545180</v>
      </c>
      <c r="BV36" s="87">
        <v>913050</v>
      </c>
      <c r="BX36" s="135">
        <v>5880</v>
      </c>
      <c r="BY36" s="135">
        <v>2743</v>
      </c>
      <c r="BZ36" s="135">
        <v>400</v>
      </c>
      <c r="CA36" s="135">
        <f t="shared" si="6"/>
        <v>9023</v>
      </c>
      <c r="CB36" s="86">
        <v>574331371</v>
      </c>
      <c r="CC36" s="82">
        <f t="shared" si="5"/>
        <v>117355995</v>
      </c>
      <c r="CD36" s="82">
        <f t="shared" si="5"/>
        <v>2069703</v>
      </c>
      <c r="CE36" s="86">
        <f t="shared" si="1"/>
        <v>49742685</v>
      </c>
      <c r="CF36" s="86">
        <f t="shared" si="2"/>
        <v>743499754</v>
      </c>
    </row>
    <row r="37" spans="1:84" x14ac:dyDescent="0.25">
      <c r="A37" s="91" t="s">
        <v>91</v>
      </c>
      <c r="B37" s="135">
        <v>659178272</v>
      </c>
      <c r="C37" s="135">
        <v>125857796</v>
      </c>
      <c r="D37" s="135">
        <v>281722181</v>
      </c>
      <c r="E37" s="135">
        <v>0</v>
      </c>
      <c r="F37" s="135">
        <v>88949450</v>
      </c>
      <c r="G37" s="135">
        <v>83654750</v>
      </c>
      <c r="H37" s="135">
        <v>19477250</v>
      </c>
      <c r="I37" s="135">
        <v>10364350</v>
      </c>
      <c r="J37" s="135">
        <v>341400</v>
      </c>
      <c r="K37" s="135">
        <v>187200</v>
      </c>
      <c r="L37" s="135">
        <v>80941999</v>
      </c>
      <c r="M37" s="135">
        <v>61131672</v>
      </c>
      <c r="N37" s="135">
        <v>3111</v>
      </c>
      <c r="O37" s="135">
        <v>3003</v>
      </c>
      <c r="P37" s="135">
        <v>5456000</v>
      </c>
      <c r="Q37" s="135">
        <v>300000</v>
      </c>
      <c r="R37" s="135">
        <v>2808400</v>
      </c>
      <c r="S37" s="135">
        <v>3978450</v>
      </c>
      <c r="T37" s="135">
        <v>0</v>
      </c>
      <c r="U37" s="135">
        <v>1091501</v>
      </c>
      <c r="V37" s="135">
        <v>5456000</v>
      </c>
      <c r="W37" s="135">
        <v>300000</v>
      </c>
      <c r="X37" s="135">
        <v>2808400</v>
      </c>
      <c r="Y37" s="135">
        <v>3978450</v>
      </c>
      <c r="Z37" s="135">
        <v>0</v>
      </c>
      <c r="AA37" s="135">
        <v>1091501</v>
      </c>
      <c r="AB37" s="135">
        <v>-6237950</v>
      </c>
      <c r="AC37" s="135">
        <v>-15719</v>
      </c>
      <c r="AD37" s="135">
        <v>242183</v>
      </c>
      <c r="AE37" s="135">
        <v>0</v>
      </c>
      <c r="AF37" s="135">
        <v>0</v>
      </c>
      <c r="AG37" s="135">
        <v>336526</v>
      </c>
      <c r="AH37" s="135">
        <v>1593127.05</v>
      </c>
      <c r="AI37" s="135">
        <v>34637672.131147541</v>
      </c>
      <c r="AJ37" s="139">
        <v>9000000</v>
      </c>
      <c r="AO37" s="82">
        <v>287631107</v>
      </c>
      <c r="AP37" s="82">
        <v>9633320</v>
      </c>
      <c r="AQ37" s="135">
        <v>0</v>
      </c>
      <c r="AR37" s="135">
        <v>48788290</v>
      </c>
      <c r="AS37" s="135">
        <v>2698795</v>
      </c>
      <c r="AT37" s="135">
        <v>154889094</v>
      </c>
      <c r="AU37" s="135">
        <v>57787014</v>
      </c>
      <c r="AV37" s="135">
        <v>46060482</v>
      </c>
      <c r="AW37" s="135">
        <v>838076</v>
      </c>
      <c r="AX37" s="135">
        <v>0</v>
      </c>
      <c r="AY37" s="135">
        <v>0</v>
      </c>
      <c r="AZ37" s="135">
        <v>0</v>
      </c>
      <c r="BA37" s="135">
        <v>0</v>
      </c>
      <c r="BB37" s="135">
        <v>1112</v>
      </c>
      <c r="BC37" s="135">
        <v>0</v>
      </c>
      <c r="BH37" s="82">
        <v>21515946.5</v>
      </c>
      <c r="BI37" s="82">
        <v>10757973.25</v>
      </c>
      <c r="BJ37" s="117">
        <v>0</v>
      </c>
      <c r="BK37" s="118">
        <v>5559102</v>
      </c>
      <c r="BL37" s="118">
        <v>11118204</v>
      </c>
      <c r="BM37" s="117">
        <v>90886409</v>
      </c>
      <c r="BN37" s="117">
        <v>90886409</v>
      </c>
      <c r="BO37" s="117">
        <v>212289797</v>
      </c>
      <c r="BP37" s="117">
        <v>207385416</v>
      </c>
      <c r="BQ37" s="117">
        <v>0</v>
      </c>
      <c r="BR37" s="117">
        <v>0</v>
      </c>
      <c r="BS37" s="138"/>
      <c r="BT37" s="86">
        <v>1833116474.4311476</v>
      </c>
      <c r="BU37" s="86">
        <v>1221263147.1811476</v>
      </c>
      <c r="BV37" s="87">
        <v>14803000</v>
      </c>
      <c r="BX37" s="135">
        <v>23287</v>
      </c>
      <c r="BY37" s="135">
        <v>4493</v>
      </c>
      <c r="BZ37" s="135">
        <v>1676</v>
      </c>
      <c r="CA37" s="135">
        <f t="shared" si="6"/>
        <v>29456</v>
      </c>
      <c r="CB37" s="86">
        <v>1066758249</v>
      </c>
      <c r="CC37" s="82">
        <f t="shared" si="5"/>
        <v>287631107</v>
      </c>
      <c r="CD37" s="82">
        <f t="shared" si="5"/>
        <v>9633320</v>
      </c>
      <c r="CE37" s="86">
        <f t="shared" si="1"/>
        <v>110112175</v>
      </c>
      <c r="CF37" s="86">
        <f t="shared" si="2"/>
        <v>1474134851</v>
      </c>
    </row>
    <row r="38" spans="1:84" x14ac:dyDescent="0.25">
      <c r="A38" s="91" t="s">
        <v>92</v>
      </c>
      <c r="B38" s="135">
        <v>2098211176</v>
      </c>
      <c r="C38" s="135">
        <v>204922743</v>
      </c>
      <c r="D38" s="135">
        <v>985683210</v>
      </c>
      <c r="E38" s="135">
        <v>0</v>
      </c>
      <c r="F38" s="135">
        <v>179832274</v>
      </c>
      <c r="G38" s="135">
        <v>10580070</v>
      </c>
      <c r="H38" s="135">
        <v>13548662</v>
      </c>
      <c r="I38" s="135">
        <v>602655</v>
      </c>
      <c r="J38" s="135">
        <v>157200</v>
      </c>
      <c r="K38" s="135">
        <v>39300</v>
      </c>
      <c r="L38" s="135">
        <v>168553581</v>
      </c>
      <c r="M38" s="135">
        <v>155995595</v>
      </c>
      <c r="N38" s="135">
        <v>5002</v>
      </c>
      <c r="O38" s="135">
        <v>308</v>
      </c>
      <c r="P38" s="135">
        <v>24743380</v>
      </c>
      <c r="Q38" s="135">
        <v>5178632</v>
      </c>
      <c r="R38" s="135">
        <v>50782000</v>
      </c>
      <c r="S38" s="135">
        <v>32188825</v>
      </c>
      <c r="T38" s="135">
        <v>1630165</v>
      </c>
      <c r="U38" s="135">
        <v>27108140</v>
      </c>
      <c r="V38" s="135">
        <v>24743380</v>
      </c>
      <c r="W38" s="135">
        <v>5617479</v>
      </c>
      <c r="X38" s="135">
        <v>50782000</v>
      </c>
      <c r="Y38" s="135">
        <v>32188725</v>
      </c>
      <c r="Z38" s="135">
        <v>2681295</v>
      </c>
      <c r="AA38" s="135">
        <v>27108140</v>
      </c>
      <c r="AB38" s="135">
        <v>-198700</v>
      </c>
      <c r="AC38" s="135">
        <v>15875</v>
      </c>
      <c r="AD38" s="135">
        <v>0</v>
      </c>
      <c r="AE38" s="135">
        <v>0</v>
      </c>
      <c r="AF38" s="135">
        <v>0</v>
      </c>
      <c r="AG38" s="135">
        <v>103070</v>
      </c>
      <c r="AI38" s="135">
        <v>587648</v>
      </c>
      <c r="AJ38" s="139"/>
      <c r="AO38" s="82">
        <v>374179438</v>
      </c>
      <c r="AP38" s="82">
        <v>12176801</v>
      </c>
      <c r="AQ38" s="135">
        <v>57500</v>
      </c>
      <c r="AR38" s="135">
        <v>117680354</v>
      </c>
      <c r="AS38" s="135">
        <v>19376151</v>
      </c>
      <c r="AT38" s="135">
        <v>256830423</v>
      </c>
      <c r="AU38" s="135">
        <v>76893122</v>
      </c>
      <c r="AV38" s="135">
        <v>136694683</v>
      </c>
      <c r="AW38" s="135">
        <v>61064375</v>
      </c>
      <c r="AX38" s="135">
        <f>4521701+250</f>
        <v>4521951</v>
      </c>
      <c r="AY38" s="135">
        <v>0</v>
      </c>
      <c r="AZ38" s="135">
        <v>0</v>
      </c>
      <c r="BA38" s="135">
        <v>47403</v>
      </c>
      <c r="BB38" s="135">
        <v>239911</v>
      </c>
      <c r="BC38" s="135">
        <v>864085</v>
      </c>
      <c r="BH38" s="82">
        <v>27990104.59</v>
      </c>
      <c r="BI38" s="82">
        <v>13995052.300000001</v>
      </c>
      <c r="BJ38" s="117">
        <v>4617875.6476683933</v>
      </c>
      <c r="BK38" s="118">
        <v>1126835</v>
      </c>
      <c r="BL38" s="118">
        <v>2253670</v>
      </c>
      <c r="BM38" s="117">
        <v>83413094</v>
      </c>
      <c r="BN38" s="117">
        <v>82979744</v>
      </c>
      <c r="BO38" s="117">
        <v>50828289</v>
      </c>
      <c r="BP38" s="117">
        <v>47770809</v>
      </c>
      <c r="BQ38" s="117">
        <v>281797761</v>
      </c>
      <c r="BR38" s="117">
        <v>0</v>
      </c>
      <c r="BS38" s="138"/>
      <c r="BT38" s="86">
        <v>4317380844.3000002</v>
      </c>
      <c r="BU38" s="86">
        <v>3503354404</v>
      </c>
      <c r="BV38" s="87">
        <v>5736680</v>
      </c>
      <c r="BX38" s="135">
        <v>19437</v>
      </c>
      <c r="BY38" s="135">
        <v>1985</v>
      </c>
      <c r="BZ38" s="135">
        <v>1554</v>
      </c>
      <c r="CA38" s="135">
        <f t="shared" si="6"/>
        <v>22976</v>
      </c>
      <c r="CB38" s="86">
        <v>3288817129</v>
      </c>
      <c r="CC38" s="82">
        <f t="shared" si="5"/>
        <v>374179438</v>
      </c>
      <c r="CD38" s="82">
        <f t="shared" si="5"/>
        <v>12176801</v>
      </c>
      <c r="CE38" s="86">
        <f t="shared" si="1"/>
        <v>275014002</v>
      </c>
      <c r="CF38" s="86">
        <f t="shared" si="2"/>
        <v>3950187370</v>
      </c>
    </row>
    <row r="39" spans="1:84" x14ac:dyDescent="0.25">
      <c r="A39" s="91" t="s">
        <v>93</v>
      </c>
      <c r="B39" s="135">
        <v>74246828</v>
      </c>
      <c r="C39" s="135">
        <v>68003315</v>
      </c>
      <c r="D39" s="135">
        <v>60564003</v>
      </c>
      <c r="E39" s="135">
        <v>0</v>
      </c>
      <c r="F39" s="135">
        <v>22600254</v>
      </c>
      <c r="G39" s="135">
        <v>3924934</v>
      </c>
      <c r="H39" s="135">
        <v>3560079</v>
      </c>
      <c r="I39" s="135">
        <v>137987</v>
      </c>
      <c r="J39" s="135">
        <v>0</v>
      </c>
      <c r="K39" s="135">
        <v>0</v>
      </c>
      <c r="L39" s="135">
        <v>319943376</v>
      </c>
      <c r="M39" s="135">
        <v>13851699</v>
      </c>
      <c r="N39" s="135">
        <v>763</v>
      </c>
      <c r="O39" s="135">
        <v>132</v>
      </c>
      <c r="P39" s="135">
        <v>412140</v>
      </c>
      <c r="Q39" s="135">
        <v>141770</v>
      </c>
      <c r="R39" s="135">
        <v>568000</v>
      </c>
      <c r="S39" s="135">
        <v>899382</v>
      </c>
      <c r="T39" s="135">
        <v>105924</v>
      </c>
      <c r="U39" s="135">
        <v>985597</v>
      </c>
      <c r="V39" s="135">
        <v>412140</v>
      </c>
      <c r="W39" s="135">
        <v>261239</v>
      </c>
      <c r="X39" s="135">
        <v>568000</v>
      </c>
      <c r="Y39" s="135">
        <v>899382</v>
      </c>
      <c r="Z39" s="135">
        <v>333160</v>
      </c>
      <c r="AA39" s="135">
        <v>985597</v>
      </c>
      <c r="AB39" s="135">
        <v>-359305</v>
      </c>
      <c r="AC39" s="135">
        <v>0</v>
      </c>
      <c r="AD39" s="135">
        <v>28517</v>
      </c>
      <c r="AE39" s="135">
        <f>219402+42527+14603</f>
        <v>276532</v>
      </c>
      <c r="AF39" s="135">
        <f>19927440+3308951+2188624</f>
        <v>25425015</v>
      </c>
      <c r="AG39" s="135">
        <v>120230</v>
      </c>
      <c r="AI39" s="135">
        <v>0</v>
      </c>
      <c r="AJ39" s="139"/>
      <c r="AO39" s="82">
        <v>36458930</v>
      </c>
      <c r="AP39" s="82">
        <v>882703</v>
      </c>
      <c r="AQ39" s="135">
        <v>0</v>
      </c>
      <c r="AR39" s="135">
        <v>13929415</v>
      </c>
      <c r="AS39" s="135">
        <v>3675133</v>
      </c>
      <c r="AT39" s="135">
        <v>38797529</v>
      </c>
      <c r="AU39" s="135">
        <v>26487051</v>
      </c>
      <c r="AV39" s="135">
        <v>128445021</v>
      </c>
      <c r="AW39" s="135">
        <v>1456259</v>
      </c>
      <c r="AX39" s="135">
        <v>1741073</v>
      </c>
      <c r="AY39" s="135">
        <v>0</v>
      </c>
      <c r="AZ39" s="135">
        <v>124514</v>
      </c>
      <c r="BA39" s="135">
        <v>4381520</v>
      </c>
      <c r="BB39" s="135">
        <v>0</v>
      </c>
      <c r="BC39" s="135">
        <v>161400</v>
      </c>
      <c r="BH39" s="82">
        <v>2727272.43</v>
      </c>
      <c r="BI39" s="82">
        <v>1363636.22</v>
      </c>
      <c r="BJ39" s="117">
        <v>53984455.958549224</v>
      </c>
      <c r="BK39" s="118">
        <v>1277712</v>
      </c>
      <c r="BL39" s="118">
        <v>2555423</v>
      </c>
      <c r="BM39" s="117">
        <v>17621689</v>
      </c>
      <c r="BN39" s="117">
        <v>17621689</v>
      </c>
      <c r="BO39" s="117">
        <v>42682216</v>
      </c>
      <c r="BP39" s="117">
        <v>34281531</v>
      </c>
      <c r="BQ39" s="117">
        <v>0</v>
      </c>
      <c r="BR39" s="117">
        <v>3995238</v>
      </c>
      <c r="BS39" s="138"/>
      <c r="BT39" s="86">
        <v>342787184.22000003</v>
      </c>
      <c r="BU39" s="86">
        <v>246905745</v>
      </c>
      <c r="BV39" s="87">
        <v>1135923</v>
      </c>
      <c r="BX39" s="135">
        <v>3001</v>
      </c>
      <c r="BY39" s="135">
        <v>1245</v>
      </c>
      <c r="BZ39" s="135">
        <v>411</v>
      </c>
      <c r="CA39" s="135">
        <f t="shared" si="6"/>
        <v>4657</v>
      </c>
      <c r="CB39" s="86">
        <v>202814146</v>
      </c>
      <c r="CC39" s="82">
        <f t="shared" si="5"/>
        <v>36458930</v>
      </c>
      <c r="CD39" s="82">
        <f t="shared" si="5"/>
        <v>882703</v>
      </c>
      <c r="CE39" s="86">
        <f t="shared" si="1"/>
        <v>45547858</v>
      </c>
      <c r="CF39" s="86">
        <f t="shared" si="2"/>
        <v>285703637</v>
      </c>
    </row>
    <row r="40" spans="1:84" x14ac:dyDescent="0.25">
      <c r="A40" s="91" t="s">
        <v>94</v>
      </c>
      <c r="B40" s="135">
        <v>264422423</v>
      </c>
      <c r="C40" s="135">
        <v>66752159</v>
      </c>
      <c r="D40" s="135">
        <v>113742155</v>
      </c>
      <c r="E40" s="135">
        <v>140164602</v>
      </c>
      <c r="F40" s="135">
        <v>19304600</v>
      </c>
      <c r="G40" s="135">
        <v>3652640</v>
      </c>
      <c r="H40" s="135">
        <v>4652400</v>
      </c>
      <c r="I40" s="135">
        <v>379400</v>
      </c>
      <c r="J40" s="135">
        <v>24300</v>
      </c>
      <c r="K40" s="135">
        <v>39300</v>
      </c>
      <c r="L40" s="135">
        <v>126248832</v>
      </c>
      <c r="M40" s="135">
        <v>53218126</v>
      </c>
      <c r="N40" s="135">
        <v>627</v>
      </c>
      <c r="O40" s="135">
        <v>115</v>
      </c>
      <c r="P40" s="135">
        <v>2884068</v>
      </c>
      <c r="Q40" s="135">
        <v>789400</v>
      </c>
      <c r="R40" s="135">
        <v>10950231</v>
      </c>
      <c r="S40" s="135">
        <v>2304484</v>
      </c>
      <c r="T40" s="135">
        <v>970613</v>
      </c>
      <c r="U40" s="135">
        <v>752274</v>
      </c>
      <c r="V40" s="135">
        <v>2884068</v>
      </c>
      <c r="W40" s="135">
        <v>888740</v>
      </c>
      <c r="X40" s="135">
        <v>10950231</v>
      </c>
      <c r="Y40" s="135">
        <v>2304484</v>
      </c>
      <c r="Z40" s="135">
        <v>4662254</v>
      </c>
      <c r="AA40" s="135">
        <v>752274</v>
      </c>
      <c r="AB40" s="135">
        <v>-933700</v>
      </c>
      <c r="AC40" s="135">
        <v>-16467</v>
      </c>
      <c r="AD40" s="135">
        <v>23326</v>
      </c>
      <c r="AE40" s="135">
        <v>0</v>
      </c>
      <c r="AF40" s="135">
        <v>0</v>
      </c>
      <c r="AG40" s="135">
        <v>47120</v>
      </c>
      <c r="AI40" s="135">
        <v>2469111</v>
      </c>
      <c r="AJ40" s="139"/>
      <c r="AO40" s="82">
        <v>63246929</v>
      </c>
      <c r="AP40" s="82">
        <v>3491654</v>
      </c>
      <c r="AQ40" s="135">
        <v>284087</v>
      </c>
      <c r="AR40" s="135">
        <v>59126216</v>
      </c>
      <c r="AS40" s="135">
        <v>17755007</v>
      </c>
      <c r="AT40" s="135">
        <v>465976739</v>
      </c>
      <c r="AU40" s="135">
        <v>71272948</v>
      </c>
      <c r="AV40" s="135">
        <v>90780981</v>
      </c>
      <c r="AW40" s="135">
        <v>52557819</v>
      </c>
      <c r="AX40" s="135">
        <v>57960</v>
      </c>
      <c r="AY40" s="135">
        <v>0</v>
      </c>
      <c r="AZ40" s="135">
        <v>0</v>
      </c>
      <c r="BA40" s="135">
        <v>8456698</v>
      </c>
      <c r="BB40" s="135">
        <v>26571326</v>
      </c>
      <c r="BC40" s="135">
        <v>0</v>
      </c>
      <c r="BH40" s="82">
        <v>4731120.9000000004</v>
      </c>
      <c r="BI40" s="82">
        <v>2365560.4500000002</v>
      </c>
      <c r="BJ40" s="117">
        <v>21927461.139896374</v>
      </c>
      <c r="BK40" s="118">
        <v>838202</v>
      </c>
      <c r="BL40" s="118">
        <v>1676404</v>
      </c>
      <c r="BM40" s="117">
        <v>4466086</v>
      </c>
      <c r="BN40" s="117">
        <v>4466086</v>
      </c>
      <c r="BO40" s="117">
        <v>37677886</v>
      </c>
      <c r="BP40" s="117">
        <v>36392595</v>
      </c>
      <c r="BQ40" s="117">
        <v>28870</v>
      </c>
      <c r="BR40" s="117">
        <v>0</v>
      </c>
      <c r="BS40" s="138"/>
      <c r="BT40" s="86">
        <v>706369915.45000005</v>
      </c>
      <c r="BU40" s="86">
        <v>595540019</v>
      </c>
      <c r="BV40" s="87">
        <v>470498</v>
      </c>
      <c r="BX40" s="135">
        <v>3711</v>
      </c>
      <c r="BY40" s="135">
        <v>805</v>
      </c>
      <c r="BZ40" s="135">
        <v>251</v>
      </c>
      <c r="CA40" s="135">
        <f t="shared" si="6"/>
        <v>4767</v>
      </c>
      <c r="CB40" s="86">
        <v>444916737</v>
      </c>
      <c r="CC40" s="82">
        <f t="shared" si="5"/>
        <v>63246929</v>
      </c>
      <c r="CD40" s="82">
        <f t="shared" si="5"/>
        <v>3491654</v>
      </c>
      <c r="CE40" s="86">
        <f t="shared" si="1"/>
        <v>200711990</v>
      </c>
      <c r="CF40" s="86">
        <f t="shared" si="2"/>
        <v>712367310</v>
      </c>
    </row>
    <row r="41" spans="1:84" x14ac:dyDescent="0.25">
      <c r="A41" s="91" t="s">
        <v>95</v>
      </c>
      <c r="B41" s="135">
        <v>572199407</v>
      </c>
      <c r="C41" s="135">
        <v>139774121</v>
      </c>
      <c r="D41" s="135">
        <v>64229193</v>
      </c>
      <c r="E41" s="135">
        <v>0</v>
      </c>
      <c r="F41" s="135">
        <v>52152010</v>
      </c>
      <c r="G41" s="135">
        <v>9694000</v>
      </c>
      <c r="H41" s="135">
        <v>13726900</v>
      </c>
      <c r="I41" s="135">
        <v>1931600</v>
      </c>
      <c r="J41" s="135">
        <v>157200</v>
      </c>
      <c r="K41" s="135">
        <v>39300</v>
      </c>
      <c r="L41" s="135">
        <v>227414359</v>
      </c>
      <c r="M41" s="135">
        <v>101424500</v>
      </c>
      <c r="N41" s="135">
        <v>1721</v>
      </c>
      <c r="O41" s="135">
        <v>317</v>
      </c>
      <c r="P41" s="135">
        <v>5175000</v>
      </c>
      <c r="Q41" s="135">
        <v>1022000</v>
      </c>
      <c r="R41" s="135">
        <v>210000</v>
      </c>
      <c r="S41" s="135">
        <v>3841775</v>
      </c>
      <c r="T41" s="135">
        <v>1543300</v>
      </c>
      <c r="U41" s="135">
        <v>475500</v>
      </c>
      <c r="V41" s="135">
        <v>5175000</v>
      </c>
      <c r="W41" s="135">
        <v>1022000</v>
      </c>
      <c r="X41" s="135">
        <v>210000</v>
      </c>
      <c r="Y41" s="135">
        <v>3841775</v>
      </c>
      <c r="Z41" s="135">
        <v>3085000</v>
      </c>
      <c r="AA41" s="135">
        <v>475500</v>
      </c>
      <c r="AB41" s="135">
        <v>-2427791</v>
      </c>
      <c r="AC41" s="135">
        <v>843947</v>
      </c>
      <c r="AD41" s="135">
        <v>0</v>
      </c>
      <c r="AE41" s="135">
        <v>0</v>
      </c>
      <c r="AF41" s="135">
        <v>0</v>
      </c>
      <c r="AG41" s="135">
        <v>128534</v>
      </c>
      <c r="AI41" s="135">
        <v>14258</v>
      </c>
      <c r="AJ41" s="139"/>
      <c r="AO41" s="82">
        <v>134392393</v>
      </c>
      <c r="AP41" s="82">
        <v>11648768</v>
      </c>
      <c r="AQ41" s="135">
        <v>96928</v>
      </c>
      <c r="AR41" s="135">
        <v>9108252</v>
      </c>
      <c r="AS41" s="135">
        <v>187085</v>
      </c>
      <c r="AT41" s="135">
        <v>9294491</v>
      </c>
      <c r="AU41" s="135">
        <v>6612246</v>
      </c>
      <c r="AV41" s="135">
        <v>6030126</v>
      </c>
      <c r="AW41" s="135">
        <v>0</v>
      </c>
      <c r="AX41" s="135">
        <f>1811513+50402</f>
        <v>1861915</v>
      </c>
      <c r="AY41" s="135">
        <v>1690960</v>
      </c>
      <c r="AZ41" s="135">
        <v>0</v>
      </c>
      <c r="BA41" s="135">
        <v>2200</v>
      </c>
      <c r="BB41" s="135">
        <v>1369535</v>
      </c>
      <c r="BC41" s="135">
        <v>0</v>
      </c>
      <c r="BH41" s="82">
        <v>10053083.51</v>
      </c>
      <c r="BI41" s="82">
        <v>5026541.76</v>
      </c>
      <c r="BJ41" s="117">
        <v>0</v>
      </c>
      <c r="BK41" s="118">
        <v>0</v>
      </c>
      <c r="BL41" s="118">
        <v>0</v>
      </c>
      <c r="BM41" s="117">
        <v>28890234</v>
      </c>
      <c r="BN41" s="117">
        <v>28890234</v>
      </c>
      <c r="BO41" s="117">
        <v>69759093</v>
      </c>
      <c r="BP41" s="117">
        <v>69759093</v>
      </c>
      <c r="BQ41" s="117">
        <v>0</v>
      </c>
      <c r="BR41" s="117">
        <v>0</v>
      </c>
      <c r="BS41" s="138"/>
      <c r="BT41" s="86">
        <v>1041841591.76</v>
      </c>
      <c r="BU41" s="86">
        <v>792124562</v>
      </c>
      <c r="BV41" s="87">
        <v>767750</v>
      </c>
      <c r="BX41" s="135">
        <v>7662</v>
      </c>
      <c r="BY41" s="135">
        <v>2657</v>
      </c>
      <c r="BZ41" s="135">
        <v>419</v>
      </c>
      <c r="CA41" s="135">
        <f>SUM(BX41:BZ41)</f>
        <v>10738</v>
      </c>
      <c r="CB41" s="86">
        <v>776202721</v>
      </c>
      <c r="CC41" s="82">
        <f t="shared" si="5"/>
        <v>134392393</v>
      </c>
      <c r="CD41" s="82">
        <f t="shared" si="5"/>
        <v>11648768</v>
      </c>
      <c r="CE41" s="86">
        <f t="shared" si="1"/>
        <v>15907583</v>
      </c>
      <c r="CF41" s="86">
        <f t="shared" si="2"/>
        <v>938151465</v>
      </c>
    </row>
    <row r="42" spans="1:84" x14ac:dyDescent="0.25">
      <c r="A42" s="91" t="s">
        <v>96</v>
      </c>
      <c r="B42" s="135">
        <v>705786086</v>
      </c>
      <c r="C42" s="140">
        <v>249975945</v>
      </c>
      <c r="D42" s="135">
        <v>303399011</v>
      </c>
      <c r="E42" s="135">
        <v>2256741</v>
      </c>
      <c r="F42" s="135">
        <v>51869400</v>
      </c>
      <c r="G42" s="135">
        <v>7675300</v>
      </c>
      <c r="H42" s="135">
        <v>22204500</v>
      </c>
      <c r="I42" s="135">
        <v>2279400</v>
      </c>
      <c r="J42" s="135">
        <v>196500</v>
      </c>
      <c r="K42" s="135">
        <v>39300</v>
      </c>
      <c r="L42" s="135">
        <v>303727868</v>
      </c>
      <c r="M42" s="135">
        <v>208738120</v>
      </c>
      <c r="N42" s="135">
        <v>1891</v>
      </c>
      <c r="O42" s="135">
        <v>255</v>
      </c>
      <c r="P42" s="135">
        <v>10276195</v>
      </c>
      <c r="Q42" s="135">
        <v>5391500</v>
      </c>
      <c r="R42" s="135">
        <v>20542100</v>
      </c>
      <c r="S42" s="135">
        <v>23539666</v>
      </c>
      <c r="T42" s="135">
        <v>5041938</v>
      </c>
      <c r="U42" s="135">
        <v>2078000</v>
      </c>
      <c r="V42" s="135">
        <v>10276195</v>
      </c>
      <c r="W42" s="135">
        <v>1304800</v>
      </c>
      <c r="X42" s="135">
        <v>20542100</v>
      </c>
      <c r="Y42" s="135">
        <v>23539666</v>
      </c>
      <c r="Z42" s="135">
        <v>1091550</v>
      </c>
      <c r="AA42" s="135">
        <v>2078000</v>
      </c>
      <c r="AB42" s="135">
        <v>-2955783</v>
      </c>
      <c r="AC42" s="135">
        <v>-110361</v>
      </c>
      <c r="AD42" s="135">
        <v>70787</v>
      </c>
      <c r="AE42" s="135">
        <v>19</v>
      </c>
      <c r="AF42" s="135">
        <v>0</v>
      </c>
      <c r="AG42" s="135">
        <v>144584</v>
      </c>
      <c r="AI42" s="135">
        <v>0</v>
      </c>
      <c r="AJ42" s="139"/>
      <c r="AO42" s="82">
        <v>179294902</v>
      </c>
      <c r="AP42" s="82">
        <v>6251987</v>
      </c>
      <c r="AQ42" s="135">
        <v>0</v>
      </c>
      <c r="AR42" s="135">
        <v>35461824</v>
      </c>
      <c r="AS42" s="135">
        <v>556167</v>
      </c>
      <c r="AT42" s="135">
        <v>35420010</v>
      </c>
      <c r="AU42" s="135">
        <v>28160469</v>
      </c>
      <c r="AV42" s="135">
        <v>54909603</v>
      </c>
      <c r="AW42" s="135">
        <v>6125778</v>
      </c>
      <c r="AX42" s="135">
        <f>286134+175</f>
        <v>286309</v>
      </c>
      <c r="AY42" s="135">
        <v>0</v>
      </c>
      <c r="AZ42" s="135">
        <v>0</v>
      </c>
      <c r="BA42" s="135">
        <v>0</v>
      </c>
      <c r="BB42" s="135">
        <v>10312</v>
      </c>
      <c r="BC42" s="135">
        <v>0</v>
      </c>
      <c r="BH42" s="82">
        <v>13411969.1</v>
      </c>
      <c r="BI42" s="82">
        <v>6705984.5499999998</v>
      </c>
      <c r="BJ42" s="117">
        <v>0</v>
      </c>
      <c r="BK42" s="118">
        <v>3022630</v>
      </c>
      <c r="BL42" s="118">
        <v>6045259</v>
      </c>
      <c r="BM42" s="117">
        <v>66848085</v>
      </c>
      <c r="BN42" s="117">
        <v>66848085</v>
      </c>
      <c r="BO42" s="117">
        <v>75021105</v>
      </c>
      <c r="BP42" s="117">
        <v>68105363</v>
      </c>
      <c r="BQ42" s="117">
        <v>10634401</v>
      </c>
      <c r="BR42" s="117">
        <v>0</v>
      </c>
      <c r="BS42" s="138"/>
      <c r="BT42" s="86">
        <v>1664202854.55</v>
      </c>
      <c r="BU42" s="86">
        <v>1323339502</v>
      </c>
      <c r="BV42" s="87">
        <v>1610600</v>
      </c>
      <c r="BX42" s="135">
        <v>8266</v>
      </c>
      <c r="BY42" s="135">
        <v>2925</v>
      </c>
      <c r="BZ42" s="135">
        <v>700</v>
      </c>
      <c r="CA42" s="135">
        <f t="shared" ref="CA42:CA49" si="7">SUM(BX42:BZ42)</f>
        <v>11891</v>
      </c>
      <c r="CB42" s="86">
        <v>1259161042</v>
      </c>
      <c r="CC42" s="82">
        <f t="shared" si="5"/>
        <v>179294902</v>
      </c>
      <c r="CD42" s="82">
        <f t="shared" si="5"/>
        <v>6251987</v>
      </c>
      <c r="CE42" s="86">
        <f t="shared" si="1"/>
        <v>70304238</v>
      </c>
      <c r="CF42" s="86">
        <f t="shared" si="2"/>
        <v>1515012169</v>
      </c>
    </row>
    <row r="43" spans="1:84" x14ac:dyDescent="0.25">
      <c r="A43" s="91" t="s">
        <v>97</v>
      </c>
      <c r="B43" s="135">
        <v>858339257</v>
      </c>
      <c r="C43" s="135">
        <v>433329703</v>
      </c>
      <c r="D43" s="135">
        <v>346548618</v>
      </c>
      <c r="E43" s="135">
        <v>31033333</v>
      </c>
      <c r="F43" s="135">
        <v>109409650</v>
      </c>
      <c r="G43" s="135">
        <v>22850201</v>
      </c>
      <c r="H43" s="135">
        <v>27225040</v>
      </c>
      <c r="I43" s="135">
        <v>3526650</v>
      </c>
      <c r="J43" s="135">
        <v>78300</v>
      </c>
      <c r="K43" s="135">
        <v>100600</v>
      </c>
      <c r="L43" s="135">
        <v>1011248659</v>
      </c>
      <c r="M43" s="135">
        <v>234107657</v>
      </c>
      <c r="N43" s="135">
        <v>3654</v>
      </c>
      <c r="O43" s="135">
        <v>750</v>
      </c>
      <c r="P43" s="135">
        <v>8451296</v>
      </c>
      <c r="Q43" s="135">
        <v>18729900</v>
      </c>
      <c r="R43" s="135">
        <v>12275499</v>
      </c>
      <c r="S43" s="135">
        <v>4641839</v>
      </c>
      <c r="T43" s="135">
        <v>590880</v>
      </c>
      <c r="U43" s="135">
        <v>3827142</v>
      </c>
      <c r="V43" s="135">
        <v>8451296</v>
      </c>
      <c r="W43" s="135">
        <v>23041000</v>
      </c>
      <c r="X43" s="135">
        <v>12275499</v>
      </c>
      <c r="Y43" s="135">
        <v>4641839</v>
      </c>
      <c r="Z43" s="135">
        <v>1037200</v>
      </c>
      <c r="AA43" s="135">
        <v>3827142</v>
      </c>
      <c r="AB43" s="135">
        <v>-7893422</v>
      </c>
      <c r="AC43" s="135">
        <v>-1862446</v>
      </c>
      <c r="AD43" s="135">
        <v>55807</v>
      </c>
      <c r="AE43" s="135">
        <v>92581</v>
      </c>
      <c r="AF43" s="135">
        <v>238147096</v>
      </c>
      <c r="AG43" s="135">
        <v>311040</v>
      </c>
      <c r="AI43" s="135">
        <v>569443</v>
      </c>
      <c r="AJ43" s="139"/>
      <c r="AO43" s="82">
        <v>300504644</v>
      </c>
      <c r="AP43" s="82">
        <v>9322455</v>
      </c>
      <c r="AQ43" s="135">
        <v>0</v>
      </c>
      <c r="AR43" s="135">
        <v>64458448</v>
      </c>
      <c r="AS43" s="135">
        <v>5788249</v>
      </c>
      <c r="AT43" s="135">
        <v>53883689</v>
      </c>
      <c r="AU43" s="135">
        <v>80879448</v>
      </c>
      <c r="AV43" s="135">
        <v>74378100</v>
      </c>
      <c r="AW43" s="135">
        <v>0</v>
      </c>
      <c r="AX43" s="135">
        <v>31818893</v>
      </c>
      <c r="AY43" s="135">
        <v>0</v>
      </c>
      <c r="AZ43" s="135">
        <v>296333</v>
      </c>
      <c r="BA43" s="135">
        <v>20930226</v>
      </c>
      <c r="BB43" s="135">
        <v>17278</v>
      </c>
      <c r="BC43" s="135">
        <v>1936300</v>
      </c>
      <c r="BH43" s="82">
        <v>22478938.079999998</v>
      </c>
      <c r="BI43" s="82">
        <v>11239469.039999999</v>
      </c>
      <c r="BJ43" s="117">
        <v>0</v>
      </c>
      <c r="BK43" s="118">
        <v>2735454</v>
      </c>
      <c r="BL43" s="118">
        <v>5470909</v>
      </c>
      <c r="BM43" s="117">
        <v>87795363</v>
      </c>
      <c r="BN43" s="117">
        <v>85388767</v>
      </c>
      <c r="BO43" s="117">
        <v>137762754</v>
      </c>
      <c r="BP43" s="117">
        <v>107655375</v>
      </c>
      <c r="BQ43" s="117">
        <v>0</v>
      </c>
      <c r="BR43" s="117">
        <v>9365987</v>
      </c>
      <c r="BS43" s="138"/>
      <c r="BT43" s="86">
        <v>2316125317.04</v>
      </c>
      <c r="BU43" s="86">
        <v>1789913166</v>
      </c>
      <c r="BV43" s="87">
        <v>4402844</v>
      </c>
      <c r="BX43" s="135">
        <v>18279</v>
      </c>
      <c r="BY43" s="135">
        <v>9060</v>
      </c>
      <c r="BZ43" s="135">
        <v>1808</v>
      </c>
      <c r="CA43" s="135">
        <f t="shared" si="7"/>
        <v>29147</v>
      </c>
      <c r="CB43" s="86">
        <v>1638217578</v>
      </c>
      <c r="CC43" s="82">
        <f t="shared" si="5"/>
        <v>300504644</v>
      </c>
      <c r="CD43" s="82">
        <f t="shared" si="5"/>
        <v>9322455</v>
      </c>
      <c r="CE43" s="86">
        <f t="shared" si="1"/>
        <v>151126145</v>
      </c>
      <c r="CF43" s="86">
        <f t="shared" si="2"/>
        <v>2099170822</v>
      </c>
    </row>
    <row r="44" spans="1:84" x14ac:dyDescent="0.25">
      <c r="A44" s="91" t="s">
        <v>98</v>
      </c>
      <c r="B44" s="140">
        <v>791566411</v>
      </c>
      <c r="C44" s="140">
        <v>222919285</v>
      </c>
      <c r="D44" s="140">
        <v>186372568</v>
      </c>
      <c r="E44" s="140">
        <v>0</v>
      </c>
      <c r="F44" s="140">
        <v>74936897</v>
      </c>
      <c r="G44" s="140">
        <v>14356586</v>
      </c>
      <c r="H44" s="140">
        <v>25470964</v>
      </c>
      <c r="I44" s="140">
        <v>2650473</v>
      </c>
      <c r="J44" s="140">
        <v>117900</v>
      </c>
      <c r="K44" s="140">
        <v>0</v>
      </c>
      <c r="L44" s="140">
        <v>343545392</v>
      </c>
      <c r="M44" s="140">
        <v>137983779</v>
      </c>
      <c r="N44" s="140">
        <v>2696</v>
      </c>
      <c r="O44" s="140">
        <v>501</v>
      </c>
      <c r="P44" s="140">
        <v>16328757</v>
      </c>
      <c r="Q44" s="140">
        <v>2503444</v>
      </c>
      <c r="R44" s="140">
        <v>7365163</v>
      </c>
      <c r="S44" s="140">
        <v>4801848</v>
      </c>
      <c r="T44" s="140">
        <v>2850333</v>
      </c>
      <c r="U44" s="140">
        <v>2523377</v>
      </c>
      <c r="V44" s="140">
        <v>16328757</v>
      </c>
      <c r="W44" s="140">
        <v>2962400</v>
      </c>
      <c r="X44" s="140">
        <v>7365163</v>
      </c>
      <c r="Y44" s="140">
        <v>4801848</v>
      </c>
      <c r="Z44" s="140">
        <v>2779243</v>
      </c>
      <c r="AA44" s="140">
        <v>2523377</v>
      </c>
      <c r="AB44" s="140">
        <v>-5728302</v>
      </c>
      <c r="AC44" s="140">
        <v>-3535</v>
      </c>
      <c r="AD44" s="140">
        <v>129258</v>
      </c>
      <c r="AE44" s="140">
        <v>5573</v>
      </c>
      <c r="AF44" s="140">
        <v>5041445</v>
      </c>
      <c r="AG44" s="140">
        <v>284111</v>
      </c>
      <c r="AH44" s="135">
        <v>25000</v>
      </c>
      <c r="AI44" s="140">
        <v>1065344</v>
      </c>
      <c r="AJ44" s="139"/>
      <c r="AK44" s="140"/>
      <c r="AL44" s="140"/>
      <c r="AM44" s="140"/>
      <c r="AN44" s="140"/>
      <c r="AO44" s="82">
        <v>175818092</v>
      </c>
      <c r="AP44" s="82">
        <v>27056227</v>
      </c>
      <c r="AQ44" s="140">
        <v>146760</v>
      </c>
      <c r="AR44" s="140">
        <v>41022781</v>
      </c>
      <c r="AS44" s="140">
        <v>4306043</v>
      </c>
      <c r="AT44" s="140">
        <v>79063643</v>
      </c>
      <c r="AU44" s="140">
        <v>61680398</v>
      </c>
      <c r="AV44" s="140">
        <v>41114511</v>
      </c>
      <c r="AW44" s="140">
        <v>16080119</v>
      </c>
      <c r="AX44" s="140">
        <v>213</v>
      </c>
      <c r="AY44" s="140">
        <v>0</v>
      </c>
      <c r="AZ44" s="140">
        <v>0</v>
      </c>
      <c r="BA44" s="140">
        <v>12187</v>
      </c>
      <c r="BB44" s="140">
        <v>527628</v>
      </c>
      <c r="BC44" s="140">
        <v>130000</v>
      </c>
      <c r="BD44" s="140"/>
      <c r="BE44" s="140"/>
      <c r="BF44" s="140"/>
      <c r="BG44" s="140"/>
      <c r="BH44" s="82">
        <v>13151889.93</v>
      </c>
      <c r="BI44" s="82">
        <v>6575944.9699999997</v>
      </c>
      <c r="BJ44" s="117">
        <v>0</v>
      </c>
      <c r="BK44" s="118">
        <v>2500029</v>
      </c>
      <c r="BL44" s="118">
        <v>5000058</v>
      </c>
      <c r="BM44" s="117">
        <v>11714559</v>
      </c>
      <c r="BN44" s="117">
        <v>7488912</v>
      </c>
      <c r="BO44" s="117">
        <v>65728298</v>
      </c>
      <c r="BP44" s="117">
        <v>60543904</v>
      </c>
      <c r="BQ44" s="117">
        <v>0</v>
      </c>
      <c r="BR44" s="117">
        <v>0</v>
      </c>
      <c r="BS44" s="141"/>
      <c r="BT44" s="86">
        <v>1588940938.97</v>
      </c>
      <c r="BU44" s="86">
        <v>1308957830</v>
      </c>
      <c r="BV44" s="87">
        <v>1282503</v>
      </c>
      <c r="BX44" s="140">
        <v>21061</v>
      </c>
      <c r="BY44" s="140">
        <v>6853</v>
      </c>
      <c r="BZ44" s="140">
        <v>1750</v>
      </c>
      <c r="CA44" s="135">
        <f t="shared" si="7"/>
        <v>29664</v>
      </c>
      <c r="CB44" s="86">
        <v>1200858264</v>
      </c>
      <c r="CC44" s="82">
        <f t="shared" si="5"/>
        <v>175818092</v>
      </c>
      <c r="CD44" s="82">
        <f t="shared" si="5"/>
        <v>27056227</v>
      </c>
      <c r="CE44" s="86">
        <f t="shared" si="1"/>
        <v>123089341</v>
      </c>
      <c r="CF44" s="86">
        <f t="shared" si="2"/>
        <v>1526821924</v>
      </c>
    </row>
    <row r="45" spans="1:84" x14ac:dyDescent="0.25">
      <c r="A45" s="91" t="s">
        <v>99</v>
      </c>
      <c r="B45" s="135">
        <v>181981553</v>
      </c>
      <c r="C45" s="135">
        <v>132020453</v>
      </c>
      <c r="D45" s="135">
        <v>40351833</v>
      </c>
      <c r="E45" s="135">
        <v>0</v>
      </c>
      <c r="F45" s="135">
        <v>36264500</v>
      </c>
      <c r="G45" s="135">
        <v>6499023</v>
      </c>
      <c r="H45" s="135">
        <v>16360000</v>
      </c>
      <c r="I45" s="135">
        <v>1166700</v>
      </c>
      <c r="J45" s="135">
        <v>37000</v>
      </c>
      <c r="K45" s="135">
        <v>0</v>
      </c>
      <c r="L45" s="135">
        <v>243724293</v>
      </c>
      <c r="M45" s="135">
        <v>78469100</v>
      </c>
      <c r="N45" s="135">
        <v>1404</v>
      </c>
      <c r="O45" s="135">
        <v>220</v>
      </c>
      <c r="P45" s="135">
        <v>1711212</v>
      </c>
      <c r="Q45" s="135">
        <v>3112400</v>
      </c>
      <c r="R45" s="135">
        <v>113850</v>
      </c>
      <c r="S45" s="135">
        <v>1078475</v>
      </c>
      <c r="T45" s="135">
        <v>1056050</v>
      </c>
      <c r="U45" s="135">
        <v>1669365</v>
      </c>
      <c r="V45" s="135">
        <v>1711212</v>
      </c>
      <c r="W45" s="135">
        <v>3177000</v>
      </c>
      <c r="X45" s="135">
        <v>113850</v>
      </c>
      <c r="Y45" s="135">
        <v>1078475</v>
      </c>
      <c r="Z45" s="135">
        <v>1162330</v>
      </c>
      <c r="AA45" s="135">
        <v>1669365</v>
      </c>
      <c r="AB45" s="135">
        <v>-1154750</v>
      </c>
      <c r="AC45" s="135">
        <v>-173503</v>
      </c>
      <c r="AD45" s="135">
        <v>39753</v>
      </c>
      <c r="AE45" s="135">
        <v>0</v>
      </c>
      <c r="AF45" s="135">
        <v>0</v>
      </c>
      <c r="AG45" s="135">
        <v>167882</v>
      </c>
      <c r="AH45" s="135">
        <v>229909.84</v>
      </c>
      <c r="AI45" s="135">
        <v>237139</v>
      </c>
      <c r="AJ45" s="139"/>
      <c r="AO45" s="82">
        <v>69982984</v>
      </c>
      <c r="AP45" s="82">
        <v>2326562</v>
      </c>
      <c r="AQ45" s="135">
        <v>0</v>
      </c>
      <c r="AR45" s="135">
        <v>5217710</v>
      </c>
      <c r="AS45" s="135">
        <v>56037</v>
      </c>
      <c r="AT45" s="135">
        <v>5584152</v>
      </c>
      <c r="AU45" s="135">
        <v>6471639</v>
      </c>
      <c r="AV45" s="135">
        <v>1981112</v>
      </c>
      <c r="AW45" s="135">
        <v>0</v>
      </c>
      <c r="AX45" s="135">
        <f>278610+250</f>
        <v>278860</v>
      </c>
      <c r="AY45" s="135">
        <v>0</v>
      </c>
      <c r="AZ45" s="135">
        <v>10343</v>
      </c>
      <c r="BA45" s="135">
        <v>0</v>
      </c>
      <c r="BB45" s="135">
        <v>0</v>
      </c>
      <c r="BC45" s="135">
        <v>0</v>
      </c>
      <c r="BH45" s="82">
        <v>5235004.5</v>
      </c>
      <c r="BI45" s="82">
        <v>2617502.25</v>
      </c>
      <c r="BJ45" s="117">
        <v>0</v>
      </c>
      <c r="BK45" s="118">
        <v>0</v>
      </c>
      <c r="BL45" s="118">
        <v>0</v>
      </c>
      <c r="BM45" s="117">
        <v>36808015</v>
      </c>
      <c r="BN45" s="117">
        <v>36808015</v>
      </c>
      <c r="BO45" s="117">
        <v>40964967</v>
      </c>
      <c r="BP45" s="117">
        <v>40796893</v>
      </c>
      <c r="BQ45" s="117">
        <v>0</v>
      </c>
      <c r="BR45" s="117">
        <v>0</v>
      </c>
      <c r="BS45" s="138"/>
      <c r="BT45" s="86">
        <v>519098230.08999997</v>
      </c>
      <c r="BU45" s="86">
        <v>366566273.83999997</v>
      </c>
      <c r="BV45" s="87">
        <v>759262</v>
      </c>
      <c r="BX45" s="135">
        <v>4633</v>
      </c>
      <c r="BY45" s="135">
        <v>3216</v>
      </c>
      <c r="BZ45" s="135">
        <v>294</v>
      </c>
      <c r="CA45" s="135">
        <f t="shared" si="7"/>
        <v>8143</v>
      </c>
      <c r="CB45" s="86">
        <v>354353839</v>
      </c>
      <c r="CC45" s="82">
        <f t="shared" si="5"/>
        <v>69982984</v>
      </c>
      <c r="CD45" s="82">
        <f t="shared" si="5"/>
        <v>2326562</v>
      </c>
      <c r="CE45" s="86">
        <f t="shared" si="1"/>
        <v>11745386</v>
      </c>
      <c r="CF45" s="86">
        <f t="shared" si="2"/>
        <v>438408771</v>
      </c>
    </row>
    <row r="46" spans="1:84" x14ac:dyDescent="0.25">
      <c r="A46" s="91" t="s">
        <v>100</v>
      </c>
      <c r="B46" s="135">
        <v>929712150</v>
      </c>
      <c r="C46" s="135">
        <v>135048953</v>
      </c>
      <c r="D46" s="135">
        <v>306835542</v>
      </c>
      <c r="E46" s="135">
        <v>0</v>
      </c>
      <c r="F46" s="135">
        <v>145510328</v>
      </c>
      <c r="G46" s="135">
        <v>31332247</v>
      </c>
      <c r="H46" s="135">
        <v>20481688</v>
      </c>
      <c r="I46" s="135">
        <v>4403848</v>
      </c>
      <c r="J46" s="135">
        <v>39300</v>
      </c>
      <c r="K46" s="135">
        <v>27000</v>
      </c>
      <c r="L46" s="135">
        <v>121002227</v>
      </c>
      <c r="M46" s="135">
        <v>115356982</v>
      </c>
      <c r="N46" s="135">
        <v>4659</v>
      </c>
      <c r="O46" s="135">
        <v>1140</v>
      </c>
      <c r="P46" s="135">
        <v>4581266</v>
      </c>
      <c r="Q46" s="135">
        <v>849413</v>
      </c>
      <c r="R46" s="135">
        <v>3936886</v>
      </c>
      <c r="S46" s="135">
        <v>5154253</v>
      </c>
      <c r="T46" s="135">
        <v>1240989</v>
      </c>
      <c r="U46" s="135">
        <v>6676607</v>
      </c>
      <c r="V46" s="135">
        <v>4581266</v>
      </c>
      <c r="W46" s="135">
        <v>1117258</v>
      </c>
      <c r="X46" s="135">
        <v>3936886</v>
      </c>
      <c r="Y46" s="135">
        <v>5154253</v>
      </c>
      <c r="Z46" s="135">
        <v>1660943</v>
      </c>
      <c r="AA46" s="135">
        <v>6676607</v>
      </c>
      <c r="AB46" s="135">
        <v>-2955525</v>
      </c>
      <c r="AC46" s="135">
        <v>0</v>
      </c>
      <c r="AD46" s="135">
        <v>144971</v>
      </c>
      <c r="AE46" s="135">
        <v>0</v>
      </c>
      <c r="AF46" s="135">
        <v>0</v>
      </c>
      <c r="AG46" s="135">
        <v>78817419</v>
      </c>
      <c r="AH46" s="135">
        <v>3409995.9</v>
      </c>
      <c r="AI46" s="135">
        <v>780590.16393442627</v>
      </c>
      <c r="AJ46" s="139"/>
      <c r="AO46" s="82">
        <v>262569951</v>
      </c>
      <c r="AP46" s="82">
        <v>8245857</v>
      </c>
      <c r="AQ46" s="135">
        <v>25000</v>
      </c>
      <c r="AR46" s="135">
        <v>38077296</v>
      </c>
      <c r="AS46" s="135">
        <v>2299376</v>
      </c>
      <c r="AT46" s="135">
        <v>117774786</v>
      </c>
      <c r="AU46" s="135">
        <v>47751545</v>
      </c>
      <c r="AV46" s="135">
        <v>60596560</v>
      </c>
      <c r="AW46" s="135">
        <v>124954672</v>
      </c>
      <c r="AX46" s="135">
        <v>725517</v>
      </c>
      <c r="AY46" s="135">
        <v>0</v>
      </c>
      <c r="AZ46" s="135">
        <v>0</v>
      </c>
      <c r="BA46" s="135">
        <v>0</v>
      </c>
      <c r="BB46" s="135">
        <v>73246</v>
      </c>
      <c r="BC46" s="135">
        <v>460500</v>
      </c>
      <c r="BH46" s="82">
        <v>19641272.73</v>
      </c>
      <c r="BI46" s="82">
        <v>9820636.3699999992</v>
      </c>
      <c r="BJ46" s="117">
        <v>38611398.963730574</v>
      </c>
      <c r="BK46" s="118">
        <v>34271532</v>
      </c>
      <c r="BL46" s="118">
        <v>68543065</v>
      </c>
      <c r="BM46" s="117">
        <v>78990124</v>
      </c>
      <c r="BN46" s="117">
        <v>78990124</v>
      </c>
      <c r="BO46" s="117">
        <v>136829466</v>
      </c>
      <c r="BP46" s="117">
        <v>119372941</v>
      </c>
      <c r="BQ46" s="117">
        <v>0</v>
      </c>
      <c r="BR46" s="117">
        <v>0</v>
      </c>
      <c r="BS46" s="138"/>
      <c r="BT46" s="86">
        <v>1977186489.4339345</v>
      </c>
      <c r="BU46" s="86">
        <v>1463915448.0639346</v>
      </c>
      <c r="BV46" s="87">
        <v>2063357</v>
      </c>
      <c r="BX46" s="135">
        <v>17566</v>
      </c>
      <c r="BY46" s="135">
        <v>3352</v>
      </c>
      <c r="BZ46" s="135">
        <v>852</v>
      </c>
      <c r="CA46" s="135">
        <f t="shared" si="7"/>
        <v>21770</v>
      </c>
      <c r="CB46" s="86">
        <v>1371596645</v>
      </c>
      <c r="CC46" s="82">
        <f t="shared" si="5"/>
        <v>262569951</v>
      </c>
      <c r="CD46" s="82">
        <f t="shared" si="5"/>
        <v>8245857</v>
      </c>
      <c r="CE46" s="86">
        <f t="shared" si="1"/>
        <v>213082889</v>
      </c>
      <c r="CF46" s="86">
        <f t="shared" si="2"/>
        <v>1855495342</v>
      </c>
    </row>
    <row r="47" spans="1:84" x14ac:dyDescent="0.25">
      <c r="A47" s="91" t="s">
        <v>101</v>
      </c>
      <c r="B47" s="135">
        <v>182960465</v>
      </c>
      <c r="C47" s="135">
        <v>88532973</v>
      </c>
      <c r="D47" s="135">
        <v>167371807</v>
      </c>
      <c r="E47" s="135">
        <v>13158230</v>
      </c>
      <c r="F47" s="135">
        <v>25862400</v>
      </c>
      <c r="G47" s="135">
        <v>3683300</v>
      </c>
      <c r="H47" s="135">
        <v>10919900</v>
      </c>
      <c r="I47" s="135">
        <v>944000</v>
      </c>
      <c r="J47" s="135">
        <v>0</v>
      </c>
      <c r="K47" s="135">
        <v>39300</v>
      </c>
      <c r="L47" s="135">
        <v>218386677</v>
      </c>
      <c r="M47" s="135">
        <v>68371809</v>
      </c>
      <c r="N47" s="135">
        <v>989</v>
      </c>
      <c r="O47" s="135">
        <v>145</v>
      </c>
      <c r="P47" s="135">
        <v>4202850</v>
      </c>
      <c r="Q47" s="135">
        <v>505300</v>
      </c>
      <c r="R47" s="135">
        <v>725300</v>
      </c>
      <c r="S47" s="135">
        <v>1239186</v>
      </c>
      <c r="T47" s="135">
        <v>356400</v>
      </c>
      <c r="U47" s="135">
        <v>1539250</v>
      </c>
      <c r="V47" s="135">
        <v>4202850</v>
      </c>
      <c r="W47" s="135">
        <v>542500</v>
      </c>
      <c r="X47" s="135">
        <v>725300</v>
      </c>
      <c r="Y47" s="135">
        <v>1239186</v>
      </c>
      <c r="Z47" s="135">
        <v>1206200</v>
      </c>
      <c r="AA47" s="135">
        <v>1539250</v>
      </c>
      <c r="AB47" s="135">
        <v>-953500</v>
      </c>
      <c r="AC47" s="135">
        <v>0</v>
      </c>
      <c r="AD47" s="135">
        <v>88519</v>
      </c>
      <c r="AE47" s="135">
        <v>0</v>
      </c>
      <c r="AF47" s="135">
        <v>0</v>
      </c>
      <c r="AG47" s="135">
        <v>105639</v>
      </c>
      <c r="AH47" s="135">
        <v>508836.06</v>
      </c>
      <c r="AI47" s="135">
        <v>32750</v>
      </c>
      <c r="AJ47" s="139"/>
      <c r="AO47" s="82">
        <v>66698400</v>
      </c>
      <c r="AP47" s="82">
        <v>1786051</v>
      </c>
      <c r="AQ47" s="135">
        <v>0</v>
      </c>
      <c r="AR47" s="135">
        <v>91656873</v>
      </c>
      <c r="AS47" s="135">
        <v>58578988</v>
      </c>
      <c r="AT47" s="135">
        <v>1040495165</v>
      </c>
      <c r="AU47" s="135">
        <v>77528032</v>
      </c>
      <c r="AV47" s="135">
        <v>180512653</v>
      </c>
      <c r="AW47" s="135">
        <v>51010125</v>
      </c>
      <c r="AX47" s="135">
        <f>1995555+36599913</f>
        <v>38595468</v>
      </c>
      <c r="AY47" s="135">
        <v>0</v>
      </c>
      <c r="AZ47" s="135">
        <v>0</v>
      </c>
      <c r="BA47" s="135">
        <v>45998664</v>
      </c>
      <c r="BB47" s="135">
        <v>625</v>
      </c>
      <c r="BC47" s="135">
        <v>184500</v>
      </c>
      <c r="BH47" s="82">
        <v>4989304.5999999996</v>
      </c>
      <c r="BI47" s="82">
        <v>2494652.2999999998</v>
      </c>
      <c r="BJ47" s="117">
        <v>35632124.352331601</v>
      </c>
      <c r="BK47" s="118">
        <v>1858622</v>
      </c>
      <c r="BL47" s="118">
        <v>3717244</v>
      </c>
      <c r="BM47" s="117">
        <v>135823598</v>
      </c>
      <c r="BN47" s="117">
        <v>135823598</v>
      </c>
      <c r="BO47" s="117">
        <v>59834877</v>
      </c>
      <c r="BP47" s="117">
        <v>57846284</v>
      </c>
      <c r="BQ47" s="117">
        <v>0</v>
      </c>
      <c r="BR47" s="117">
        <v>0</v>
      </c>
      <c r="BS47" s="138"/>
      <c r="BT47" s="86">
        <v>933678331.3599999</v>
      </c>
      <c r="BU47" s="86">
        <v>667170724.05999994</v>
      </c>
      <c r="BV47" s="87">
        <v>553897</v>
      </c>
      <c r="BX47" s="135">
        <v>3441</v>
      </c>
      <c r="BY47" s="135">
        <v>1835</v>
      </c>
      <c r="BZ47" s="135">
        <v>287</v>
      </c>
      <c r="CA47" s="135">
        <f t="shared" si="7"/>
        <v>5563</v>
      </c>
      <c r="CB47" s="86">
        <v>438865245</v>
      </c>
      <c r="CC47" s="82">
        <f t="shared" si="5"/>
        <v>66698400</v>
      </c>
      <c r="CD47" s="82">
        <f t="shared" si="5"/>
        <v>1786051</v>
      </c>
      <c r="CE47" s="86">
        <f t="shared" si="1"/>
        <v>278774018</v>
      </c>
      <c r="CF47" s="86">
        <f t="shared" si="2"/>
        <v>786123714</v>
      </c>
    </row>
    <row r="48" spans="1:84" x14ac:dyDescent="0.25">
      <c r="A48" s="91" t="s">
        <v>102</v>
      </c>
      <c r="B48" s="135">
        <v>4333935700</v>
      </c>
      <c r="C48" s="135">
        <v>408549000</v>
      </c>
      <c r="D48" s="135">
        <v>1750771924</v>
      </c>
      <c r="E48" s="135">
        <v>6244100</v>
      </c>
      <c r="F48" s="135">
        <v>283386300</v>
      </c>
      <c r="G48" s="135">
        <v>45239100</v>
      </c>
      <c r="H48" s="135">
        <v>33287100</v>
      </c>
      <c r="I48" s="135">
        <v>2739000</v>
      </c>
      <c r="J48" s="135">
        <v>537000</v>
      </c>
      <c r="K48" s="135">
        <v>0</v>
      </c>
      <c r="L48" s="135">
        <v>730471600</v>
      </c>
      <c r="M48" s="135">
        <v>1175046700</v>
      </c>
      <c r="N48" s="135">
        <v>8209</v>
      </c>
      <c r="O48" s="135">
        <v>1277</v>
      </c>
      <c r="P48" s="135">
        <v>66811400</v>
      </c>
      <c r="Q48" s="135">
        <v>7219600</v>
      </c>
      <c r="R48" s="135">
        <v>51503800</v>
      </c>
      <c r="S48" s="135">
        <v>8693600</v>
      </c>
      <c r="T48" s="135">
        <v>1363800</v>
      </c>
      <c r="U48" s="135">
        <v>8878542</v>
      </c>
      <c r="V48" s="135">
        <v>66811400</v>
      </c>
      <c r="W48" s="135">
        <v>7219600</v>
      </c>
      <c r="X48" s="135">
        <v>51503800</v>
      </c>
      <c r="Y48" s="135">
        <v>8693600</v>
      </c>
      <c r="Z48" s="135">
        <v>1363800</v>
      </c>
      <c r="AA48" s="135">
        <v>8879542</v>
      </c>
      <c r="AB48" s="135">
        <v>-7217200</v>
      </c>
      <c r="AC48" s="135">
        <v>-245344</v>
      </c>
      <c r="AD48" s="135">
        <v>91727</v>
      </c>
      <c r="AE48" s="135">
        <v>0</v>
      </c>
      <c r="AF48" s="135">
        <v>0</v>
      </c>
      <c r="AG48" s="135">
        <v>263469</v>
      </c>
      <c r="AI48" s="135">
        <v>1322913.8032786886</v>
      </c>
      <c r="AJ48" s="139"/>
      <c r="AO48" s="82">
        <v>758260717</v>
      </c>
      <c r="AP48" s="82">
        <v>16489972</v>
      </c>
      <c r="AQ48" s="135">
        <v>40000</v>
      </c>
      <c r="AR48" s="135">
        <v>206470606</v>
      </c>
      <c r="AS48" s="135">
        <v>45495432</v>
      </c>
      <c r="AT48" s="135">
        <v>690299826</v>
      </c>
      <c r="AU48" s="135">
        <v>206383954</v>
      </c>
      <c r="AV48" s="135">
        <v>251424706</v>
      </c>
      <c r="AW48" s="135">
        <v>69040979</v>
      </c>
      <c r="AX48" s="135">
        <v>2193829</v>
      </c>
      <c r="AY48" s="135">
        <v>0</v>
      </c>
      <c r="AZ48" s="135">
        <v>66183</v>
      </c>
      <c r="BA48" s="135">
        <v>62210</v>
      </c>
      <c r="BB48" s="135">
        <v>740157</v>
      </c>
      <c r="BC48" s="135">
        <v>1006873</v>
      </c>
      <c r="BH48" s="82">
        <v>56720906.130000003</v>
      </c>
      <c r="BI48" s="82">
        <v>28360453.07</v>
      </c>
      <c r="BJ48" s="117">
        <v>3336787.5647668391</v>
      </c>
      <c r="BK48" s="118">
        <v>6191762</v>
      </c>
      <c r="BL48" s="118">
        <v>12383525</v>
      </c>
      <c r="BM48" s="117">
        <v>56080746</v>
      </c>
      <c r="BN48" s="117">
        <v>46909144</v>
      </c>
      <c r="BO48" s="117">
        <v>231402395</v>
      </c>
      <c r="BP48" s="117">
        <v>217040234</v>
      </c>
      <c r="BQ48" s="117">
        <v>11810</v>
      </c>
      <c r="BR48" s="117">
        <v>0</v>
      </c>
      <c r="BS48" s="138"/>
      <c r="BT48" s="86">
        <v>8026193621.8732786</v>
      </c>
      <c r="BU48" s="86">
        <v>6952929529.8032789</v>
      </c>
      <c r="BV48" s="87">
        <v>12703700</v>
      </c>
      <c r="BX48" s="135">
        <v>39824</v>
      </c>
      <c r="BY48" s="135">
        <v>5060</v>
      </c>
      <c r="BZ48" s="135">
        <v>2996</v>
      </c>
      <c r="CA48" s="135">
        <f t="shared" si="7"/>
        <v>47880</v>
      </c>
      <c r="CB48" s="86">
        <v>6493256624</v>
      </c>
      <c r="CC48" s="82">
        <f t="shared" si="5"/>
        <v>758260717</v>
      </c>
      <c r="CD48" s="82">
        <f t="shared" si="5"/>
        <v>16489972</v>
      </c>
      <c r="CE48" s="86">
        <f t="shared" si="1"/>
        <v>527390971</v>
      </c>
      <c r="CF48" s="86">
        <f t="shared" si="2"/>
        <v>7795398284</v>
      </c>
    </row>
    <row r="49" spans="1:84" x14ac:dyDescent="0.25">
      <c r="A49" s="91" t="s">
        <v>103</v>
      </c>
      <c r="B49" s="135">
        <v>396815854</v>
      </c>
      <c r="C49" s="135">
        <v>45047889</v>
      </c>
      <c r="D49" s="135">
        <v>149903342</v>
      </c>
      <c r="E49" s="135">
        <v>0</v>
      </c>
      <c r="F49" s="135">
        <v>66284409</v>
      </c>
      <c r="G49" s="135">
        <v>71900610</v>
      </c>
      <c r="H49" s="135">
        <v>2265100</v>
      </c>
      <c r="I49" s="135">
        <v>1631375</v>
      </c>
      <c r="J49" s="135">
        <v>151600</v>
      </c>
      <c r="K49" s="135">
        <v>213650</v>
      </c>
      <c r="L49" s="135">
        <v>102972196</v>
      </c>
      <c r="M49" s="135">
        <v>18455757</v>
      </c>
      <c r="N49" s="135">
        <v>2040</v>
      </c>
      <c r="O49" s="135">
        <v>2353</v>
      </c>
      <c r="P49" s="135">
        <v>3478780</v>
      </c>
      <c r="Q49" s="135">
        <v>351700</v>
      </c>
      <c r="R49" s="135">
        <v>5699925</v>
      </c>
      <c r="S49" s="135">
        <v>5682224</v>
      </c>
      <c r="T49" s="135">
        <v>85250</v>
      </c>
      <c r="U49" s="135">
        <v>438312</v>
      </c>
      <c r="V49" s="135">
        <v>3478780</v>
      </c>
      <c r="W49" s="135">
        <v>407950</v>
      </c>
      <c r="X49" s="135">
        <v>5699925</v>
      </c>
      <c r="Y49" s="135">
        <v>5682224</v>
      </c>
      <c r="Z49" s="135">
        <v>73975</v>
      </c>
      <c r="AA49" s="135">
        <v>438312</v>
      </c>
      <c r="AB49" s="135">
        <v>-3552750</v>
      </c>
      <c r="AC49" s="135">
        <v>0</v>
      </c>
      <c r="AD49" s="135">
        <v>239316</v>
      </c>
      <c r="AE49" s="135">
        <v>3192015</v>
      </c>
      <c r="AF49" s="135">
        <v>0</v>
      </c>
      <c r="AG49" s="135">
        <v>228871</v>
      </c>
      <c r="AH49" s="135">
        <v>8490762.2899999991</v>
      </c>
      <c r="AI49" s="135">
        <v>18798655.590163935</v>
      </c>
      <c r="AJ49" s="139">
        <v>22000000</v>
      </c>
      <c r="AO49" s="82">
        <v>161117432</v>
      </c>
      <c r="AP49" s="82">
        <v>2594725</v>
      </c>
      <c r="AQ49" s="135">
        <v>0</v>
      </c>
      <c r="AR49" s="135">
        <v>42319551</v>
      </c>
      <c r="AS49" s="135">
        <v>590712</v>
      </c>
      <c r="AT49" s="135">
        <v>6342397</v>
      </c>
      <c r="AU49" s="135">
        <v>24343099</v>
      </c>
      <c r="AV49" s="135">
        <v>6157724</v>
      </c>
      <c r="AW49" s="135">
        <v>1909</v>
      </c>
      <c r="AX49" s="135">
        <v>178540</v>
      </c>
      <c r="AY49" s="135">
        <v>0</v>
      </c>
      <c r="AZ49" s="135">
        <v>0</v>
      </c>
      <c r="BA49" s="135">
        <v>0</v>
      </c>
      <c r="BB49" s="135">
        <v>35489</v>
      </c>
      <c r="BC49" s="135">
        <v>0</v>
      </c>
      <c r="BH49" s="82">
        <v>12052222.32</v>
      </c>
      <c r="BI49" s="82">
        <v>6026111.1600000001</v>
      </c>
      <c r="BJ49" s="117">
        <v>0</v>
      </c>
      <c r="BK49" s="118">
        <v>9532180</v>
      </c>
      <c r="BL49" s="118">
        <v>19064360</v>
      </c>
      <c r="BM49" s="117">
        <v>22006441</v>
      </c>
      <c r="BN49" s="117">
        <v>22006441</v>
      </c>
      <c r="BO49" s="117">
        <v>75339748</v>
      </c>
      <c r="BP49" s="117">
        <v>68902329</v>
      </c>
      <c r="BQ49" s="117">
        <v>0</v>
      </c>
      <c r="BR49" s="117">
        <v>0</v>
      </c>
      <c r="BS49" s="138"/>
      <c r="BT49" s="86">
        <v>978489083.04016387</v>
      </c>
      <c r="BU49" s="86">
        <v>708309864.88016391</v>
      </c>
      <c r="BV49" s="87">
        <v>1223021</v>
      </c>
      <c r="BX49" s="135">
        <v>15828</v>
      </c>
      <c r="BY49" s="135">
        <v>1386</v>
      </c>
      <c r="BZ49" s="135">
        <v>1096</v>
      </c>
      <c r="CA49" s="135">
        <f t="shared" si="7"/>
        <v>18310</v>
      </c>
      <c r="CB49" s="86">
        <v>591767085</v>
      </c>
      <c r="CC49" s="82">
        <f t="shared" si="5"/>
        <v>161117432</v>
      </c>
      <c r="CD49" s="82">
        <f t="shared" si="5"/>
        <v>2594725</v>
      </c>
      <c r="CE49" s="86">
        <f t="shared" si="1"/>
        <v>67255271</v>
      </c>
      <c r="CF49" s="86">
        <f t="shared" si="2"/>
        <v>822734513</v>
      </c>
    </row>
    <row r="50" spans="1:84" x14ac:dyDescent="0.25">
      <c r="A50" s="91" t="s">
        <v>104</v>
      </c>
      <c r="B50" s="135">
        <v>514800573</v>
      </c>
      <c r="C50" s="135">
        <v>236534852</v>
      </c>
      <c r="D50" s="135">
        <v>133424883</v>
      </c>
      <c r="E50" s="135">
        <v>0</v>
      </c>
      <c r="F50" s="135">
        <v>48938753</v>
      </c>
      <c r="G50" s="135">
        <v>4272422</v>
      </c>
      <c r="H50" s="135">
        <v>16900127</v>
      </c>
      <c r="I50" s="135">
        <v>1281774</v>
      </c>
      <c r="J50" s="135">
        <v>78600</v>
      </c>
      <c r="K50" s="135">
        <v>0</v>
      </c>
      <c r="L50" s="135">
        <v>314372280</v>
      </c>
      <c r="M50" s="135">
        <v>161954684</v>
      </c>
      <c r="N50" s="135">
        <v>1699</v>
      </c>
      <c r="O50" s="135">
        <v>147</v>
      </c>
      <c r="P50" s="135">
        <v>5687854</v>
      </c>
      <c r="Q50" s="135">
        <v>3277004</v>
      </c>
      <c r="R50" s="135">
        <v>4802788</v>
      </c>
      <c r="S50" s="135">
        <v>54000</v>
      </c>
      <c r="T50" s="135">
        <v>0</v>
      </c>
      <c r="U50" s="135">
        <v>0</v>
      </c>
      <c r="V50" s="135">
        <v>5687854</v>
      </c>
      <c r="W50" s="135">
        <v>3277004</v>
      </c>
      <c r="X50" s="135">
        <v>4802788</v>
      </c>
      <c r="Y50" s="135">
        <v>54000</v>
      </c>
      <c r="Z50" s="135">
        <v>0</v>
      </c>
      <c r="AA50" s="135">
        <v>0</v>
      </c>
      <c r="AB50" s="135">
        <v>-1369700</v>
      </c>
      <c r="AC50" s="135">
        <v>0</v>
      </c>
      <c r="AD50" s="135">
        <v>0</v>
      </c>
      <c r="AE50" s="135">
        <v>0</v>
      </c>
      <c r="AF50" s="135">
        <v>6699</v>
      </c>
      <c r="AG50" s="135">
        <v>190386</v>
      </c>
      <c r="AH50" s="135">
        <v>0</v>
      </c>
      <c r="AI50" s="135">
        <v>0</v>
      </c>
      <c r="AJ50" s="139"/>
      <c r="AO50" s="82">
        <v>145869782</v>
      </c>
      <c r="AP50" s="82">
        <v>3646556</v>
      </c>
      <c r="AQ50" s="135">
        <v>0</v>
      </c>
      <c r="AR50" s="135">
        <v>27244788</v>
      </c>
      <c r="AS50" s="135">
        <v>4944198</v>
      </c>
      <c r="AT50" s="135">
        <v>76316536</v>
      </c>
      <c r="AU50" s="135">
        <v>18254807</v>
      </c>
      <c r="AV50" s="135">
        <v>21069517</v>
      </c>
      <c r="AW50" s="135">
        <v>1360899</v>
      </c>
      <c r="AX50" s="135">
        <v>1974190</v>
      </c>
      <c r="AY50" s="135">
        <v>0</v>
      </c>
      <c r="AZ50" s="135">
        <v>55117</v>
      </c>
      <c r="BA50" s="135">
        <v>1402601</v>
      </c>
      <c r="BB50" s="135">
        <v>5028</v>
      </c>
      <c r="BC50" s="135">
        <v>569636</v>
      </c>
      <c r="BH50" s="82">
        <v>10911637.68</v>
      </c>
      <c r="BI50" s="82">
        <v>5455818.8399999999</v>
      </c>
      <c r="BJ50" s="117">
        <v>0</v>
      </c>
      <c r="BK50" s="118">
        <v>2473789</v>
      </c>
      <c r="BL50" s="118">
        <v>4947579</v>
      </c>
      <c r="BM50" s="117">
        <v>20100084</v>
      </c>
      <c r="BN50" s="117">
        <v>20100084</v>
      </c>
      <c r="BO50" s="117">
        <v>53238592</v>
      </c>
      <c r="BP50" s="117">
        <v>48455869</v>
      </c>
      <c r="BQ50" s="117">
        <v>0</v>
      </c>
      <c r="BR50" s="117">
        <v>0</v>
      </c>
      <c r="BS50" s="138"/>
      <c r="BT50" s="86">
        <v>1161205999.8399999</v>
      </c>
      <c r="BU50" s="86">
        <v>935204101</v>
      </c>
      <c r="BV50" s="87">
        <v>1491589</v>
      </c>
      <c r="BX50" s="135">
        <v>6044</v>
      </c>
      <c r="BY50" s="135">
        <v>2648</v>
      </c>
      <c r="BZ50" s="135">
        <v>488</v>
      </c>
      <c r="CA50" s="135">
        <f>SUM(BX50:BZ50)</f>
        <v>9180</v>
      </c>
      <c r="CB50" s="86">
        <v>884760308</v>
      </c>
      <c r="CC50" s="82">
        <f t="shared" si="5"/>
        <v>145869782</v>
      </c>
      <c r="CD50" s="82">
        <f t="shared" si="5"/>
        <v>3646556</v>
      </c>
      <c r="CE50" s="86">
        <f t="shared" si="1"/>
        <v>51804692</v>
      </c>
      <c r="CF50" s="86">
        <f t="shared" si="2"/>
        <v>1086081338</v>
      </c>
    </row>
    <row r="51" spans="1:84" x14ac:dyDescent="0.25">
      <c r="A51" s="91" t="s">
        <v>105</v>
      </c>
      <c r="B51" s="135">
        <v>338970727</v>
      </c>
      <c r="C51" s="135">
        <v>283118725</v>
      </c>
      <c r="D51" s="135">
        <v>184940167</v>
      </c>
      <c r="E51" s="135">
        <v>22158275</v>
      </c>
      <c r="F51" s="135">
        <v>45614700</v>
      </c>
      <c r="G51" s="135">
        <v>12466300</v>
      </c>
      <c r="H51" s="135">
        <v>21164000</v>
      </c>
      <c r="I51" s="135">
        <v>3253300</v>
      </c>
      <c r="J51" s="135">
        <v>39300</v>
      </c>
      <c r="K51" s="135">
        <v>39300</v>
      </c>
      <c r="L51" s="135">
        <v>393768445</v>
      </c>
      <c r="M51" s="135">
        <v>186463100</v>
      </c>
      <c r="N51" s="135">
        <v>1793</v>
      </c>
      <c r="O51" s="135">
        <v>466</v>
      </c>
      <c r="P51" s="135">
        <v>9807100</v>
      </c>
      <c r="Q51" s="135">
        <v>8190400</v>
      </c>
      <c r="R51" s="135">
        <v>14255160</v>
      </c>
      <c r="S51" s="135">
        <v>2196625</v>
      </c>
      <c r="T51" s="135">
        <v>2501920</v>
      </c>
      <c r="U51" s="135">
        <v>678719</v>
      </c>
      <c r="V51" s="135">
        <v>9807100</v>
      </c>
      <c r="W51" s="135">
        <v>7969500</v>
      </c>
      <c r="X51" s="135">
        <v>14255160</v>
      </c>
      <c r="Y51" s="135">
        <v>2196625</v>
      </c>
      <c r="Z51" s="135">
        <v>3628500</v>
      </c>
      <c r="AA51" s="135">
        <v>678719</v>
      </c>
      <c r="AB51" s="135">
        <v>-2147200</v>
      </c>
      <c r="AC51" s="135">
        <v>-2000</v>
      </c>
      <c r="AD51" s="135">
        <v>101648</v>
      </c>
      <c r="AE51" s="135">
        <v>0</v>
      </c>
      <c r="AF51" s="135">
        <v>0</v>
      </c>
      <c r="AG51" s="135">
        <v>235163</v>
      </c>
      <c r="AH51" s="135">
        <v>30000</v>
      </c>
      <c r="AI51" s="135">
        <v>135475</v>
      </c>
      <c r="AJ51" s="139"/>
      <c r="AO51" s="82">
        <v>105972162</v>
      </c>
      <c r="AP51" s="82">
        <v>4940685</v>
      </c>
      <c r="AQ51" s="135">
        <v>0</v>
      </c>
      <c r="AR51" s="135">
        <v>17776629</v>
      </c>
      <c r="AS51" s="135">
        <v>4506299</v>
      </c>
      <c r="AT51" s="135">
        <v>230669393</v>
      </c>
      <c r="AU51" s="135">
        <v>44737360</v>
      </c>
      <c r="AV51" s="135">
        <v>47141934</v>
      </c>
      <c r="AW51" s="135">
        <v>126623</v>
      </c>
      <c r="AX51" s="135">
        <f>98506+3050</f>
        <v>101556</v>
      </c>
      <c r="AY51" s="135">
        <v>0</v>
      </c>
      <c r="AZ51" s="135">
        <v>73667</v>
      </c>
      <c r="BA51" s="135">
        <v>4557800</v>
      </c>
      <c r="BB51" s="135">
        <v>19150</v>
      </c>
      <c r="BC51" s="135">
        <v>0</v>
      </c>
      <c r="BH51" s="82">
        <v>7927137.6200000001</v>
      </c>
      <c r="BI51" s="82">
        <v>3963568.81</v>
      </c>
      <c r="BJ51" s="117">
        <v>0</v>
      </c>
      <c r="BK51" s="118">
        <v>1624654</v>
      </c>
      <c r="BL51" s="118">
        <v>3249309</v>
      </c>
      <c r="BM51" s="117">
        <v>18844344</v>
      </c>
      <c r="BN51" s="117">
        <v>18844344</v>
      </c>
      <c r="BO51" s="117">
        <v>70777065</v>
      </c>
      <c r="BP51" s="117">
        <v>67430128</v>
      </c>
      <c r="BQ51" s="117">
        <v>0</v>
      </c>
      <c r="BR51" s="117">
        <v>0</v>
      </c>
      <c r="BS51" s="138"/>
      <c r="BT51" s="86">
        <v>1076990923.8099999</v>
      </c>
      <c r="BU51" s="86">
        <v>874215382</v>
      </c>
      <c r="BV51" s="87">
        <v>1495345</v>
      </c>
      <c r="BX51" s="135">
        <v>7311</v>
      </c>
      <c r="BY51" s="135">
        <v>4204</v>
      </c>
      <c r="BZ51" s="135">
        <v>616</v>
      </c>
      <c r="CA51" s="135">
        <f>SUM(BX51:BZ51)</f>
        <v>12131</v>
      </c>
      <c r="CB51" s="86">
        <v>807029619</v>
      </c>
      <c r="CC51" s="82">
        <f t="shared" si="5"/>
        <v>105972162</v>
      </c>
      <c r="CD51" s="82">
        <f t="shared" si="5"/>
        <v>4940685</v>
      </c>
      <c r="CE51" s="86">
        <f t="shared" si="1"/>
        <v>67146911</v>
      </c>
      <c r="CF51" s="86">
        <f t="shared" si="2"/>
        <v>985089377</v>
      </c>
    </row>
    <row r="52" spans="1:84" x14ac:dyDescent="0.25">
      <c r="A52" s="91" t="s">
        <v>106</v>
      </c>
      <c r="B52" s="135">
        <v>1421076109</v>
      </c>
      <c r="C52" s="135">
        <v>296653104</v>
      </c>
      <c r="D52" s="135">
        <v>593258031</v>
      </c>
      <c r="E52" s="135">
        <v>179495800</v>
      </c>
      <c r="F52" s="135">
        <v>147180859</v>
      </c>
      <c r="G52" s="135">
        <v>14270979</v>
      </c>
      <c r="H52" s="135">
        <v>10968868</v>
      </c>
      <c r="I52" s="135">
        <v>668100</v>
      </c>
      <c r="J52" s="135">
        <v>314400</v>
      </c>
      <c r="K52" s="135">
        <v>0</v>
      </c>
      <c r="L52" s="135">
        <v>915714179</v>
      </c>
      <c r="M52" s="135">
        <v>94462200</v>
      </c>
      <c r="N52" s="135">
        <v>4184</v>
      </c>
      <c r="O52" s="135">
        <v>438</v>
      </c>
      <c r="P52" s="135">
        <v>12270350</v>
      </c>
      <c r="Q52" s="135">
        <v>1420700</v>
      </c>
      <c r="R52" s="135">
        <v>7569405</v>
      </c>
      <c r="S52" s="135">
        <v>5431050</v>
      </c>
      <c r="T52" s="135">
        <v>3272750</v>
      </c>
      <c r="U52" s="135">
        <v>1982350</v>
      </c>
      <c r="V52" s="135">
        <v>12270350</v>
      </c>
      <c r="W52" s="135">
        <v>1718100</v>
      </c>
      <c r="X52" s="135">
        <v>7569405</v>
      </c>
      <c r="Y52" s="135">
        <v>5470550</v>
      </c>
      <c r="Z52" s="135">
        <v>5465880</v>
      </c>
      <c r="AA52" s="135">
        <v>1982350</v>
      </c>
      <c r="AB52" s="135">
        <v>-3349400</v>
      </c>
      <c r="AC52" s="135">
        <v>-16022651</v>
      </c>
      <c r="AD52" s="135">
        <v>39133</v>
      </c>
      <c r="AE52" s="135">
        <v>5170</v>
      </c>
      <c r="AF52" s="135">
        <v>23465222</v>
      </c>
      <c r="AG52" s="135">
        <v>240191</v>
      </c>
      <c r="AH52" s="135">
        <v>21835528.690000001</v>
      </c>
      <c r="AI52" s="135">
        <v>0</v>
      </c>
      <c r="AJ52" s="139">
        <v>500000</v>
      </c>
      <c r="AO52" s="82">
        <v>340020690</v>
      </c>
      <c r="AP52" s="82">
        <v>16910328</v>
      </c>
      <c r="AQ52" s="135">
        <v>352443</v>
      </c>
      <c r="AR52" s="135">
        <v>121254829</v>
      </c>
      <c r="AS52" s="135">
        <v>27488210</v>
      </c>
      <c r="AT52" s="135">
        <v>439932016</v>
      </c>
      <c r="AU52" s="135">
        <v>114303895</v>
      </c>
      <c r="AV52" s="135">
        <v>162787910</v>
      </c>
      <c r="AW52" s="135">
        <v>187345725</v>
      </c>
      <c r="AX52" s="135">
        <f>5519236</f>
        <v>5519236</v>
      </c>
      <c r="AY52" s="135">
        <v>0</v>
      </c>
      <c r="AZ52" s="135">
        <v>889497</v>
      </c>
      <c r="BA52" s="135">
        <v>6152960</v>
      </c>
      <c r="BB52" s="135">
        <v>2919803</v>
      </c>
      <c r="BC52" s="135">
        <v>1249361</v>
      </c>
      <c r="BH52" s="82">
        <v>25434894.890000001</v>
      </c>
      <c r="BI52" s="82">
        <v>12717447.449999999</v>
      </c>
      <c r="BJ52" s="117">
        <v>89735751.295336783</v>
      </c>
      <c r="BK52" s="118">
        <v>3136334</v>
      </c>
      <c r="BL52" s="118">
        <v>6272667</v>
      </c>
      <c r="BM52" s="117">
        <v>38255980</v>
      </c>
      <c r="BN52" s="117">
        <v>38255980</v>
      </c>
      <c r="BO52" s="117">
        <v>113146225</v>
      </c>
      <c r="BP52" s="117">
        <v>109394058</v>
      </c>
      <c r="BQ52" s="117">
        <v>0</v>
      </c>
      <c r="BR52" s="117">
        <v>0</v>
      </c>
      <c r="BS52" s="138"/>
      <c r="BT52" s="86">
        <v>3116804544.1399999</v>
      </c>
      <c r="BU52" s="86">
        <v>2596369706.6900001</v>
      </c>
      <c r="BV52" s="87">
        <v>3909417</v>
      </c>
      <c r="BX52" s="135">
        <v>16775</v>
      </c>
      <c r="BY52" s="135">
        <v>2926</v>
      </c>
      <c r="BZ52" s="135">
        <v>1479</v>
      </c>
      <c r="CA52" s="135">
        <f>SUM(BX52:BZ52)</f>
        <v>21180</v>
      </c>
      <c r="CB52" s="86">
        <v>2310987244</v>
      </c>
      <c r="CC52" s="82">
        <f t="shared" si="5"/>
        <v>340020690</v>
      </c>
      <c r="CD52" s="82">
        <f t="shared" si="5"/>
        <v>16910328</v>
      </c>
      <c r="CE52" s="86">
        <f t="shared" si="1"/>
        <v>450392659</v>
      </c>
      <c r="CF52" s="86">
        <f t="shared" si="2"/>
        <v>3118310921</v>
      </c>
    </row>
    <row r="53" spans="1:84" x14ac:dyDescent="0.25">
      <c r="A53" s="91" t="s">
        <v>107</v>
      </c>
      <c r="B53" s="135">
        <v>487084300</v>
      </c>
      <c r="C53" s="135">
        <v>242143000</v>
      </c>
      <c r="D53" s="135">
        <v>94863700</v>
      </c>
      <c r="E53" s="135">
        <v>0</v>
      </c>
      <c r="F53" s="135">
        <v>43625900</v>
      </c>
      <c r="G53" s="135">
        <v>4843700</v>
      </c>
      <c r="H53" s="135">
        <v>15367600</v>
      </c>
      <c r="I53" s="135">
        <v>955200</v>
      </c>
      <c r="J53" s="135">
        <v>78600</v>
      </c>
      <c r="K53" s="135">
        <v>0</v>
      </c>
      <c r="L53" s="135">
        <v>414472189</v>
      </c>
      <c r="M53" s="135">
        <v>172654300</v>
      </c>
      <c r="N53" s="135">
        <v>1526</v>
      </c>
      <c r="O53" s="135">
        <v>150</v>
      </c>
      <c r="P53" s="135">
        <v>8766600</v>
      </c>
      <c r="Q53" s="135">
        <v>10251700</v>
      </c>
      <c r="R53" s="135">
        <v>9160800</v>
      </c>
      <c r="S53" s="135">
        <v>5779900</v>
      </c>
      <c r="T53" s="135">
        <v>3282600</v>
      </c>
      <c r="U53" s="135">
        <v>593200</v>
      </c>
      <c r="V53" s="135">
        <v>8766600</v>
      </c>
      <c r="W53" s="135">
        <v>10795000</v>
      </c>
      <c r="X53" s="135">
        <v>9160800</v>
      </c>
      <c r="Y53" s="135">
        <v>5779900</v>
      </c>
      <c r="Z53" s="135">
        <v>5524300</v>
      </c>
      <c r="AA53" s="135">
        <v>593200</v>
      </c>
      <c r="AB53" s="135">
        <v>-3157100</v>
      </c>
      <c r="AC53" s="135">
        <v>0</v>
      </c>
      <c r="AD53" s="135">
        <v>37092</v>
      </c>
      <c r="AE53" s="135">
        <v>36275</v>
      </c>
      <c r="AF53" s="135">
        <v>201131300</v>
      </c>
      <c r="AG53" s="135">
        <v>167485</v>
      </c>
      <c r="AH53" s="135">
        <v>0</v>
      </c>
      <c r="AI53" s="135">
        <v>355197</v>
      </c>
      <c r="AJ53" s="139"/>
      <c r="AO53" s="82">
        <v>122919997</v>
      </c>
      <c r="AP53" s="82">
        <v>3307292</v>
      </c>
      <c r="AQ53" s="135">
        <v>0</v>
      </c>
      <c r="AR53" s="135">
        <v>18215414</v>
      </c>
      <c r="AS53" s="135">
        <v>2036476</v>
      </c>
      <c r="AT53" s="135">
        <v>25401530</v>
      </c>
      <c r="AU53" s="135">
        <v>15983649</v>
      </c>
      <c r="AV53" s="135">
        <v>31647655</v>
      </c>
      <c r="AW53" s="135">
        <v>9097512</v>
      </c>
      <c r="AX53" s="135">
        <v>1422488</v>
      </c>
      <c r="AY53" s="135">
        <v>0</v>
      </c>
      <c r="AZ53" s="135">
        <v>0</v>
      </c>
      <c r="BA53" s="135">
        <v>23863</v>
      </c>
      <c r="BB53" s="135">
        <v>8765</v>
      </c>
      <c r="BC53" s="135">
        <v>109000</v>
      </c>
      <c r="BH53" s="82">
        <v>9194902.8300000001</v>
      </c>
      <c r="BI53" s="82">
        <v>4597451.42</v>
      </c>
      <c r="BJ53" s="117">
        <v>5898963.7305699484</v>
      </c>
      <c r="BK53" s="118">
        <v>1093307</v>
      </c>
      <c r="BL53" s="118">
        <v>2186614</v>
      </c>
      <c r="BM53" s="117">
        <v>8904104</v>
      </c>
      <c r="BN53" s="117">
        <v>8904104</v>
      </c>
      <c r="BO53" s="117">
        <v>49241497</v>
      </c>
      <c r="BP53" s="117">
        <v>47578585</v>
      </c>
      <c r="BQ53" s="117">
        <v>0</v>
      </c>
      <c r="BR53" s="117">
        <v>0</v>
      </c>
      <c r="BS53" s="138"/>
      <c r="BT53" s="86">
        <v>1049082472.42</v>
      </c>
      <c r="BU53" s="86">
        <v>860681736</v>
      </c>
      <c r="BV53" s="87">
        <v>436200</v>
      </c>
      <c r="BX53" s="135">
        <v>5674</v>
      </c>
      <c r="BY53" s="135">
        <v>2825</v>
      </c>
      <c r="BZ53" s="135">
        <v>373</v>
      </c>
      <c r="CA53" s="135">
        <f>SUM(BX53:BZ53)</f>
        <v>8872</v>
      </c>
      <c r="CB53" s="86">
        <v>824091000</v>
      </c>
      <c r="CC53" s="82">
        <f t="shared" si="5"/>
        <v>122919997</v>
      </c>
      <c r="CD53" s="82">
        <f t="shared" si="5"/>
        <v>3307292</v>
      </c>
      <c r="CE53" s="86">
        <f t="shared" si="1"/>
        <v>45333051</v>
      </c>
      <c r="CF53" s="86">
        <f t="shared" si="2"/>
        <v>995651340</v>
      </c>
    </row>
    <row r="54" spans="1:84" x14ac:dyDescent="0.25">
      <c r="A54" s="91" t="s">
        <v>108</v>
      </c>
      <c r="B54" s="135">
        <v>74466700</v>
      </c>
      <c r="C54" s="135">
        <v>123902956</v>
      </c>
      <c r="D54" s="135">
        <v>22610485</v>
      </c>
      <c r="E54" s="135">
        <v>0</v>
      </c>
      <c r="F54" s="135">
        <v>15989725</v>
      </c>
      <c r="G54" s="135">
        <v>3534800</v>
      </c>
      <c r="H54" s="135">
        <v>6224463</v>
      </c>
      <c r="I54" s="135">
        <v>331600</v>
      </c>
      <c r="J54" s="135">
        <v>0</v>
      </c>
      <c r="K54" s="135">
        <v>0</v>
      </c>
      <c r="L54" s="135">
        <v>445585954</v>
      </c>
      <c r="M54" s="135">
        <v>31606514</v>
      </c>
      <c r="N54" s="135">
        <v>630</v>
      </c>
      <c r="O54" s="135">
        <v>120</v>
      </c>
      <c r="P54" s="135">
        <v>790325</v>
      </c>
      <c r="Q54" s="135">
        <v>2180979</v>
      </c>
      <c r="R54" s="135">
        <v>14000</v>
      </c>
      <c r="S54" s="135">
        <v>820736</v>
      </c>
      <c r="T54" s="135">
        <v>283589</v>
      </c>
      <c r="U54" s="135">
        <v>22250</v>
      </c>
      <c r="V54" s="135">
        <v>790325</v>
      </c>
      <c r="W54" s="135">
        <v>3297010</v>
      </c>
      <c r="X54" s="135">
        <v>14000</v>
      </c>
      <c r="Y54" s="135">
        <v>820736</v>
      </c>
      <c r="Z54" s="135">
        <v>931970</v>
      </c>
      <c r="AA54" s="135">
        <v>22250</v>
      </c>
      <c r="AB54" s="135">
        <v>-1679512</v>
      </c>
      <c r="AC54" s="135">
        <v>0</v>
      </c>
      <c r="AD54" s="135">
        <v>15128</v>
      </c>
      <c r="AE54" s="135">
        <v>216</v>
      </c>
      <c r="AF54" s="135">
        <v>122673735</v>
      </c>
      <c r="AG54" s="135">
        <v>144904</v>
      </c>
      <c r="AH54" s="135">
        <v>0</v>
      </c>
      <c r="AI54" s="135">
        <v>8398</v>
      </c>
      <c r="AJ54" s="139">
        <v>0</v>
      </c>
      <c r="AO54" s="82">
        <v>40170867</v>
      </c>
      <c r="AP54" s="82">
        <v>1043860</v>
      </c>
      <c r="AQ54" s="135">
        <v>0</v>
      </c>
      <c r="AR54" s="135">
        <v>12422253</v>
      </c>
      <c r="AS54" s="135">
        <v>19091</v>
      </c>
      <c r="AT54" s="135">
        <v>36735</v>
      </c>
      <c r="AU54" s="135">
        <v>11606434</v>
      </c>
      <c r="AV54" s="135">
        <v>3491125</v>
      </c>
      <c r="AW54" s="135">
        <v>927740</v>
      </c>
      <c r="AX54" s="135">
        <v>2573486</v>
      </c>
      <c r="AY54" s="135">
        <v>0</v>
      </c>
      <c r="AZ54" s="135">
        <v>167013</v>
      </c>
      <c r="BA54" s="135">
        <v>5204041</v>
      </c>
      <c r="BB54" s="135">
        <v>0</v>
      </c>
      <c r="BC54" s="135">
        <v>0</v>
      </c>
      <c r="BH54" s="82">
        <v>3004940.02</v>
      </c>
      <c r="BI54" s="82">
        <v>1502470.01</v>
      </c>
      <c r="BJ54" s="117">
        <v>11559585.492227979</v>
      </c>
      <c r="BK54" s="118">
        <v>1742003</v>
      </c>
      <c r="BL54" s="118">
        <v>3484005</v>
      </c>
      <c r="BM54" s="117">
        <v>39552844</v>
      </c>
      <c r="BN54" s="117">
        <v>39552844</v>
      </c>
      <c r="BO54" s="117">
        <v>69558532</v>
      </c>
      <c r="BP54" s="117">
        <v>46788006</v>
      </c>
      <c r="BQ54" s="117">
        <v>0</v>
      </c>
      <c r="BR54" s="117">
        <v>0</v>
      </c>
      <c r="BS54" s="138"/>
      <c r="BT54" s="86">
        <v>375836367.00999999</v>
      </c>
      <c r="BU54" s="86">
        <v>245036317</v>
      </c>
      <c r="BV54" s="87">
        <v>316000</v>
      </c>
      <c r="BX54" s="135">
        <v>2300</v>
      </c>
      <c r="BY54" s="135">
        <v>1942</v>
      </c>
      <c r="BZ54" s="135">
        <v>187</v>
      </c>
      <c r="CA54" s="135">
        <f t="shared" ref="CA54:CA91" si="8">SUM(BX54:BZ54)</f>
        <v>4429</v>
      </c>
      <c r="CB54" s="86">
        <v>220980141</v>
      </c>
      <c r="CC54" s="82">
        <f t="shared" si="5"/>
        <v>40170867</v>
      </c>
      <c r="CD54" s="82">
        <f t="shared" si="5"/>
        <v>1043860</v>
      </c>
      <c r="CE54" s="86">
        <f t="shared" si="1"/>
        <v>24975518</v>
      </c>
      <c r="CF54" s="86">
        <f t="shared" si="2"/>
        <v>287170386</v>
      </c>
    </row>
    <row r="55" spans="1:84" x14ac:dyDescent="0.25">
      <c r="A55" s="91" t="s">
        <v>109</v>
      </c>
      <c r="B55" s="135">
        <v>1284428366</v>
      </c>
      <c r="C55" s="135">
        <v>291763283</v>
      </c>
      <c r="D55" s="135">
        <v>487143236</v>
      </c>
      <c r="E55" s="135">
        <v>12750000</v>
      </c>
      <c r="F55" s="135">
        <v>133045419</v>
      </c>
      <c r="G55" s="135">
        <v>40460450</v>
      </c>
      <c r="H55" s="135">
        <v>17265800</v>
      </c>
      <c r="I55" s="135">
        <v>4241340</v>
      </c>
      <c r="J55" s="135">
        <v>91800</v>
      </c>
      <c r="K55" s="135">
        <v>74800</v>
      </c>
      <c r="L55" s="135">
        <v>328921364</v>
      </c>
      <c r="M55" s="135">
        <v>177079304</v>
      </c>
      <c r="N55" s="135">
        <v>4058</v>
      </c>
      <c r="O55" s="135">
        <v>1323</v>
      </c>
      <c r="P55" s="135">
        <v>42416900</v>
      </c>
      <c r="Q55" s="135">
        <v>9676280</v>
      </c>
      <c r="R55" s="135">
        <v>17090400</v>
      </c>
      <c r="S55" s="135">
        <v>11823622</v>
      </c>
      <c r="T55" s="135">
        <v>4936005</v>
      </c>
      <c r="U55" s="135">
        <v>25638459</v>
      </c>
      <c r="V55" s="135">
        <v>42416900</v>
      </c>
      <c r="W55" s="135">
        <v>14633705</v>
      </c>
      <c r="X55" s="135">
        <v>17090400</v>
      </c>
      <c r="Y55" s="135">
        <v>11823622</v>
      </c>
      <c r="Z55" s="135">
        <v>10007455</v>
      </c>
      <c r="AA55" s="135">
        <v>25638459</v>
      </c>
      <c r="AB55" s="135">
        <v>-3290050</v>
      </c>
      <c r="AC55" s="135">
        <v>-27548869</v>
      </c>
      <c r="AD55" s="135">
        <v>87406</v>
      </c>
      <c r="AE55" s="135">
        <v>37952</v>
      </c>
      <c r="AF55" s="135">
        <v>17377790</v>
      </c>
      <c r="AG55" s="135">
        <v>324484</v>
      </c>
      <c r="AH55" s="135">
        <v>3784016.39</v>
      </c>
      <c r="AI55" s="135">
        <v>379803.27868852462</v>
      </c>
      <c r="AJ55" s="139">
        <v>13500000</v>
      </c>
      <c r="AO55" s="82">
        <v>341488147</v>
      </c>
      <c r="AP55" s="82">
        <v>11571778</v>
      </c>
      <c r="AQ55" s="135">
        <v>0</v>
      </c>
      <c r="AR55" s="135">
        <v>213447832</v>
      </c>
      <c r="AS55" s="135">
        <v>9703023</v>
      </c>
      <c r="AT55" s="135">
        <v>188381770</v>
      </c>
      <c r="AU55" s="135">
        <v>115389828</v>
      </c>
      <c r="AV55" s="135">
        <v>94722147</v>
      </c>
      <c r="AW55" s="135">
        <v>290878779</v>
      </c>
      <c r="AX55" s="135">
        <v>7867828</v>
      </c>
      <c r="AY55" s="135">
        <v>0</v>
      </c>
      <c r="AZ55" s="135">
        <v>1209978</v>
      </c>
      <c r="BA55" s="135">
        <v>5014549</v>
      </c>
      <c r="BB55" s="135">
        <v>71125</v>
      </c>
      <c r="BC55" s="135">
        <v>4252223</v>
      </c>
      <c r="BH55" s="82">
        <v>25544666.489999998</v>
      </c>
      <c r="BI55" s="82">
        <v>12772333.25</v>
      </c>
      <c r="BJ55" s="117">
        <v>1310880.8290155442</v>
      </c>
      <c r="BK55" s="118">
        <v>11197651</v>
      </c>
      <c r="BL55" s="118">
        <v>22395302</v>
      </c>
      <c r="BM55" s="117">
        <v>104620369</v>
      </c>
      <c r="BN55" s="117">
        <v>100463868</v>
      </c>
      <c r="BO55" s="117">
        <v>207998970</v>
      </c>
      <c r="BP55" s="117">
        <v>194123723</v>
      </c>
      <c r="BQ55" s="117">
        <v>0</v>
      </c>
      <c r="BR55" s="117">
        <v>0</v>
      </c>
      <c r="BS55" s="138"/>
      <c r="BT55" s="86">
        <v>3091156887.9186888</v>
      </c>
      <c r="BU55" s="86">
        <v>2419539387.6686888</v>
      </c>
      <c r="BV55" s="87">
        <v>5641116</v>
      </c>
      <c r="BX55" s="135">
        <v>22714</v>
      </c>
      <c r="BY55" s="135">
        <v>4778</v>
      </c>
      <c r="BZ55" s="135">
        <v>1968</v>
      </c>
      <c r="CA55" s="135">
        <f t="shared" si="8"/>
        <v>29460</v>
      </c>
      <c r="CB55" s="86">
        <v>2063334885</v>
      </c>
      <c r="CC55" s="82">
        <f t="shared" si="5"/>
        <v>341488147</v>
      </c>
      <c r="CD55" s="82">
        <f t="shared" si="5"/>
        <v>11571778</v>
      </c>
      <c r="CE55" s="86">
        <f t="shared" si="1"/>
        <v>629419462</v>
      </c>
      <c r="CF55" s="86">
        <f t="shared" si="2"/>
        <v>3045814272</v>
      </c>
    </row>
    <row r="56" spans="1:84" x14ac:dyDescent="0.25">
      <c r="A56" s="91" t="s">
        <v>110</v>
      </c>
      <c r="B56" s="135">
        <v>147901941</v>
      </c>
      <c r="C56" s="135">
        <v>77575025</v>
      </c>
      <c r="D56" s="135">
        <v>42423000</v>
      </c>
      <c r="E56" s="135">
        <v>0</v>
      </c>
      <c r="F56" s="135">
        <v>25387500</v>
      </c>
      <c r="G56" s="135">
        <v>20423225</v>
      </c>
      <c r="H56" s="135">
        <v>13697850</v>
      </c>
      <c r="I56" s="135">
        <v>5613600</v>
      </c>
      <c r="J56" s="135">
        <v>108600</v>
      </c>
      <c r="K56" s="135">
        <v>39300</v>
      </c>
      <c r="L56" s="135">
        <v>121006425</v>
      </c>
      <c r="M56" s="135">
        <v>69601440</v>
      </c>
      <c r="N56" s="135">
        <v>1194</v>
      </c>
      <c r="O56" s="135">
        <v>858</v>
      </c>
      <c r="P56" s="135">
        <v>3450900</v>
      </c>
      <c r="Q56" s="135">
        <v>1106700</v>
      </c>
      <c r="R56" s="135">
        <v>32000</v>
      </c>
      <c r="S56" s="135">
        <v>1519425</v>
      </c>
      <c r="T56" s="135">
        <v>430100</v>
      </c>
      <c r="U56" s="135">
        <v>367500</v>
      </c>
      <c r="V56" s="135">
        <v>3450900</v>
      </c>
      <c r="W56" s="135">
        <v>1909200</v>
      </c>
      <c r="X56" s="135">
        <v>32000</v>
      </c>
      <c r="Y56" s="135">
        <v>1519425</v>
      </c>
      <c r="Z56" s="135">
        <v>770100</v>
      </c>
      <c r="AA56" s="135">
        <v>367500</v>
      </c>
      <c r="AB56" s="135">
        <v>-1787100</v>
      </c>
      <c r="AC56" s="135">
        <v>-40265</v>
      </c>
      <c r="AD56" s="135">
        <v>74747</v>
      </c>
      <c r="AE56" s="135">
        <v>3088</v>
      </c>
      <c r="AF56" s="135">
        <v>3650976</v>
      </c>
      <c r="AG56" s="135">
        <v>141792</v>
      </c>
      <c r="AH56" s="135">
        <v>0</v>
      </c>
      <c r="AI56" s="135">
        <v>292717</v>
      </c>
      <c r="AJ56" s="139"/>
      <c r="AO56" s="82">
        <v>76166586</v>
      </c>
      <c r="AP56" s="82">
        <v>1541062</v>
      </c>
      <c r="AQ56" s="135">
        <v>0</v>
      </c>
      <c r="AR56" s="135">
        <v>5123124</v>
      </c>
      <c r="AS56" s="135">
        <v>142212</v>
      </c>
      <c r="AT56" s="135">
        <v>8189618</v>
      </c>
      <c r="AU56" s="135">
        <v>6589981</v>
      </c>
      <c r="AV56" s="135">
        <v>575960</v>
      </c>
      <c r="AW56" s="135">
        <v>0</v>
      </c>
      <c r="AX56" s="135">
        <v>585703</v>
      </c>
      <c r="AY56" s="135">
        <v>0</v>
      </c>
      <c r="AZ56" s="135">
        <v>0</v>
      </c>
      <c r="BA56" s="135">
        <v>0</v>
      </c>
      <c r="BB56" s="135">
        <v>0</v>
      </c>
      <c r="BC56" s="135">
        <v>0</v>
      </c>
      <c r="BH56" s="82">
        <v>5697562.4299999997</v>
      </c>
      <c r="BI56" s="82">
        <v>2848781.22</v>
      </c>
      <c r="BJ56" s="117">
        <v>0</v>
      </c>
      <c r="BK56" s="118">
        <v>0</v>
      </c>
      <c r="BL56" s="118">
        <v>0</v>
      </c>
      <c r="BM56" s="117">
        <v>5770375</v>
      </c>
      <c r="BN56" s="117">
        <v>5770375</v>
      </c>
      <c r="BO56" s="117">
        <v>51258254</v>
      </c>
      <c r="BP56" s="117">
        <v>51240968</v>
      </c>
      <c r="BQ56" s="117">
        <v>0</v>
      </c>
      <c r="BR56" s="117">
        <v>0</v>
      </c>
      <c r="BS56" s="138"/>
      <c r="BT56" s="86">
        <v>417615772.22000003</v>
      </c>
      <c r="BU56" s="86">
        <v>280048000</v>
      </c>
      <c r="BV56" s="87">
        <v>3908000</v>
      </c>
      <c r="BX56" s="135">
        <v>5412</v>
      </c>
      <c r="BY56" s="135">
        <v>2793</v>
      </c>
      <c r="BZ56" s="135">
        <v>317</v>
      </c>
      <c r="CA56" s="135">
        <f t="shared" si="8"/>
        <v>8522</v>
      </c>
      <c r="CB56" s="86">
        <v>267899966</v>
      </c>
      <c r="CC56" s="82">
        <f t="shared" si="5"/>
        <v>76166586</v>
      </c>
      <c r="CD56" s="82">
        <f t="shared" si="5"/>
        <v>1541062</v>
      </c>
      <c r="CE56" s="86">
        <f t="shared" si="1"/>
        <v>11855317</v>
      </c>
      <c r="CF56" s="86">
        <f t="shared" si="2"/>
        <v>357462931</v>
      </c>
    </row>
    <row r="57" spans="1:84" x14ac:dyDescent="0.25">
      <c r="A57" s="91" t="s">
        <v>111</v>
      </c>
      <c r="B57" s="135">
        <v>44365228015</v>
      </c>
      <c r="C57" s="135">
        <v>165493610</v>
      </c>
      <c r="D57" s="135">
        <v>22777469753</v>
      </c>
      <c r="E57" s="135">
        <v>305196300</v>
      </c>
      <c r="F57" s="135">
        <v>2368603080</v>
      </c>
      <c r="G57" s="135">
        <v>172576600</v>
      </c>
      <c r="H57" s="135">
        <v>7388400</v>
      </c>
      <c r="I57" s="135">
        <v>196500</v>
      </c>
      <c r="J57" s="135">
        <v>4625790</v>
      </c>
      <c r="K57" s="135">
        <v>189380</v>
      </c>
      <c r="L57" s="135">
        <v>322444330</v>
      </c>
      <c r="M57" s="135">
        <v>495522840</v>
      </c>
      <c r="N57" s="135">
        <v>61254</v>
      </c>
      <c r="O57" s="135">
        <v>4595</v>
      </c>
      <c r="P57" s="135">
        <v>462474611</v>
      </c>
      <c r="Q57" s="135">
        <v>5662170</v>
      </c>
      <c r="R57" s="135">
        <v>630826037</v>
      </c>
      <c r="S57" s="135">
        <v>133396285</v>
      </c>
      <c r="T57" s="135">
        <v>32983420</v>
      </c>
      <c r="U57" s="135">
        <v>145908560</v>
      </c>
      <c r="V57" s="135">
        <v>462474611</v>
      </c>
      <c r="W57" s="135">
        <v>13063920</v>
      </c>
      <c r="X57" s="135">
        <v>630826037</v>
      </c>
      <c r="Y57" s="135">
        <v>133396285</v>
      </c>
      <c r="Z57" s="135">
        <v>65777540</v>
      </c>
      <c r="AA57" s="135">
        <v>145908560</v>
      </c>
      <c r="AB57" s="135">
        <v>-35419978</v>
      </c>
      <c r="AC57" s="135">
        <v>-350558498</v>
      </c>
      <c r="AD57" s="135">
        <v>0</v>
      </c>
      <c r="AE57" s="135">
        <v>0</v>
      </c>
      <c r="AF57" s="135">
        <v>0</v>
      </c>
      <c r="AG57" s="135">
        <v>0</v>
      </c>
      <c r="AH57" s="135">
        <v>0</v>
      </c>
      <c r="AI57" s="135">
        <v>260828</v>
      </c>
      <c r="AJ57" s="139"/>
      <c r="AO57" s="82">
        <v>5724205515</v>
      </c>
      <c r="AP57" s="82">
        <v>98644813</v>
      </c>
      <c r="AQ57" s="135">
        <v>3416878</v>
      </c>
      <c r="AR57" s="135">
        <v>2778796471</v>
      </c>
      <c r="AS57" s="135">
        <v>158247154</v>
      </c>
      <c r="AT57" s="135">
        <v>4128836973</v>
      </c>
      <c r="AU57" s="135">
        <v>2073155130</v>
      </c>
      <c r="AV57" s="135">
        <v>1739224843</v>
      </c>
      <c r="AW57" s="135">
        <v>3154617499</v>
      </c>
      <c r="AX57" s="135">
        <f>5185580+1705607749</f>
        <v>1710793329</v>
      </c>
      <c r="AY57" s="135">
        <v>0</v>
      </c>
      <c r="AZ57" s="135">
        <v>129802</v>
      </c>
      <c r="BA57" s="135">
        <v>64486945</v>
      </c>
      <c r="BB57" s="135">
        <v>39761240</v>
      </c>
      <c r="BC57" s="135">
        <v>106703016</v>
      </c>
      <c r="BH57" s="82">
        <v>428193253.81999999</v>
      </c>
      <c r="BI57" s="82">
        <v>214096626.91</v>
      </c>
      <c r="BJ57" s="117">
        <v>44569948.186528496</v>
      </c>
      <c r="BK57" s="118">
        <v>22799826</v>
      </c>
      <c r="BL57" s="118">
        <v>45599651</v>
      </c>
      <c r="BM57" s="117">
        <v>971802226</v>
      </c>
      <c r="BN57" s="117">
        <v>968059406</v>
      </c>
      <c r="BO57" s="117">
        <v>1788652979</v>
      </c>
      <c r="BP57" s="117">
        <v>1650177983</v>
      </c>
      <c r="BQ57" s="117">
        <v>259276546</v>
      </c>
      <c r="BR57" s="117">
        <v>0</v>
      </c>
      <c r="BS57" s="138"/>
      <c r="BT57" s="86">
        <v>81255911676.910004</v>
      </c>
      <c r="BU57" s="86">
        <v>72318650961</v>
      </c>
      <c r="BV57" s="87">
        <v>117437720</v>
      </c>
      <c r="BX57" s="135">
        <v>270447</v>
      </c>
      <c r="BY57" s="135">
        <v>1212</v>
      </c>
      <c r="BZ57" s="135">
        <v>23281</v>
      </c>
      <c r="CA57" s="135">
        <f t="shared" si="8"/>
        <v>294940</v>
      </c>
      <c r="CB57" s="86">
        <v>67308191378</v>
      </c>
      <c r="CC57" s="82">
        <f t="shared" si="5"/>
        <v>5724205515</v>
      </c>
      <c r="CD57" s="82">
        <f t="shared" si="5"/>
        <v>98644813</v>
      </c>
      <c r="CE57" s="86">
        <f t="shared" si="1"/>
        <v>8164816254</v>
      </c>
      <c r="CF57" s="86">
        <f t="shared" si="2"/>
        <v>81295857960</v>
      </c>
    </row>
    <row r="58" spans="1:84" x14ac:dyDescent="0.25">
      <c r="A58" s="91" t="s">
        <v>112</v>
      </c>
      <c r="B58" s="135">
        <v>3135013015</v>
      </c>
      <c r="C58" s="135">
        <v>282733968</v>
      </c>
      <c r="D58" s="135">
        <v>784604887</v>
      </c>
      <c r="E58" s="135">
        <v>0</v>
      </c>
      <c r="F58" s="135">
        <v>135455802</v>
      </c>
      <c r="G58" s="135">
        <v>14970715</v>
      </c>
      <c r="H58" s="135">
        <v>12314623</v>
      </c>
      <c r="I58" s="135">
        <v>1073245</v>
      </c>
      <c r="J58" s="135">
        <v>157200</v>
      </c>
      <c r="K58" s="135">
        <v>0</v>
      </c>
      <c r="L58" s="135">
        <v>547294151</v>
      </c>
      <c r="M58" s="135">
        <v>211186570</v>
      </c>
      <c r="N58" s="135">
        <v>3803</v>
      </c>
      <c r="O58" s="135">
        <v>422</v>
      </c>
      <c r="P58" s="135">
        <v>77498197</v>
      </c>
      <c r="Q58" s="135">
        <v>3080589</v>
      </c>
      <c r="R58" s="135">
        <v>23004800</v>
      </c>
      <c r="S58" s="135">
        <v>5973321</v>
      </c>
      <c r="T58" s="135">
        <v>3351656</v>
      </c>
      <c r="U58" s="135">
        <v>12323983</v>
      </c>
      <c r="V58" s="135">
        <v>77498197</v>
      </c>
      <c r="W58" s="135">
        <v>7876968</v>
      </c>
      <c r="X58" s="135">
        <v>23004800</v>
      </c>
      <c r="Y58" s="135">
        <v>5973321</v>
      </c>
      <c r="Z58" s="135">
        <v>14661401</v>
      </c>
      <c r="AA58" s="135">
        <v>12323983</v>
      </c>
      <c r="AB58" s="135">
        <v>-7091987</v>
      </c>
      <c r="AC58" s="135">
        <v>0</v>
      </c>
      <c r="AD58" s="135">
        <v>0</v>
      </c>
      <c r="AE58" s="135">
        <v>0</v>
      </c>
      <c r="AF58" s="135">
        <v>0</v>
      </c>
      <c r="AG58" s="135">
        <v>82869.263900000005</v>
      </c>
      <c r="AH58" s="135">
        <v>0</v>
      </c>
      <c r="AI58" s="135">
        <v>502242</v>
      </c>
      <c r="AJ58" s="139"/>
      <c r="AO58" s="82">
        <v>410822955</v>
      </c>
      <c r="AP58" s="82">
        <v>14503690</v>
      </c>
      <c r="AQ58" s="135">
        <v>0</v>
      </c>
      <c r="AR58" s="135">
        <v>115566865</v>
      </c>
      <c r="AS58" s="135">
        <v>1997225</v>
      </c>
      <c r="AT58" s="135">
        <v>113399296</v>
      </c>
      <c r="AU58" s="135">
        <v>107861721</v>
      </c>
      <c r="AV58" s="135">
        <v>104578383</v>
      </c>
      <c r="AW58" s="135">
        <v>50296544</v>
      </c>
      <c r="AX58" s="135">
        <f>6540122+4375</f>
        <v>6544497</v>
      </c>
      <c r="AY58" s="135">
        <v>0</v>
      </c>
      <c r="AZ58" s="135">
        <v>70000</v>
      </c>
      <c r="BA58" s="135">
        <v>0</v>
      </c>
      <c r="BB58" s="135">
        <v>39350</v>
      </c>
      <c r="BC58" s="135">
        <v>11561800</v>
      </c>
      <c r="BH58" s="82">
        <v>30731184.859999999</v>
      </c>
      <c r="BI58" s="82">
        <v>15365592.43</v>
      </c>
      <c r="BJ58" s="117">
        <v>0</v>
      </c>
      <c r="BK58" s="118">
        <v>1753665</v>
      </c>
      <c r="BL58" s="118">
        <v>3507329</v>
      </c>
      <c r="BM58" s="117">
        <v>47022463</v>
      </c>
      <c r="BN58" s="117">
        <v>47022463</v>
      </c>
      <c r="BO58" s="117">
        <v>66629012</v>
      </c>
      <c r="BP58" s="117">
        <v>62602118</v>
      </c>
      <c r="BQ58" s="117">
        <v>36070263</v>
      </c>
      <c r="BR58" s="117">
        <v>0</v>
      </c>
      <c r="BS58" s="138"/>
      <c r="BT58" s="86">
        <v>5016420669.4300003</v>
      </c>
      <c r="BU58" s="86">
        <v>4428279923</v>
      </c>
      <c r="BV58" s="87">
        <v>2032350</v>
      </c>
      <c r="BX58" s="135">
        <v>17852</v>
      </c>
      <c r="BY58" s="135">
        <v>1991</v>
      </c>
      <c r="BZ58" s="135">
        <v>1096</v>
      </c>
      <c r="CA58" s="135">
        <f t="shared" si="8"/>
        <v>20939</v>
      </c>
      <c r="CB58" s="86">
        <v>4202351870</v>
      </c>
      <c r="CC58" s="82">
        <f t="shared" si="5"/>
        <v>410822955</v>
      </c>
      <c r="CD58" s="82">
        <f t="shared" si="5"/>
        <v>14503690</v>
      </c>
      <c r="CE58" s="86">
        <f t="shared" si="1"/>
        <v>275722355</v>
      </c>
      <c r="CF58" s="86">
        <f t="shared" si="2"/>
        <v>4903400870</v>
      </c>
    </row>
    <row r="59" spans="1:84" x14ac:dyDescent="0.25">
      <c r="A59" s="91" t="s">
        <v>113</v>
      </c>
      <c r="B59" s="135">
        <v>445442262</v>
      </c>
      <c r="C59" s="135">
        <v>101534027</v>
      </c>
      <c r="D59" s="135">
        <v>194274770</v>
      </c>
      <c r="E59" s="135">
        <v>0</v>
      </c>
      <c r="F59" s="135">
        <v>65071555</v>
      </c>
      <c r="G59" s="135">
        <v>26976700</v>
      </c>
      <c r="H59" s="135">
        <v>19690462</v>
      </c>
      <c r="I59" s="135">
        <v>6610906</v>
      </c>
      <c r="J59" s="135">
        <v>0</v>
      </c>
      <c r="K59" s="135">
        <v>39300</v>
      </c>
      <c r="L59" s="135">
        <v>110257496</v>
      </c>
      <c r="M59" s="135">
        <v>99007710</v>
      </c>
      <c r="N59" s="135">
        <v>2418</v>
      </c>
      <c r="O59" s="135">
        <v>1083</v>
      </c>
      <c r="P59" s="135">
        <v>1105900</v>
      </c>
      <c r="Q59" s="135">
        <v>210000</v>
      </c>
      <c r="R59" s="135">
        <v>0</v>
      </c>
      <c r="S59" s="135">
        <v>1336733</v>
      </c>
      <c r="T59" s="135">
        <v>423625</v>
      </c>
      <c r="U59" s="135">
        <v>480800</v>
      </c>
      <c r="V59" s="135">
        <v>1105900</v>
      </c>
      <c r="W59" s="135">
        <v>210000</v>
      </c>
      <c r="X59" s="135">
        <v>0</v>
      </c>
      <c r="Y59" s="135">
        <v>1336733</v>
      </c>
      <c r="Z59" s="135">
        <v>224875</v>
      </c>
      <c r="AA59" s="135">
        <v>480800</v>
      </c>
      <c r="AB59" s="135">
        <v>-5980385</v>
      </c>
      <c r="AC59" s="135">
        <v>-30824</v>
      </c>
      <c r="AD59" s="135">
        <v>163728</v>
      </c>
      <c r="AE59" s="135">
        <v>2</v>
      </c>
      <c r="AF59" s="135">
        <v>0</v>
      </c>
      <c r="AG59" s="135">
        <v>171345</v>
      </c>
      <c r="AH59" s="135">
        <v>1514204.92</v>
      </c>
      <c r="AI59" s="135">
        <v>6191483.6065573767</v>
      </c>
      <c r="AJ59" s="139">
        <v>1000000</v>
      </c>
      <c r="AO59" s="82">
        <v>152635455</v>
      </c>
      <c r="AP59" s="82">
        <v>4980882</v>
      </c>
      <c r="AQ59" s="135">
        <v>650000</v>
      </c>
      <c r="AR59" s="135">
        <v>41754944</v>
      </c>
      <c r="AS59" s="135">
        <v>1105259</v>
      </c>
      <c r="AT59" s="135">
        <v>2634947</v>
      </c>
      <c r="AU59" s="135">
        <v>26393304</v>
      </c>
      <c r="AV59" s="135">
        <v>16564115</v>
      </c>
      <c r="AW59" s="135">
        <v>1117390</v>
      </c>
      <c r="AX59" s="135">
        <v>0</v>
      </c>
      <c r="AY59" s="135">
        <v>0</v>
      </c>
      <c r="AZ59" s="135">
        <v>0</v>
      </c>
      <c r="BA59" s="135">
        <v>0</v>
      </c>
      <c r="BB59" s="135">
        <v>25565</v>
      </c>
      <c r="BC59" s="135">
        <v>0</v>
      </c>
      <c r="BH59" s="82">
        <v>11417736.83</v>
      </c>
      <c r="BI59" s="82">
        <v>5708868.4199999999</v>
      </c>
      <c r="BJ59" s="117">
        <v>0</v>
      </c>
      <c r="BK59" s="118">
        <v>2962133</v>
      </c>
      <c r="BL59" s="118">
        <v>5924267</v>
      </c>
      <c r="BM59" s="117">
        <v>62298767</v>
      </c>
      <c r="BN59" s="117">
        <v>62298767</v>
      </c>
      <c r="BO59" s="117">
        <v>89628904</v>
      </c>
      <c r="BP59" s="117">
        <v>87525782</v>
      </c>
      <c r="BQ59" s="117">
        <v>0</v>
      </c>
      <c r="BR59" s="117">
        <v>0</v>
      </c>
      <c r="BS59" s="138"/>
      <c r="BT59" s="86">
        <v>1135322141.9465573</v>
      </c>
      <c r="BU59" s="86">
        <v>819210254.52655733</v>
      </c>
      <c r="BV59" s="87">
        <v>9393195</v>
      </c>
      <c r="BX59" s="135">
        <v>9939</v>
      </c>
      <c r="BY59" s="135">
        <v>3158</v>
      </c>
      <c r="BZ59" s="135">
        <v>714</v>
      </c>
      <c r="CA59" s="135">
        <f t="shared" si="8"/>
        <v>13811</v>
      </c>
      <c r="CB59" s="86">
        <v>741251059</v>
      </c>
      <c r="CC59" s="82">
        <f t="shared" si="5"/>
        <v>152635455</v>
      </c>
      <c r="CD59" s="82">
        <f t="shared" si="5"/>
        <v>4980882</v>
      </c>
      <c r="CE59" s="86">
        <f t="shared" si="1"/>
        <v>70370897</v>
      </c>
      <c r="CF59" s="86">
        <f t="shared" si="2"/>
        <v>969238293</v>
      </c>
    </row>
    <row r="60" spans="1:84" x14ac:dyDescent="0.25">
      <c r="A60" s="91" t="s">
        <v>114</v>
      </c>
      <c r="B60" s="135">
        <v>8589881075</v>
      </c>
      <c r="C60" s="135">
        <v>124167000</v>
      </c>
      <c r="D60" s="135">
        <v>2847314504</v>
      </c>
      <c r="E60" s="135">
        <v>2460100</v>
      </c>
      <c r="F60" s="135">
        <v>467212850</v>
      </c>
      <c r="G60" s="135">
        <v>28878800</v>
      </c>
      <c r="H60" s="135">
        <v>8104300</v>
      </c>
      <c r="I60" s="135">
        <v>405100</v>
      </c>
      <c r="J60" s="135">
        <v>1336200</v>
      </c>
      <c r="K60" s="135">
        <v>39300</v>
      </c>
      <c r="L60" s="135">
        <v>209015200</v>
      </c>
      <c r="M60" s="135">
        <v>333182200</v>
      </c>
      <c r="N60" s="135">
        <v>12216</v>
      </c>
      <c r="O60" s="135">
        <v>767</v>
      </c>
      <c r="P60" s="135">
        <v>179239800</v>
      </c>
      <c r="Q60" s="135">
        <v>7223000</v>
      </c>
      <c r="R60" s="135">
        <v>102605500</v>
      </c>
      <c r="S60" s="135">
        <v>26264950</v>
      </c>
      <c r="T60" s="135">
        <v>10506800</v>
      </c>
      <c r="U60" s="135">
        <v>22704530</v>
      </c>
      <c r="V60" s="135">
        <v>179239800</v>
      </c>
      <c r="W60" s="135">
        <v>7223000</v>
      </c>
      <c r="X60" s="135">
        <v>102605500</v>
      </c>
      <c r="Y60" s="135">
        <v>26264950</v>
      </c>
      <c r="Z60" s="135">
        <v>10506800</v>
      </c>
      <c r="AA60" s="135">
        <v>22704530</v>
      </c>
      <c r="AB60" s="135">
        <v>-10046570</v>
      </c>
      <c r="AC60" s="135">
        <v>-1597420</v>
      </c>
      <c r="AD60" s="135">
        <v>69197</v>
      </c>
      <c r="AE60" s="135">
        <v>0</v>
      </c>
      <c r="AF60" s="135">
        <v>0</v>
      </c>
      <c r="AG60" s="135">
        <v>39644</v>
      </c>
      <c r="AH60" s="135">
        <v>0</v>
      </c>
      <c r="AI60" s="135">
        <v>0</v>
      </c>
      <c r="AJ60" s="139"/>
      <c r="AO60" s="82">
        <v>1155304484</v>
      </c>
      <c r="AP60" s="82">
        <v>25566438</v>
      </c>
      <c r="AQ60" s="135">
        <v>0</v>
      </c>
      <c r="AR60" s="135">
        <v>281378655</v>
      </c>
      <c r="AS60" s="135">
        <v>10269753</v>
      </c>
      <c r="AT60" s="135">
        <v>370067027</v>
      </c>
      <c r="AU60" s="135">
        <v>227203328</v>
      </c>
      <c r="AV60" s="135">
        <v>264632017</v>
      </c>
      <c r="AW60" s="135">
        <v>214543955</v>
      </c>
      <c r="AX60" s="135">
        <f>137829+75</f>
        <v>137904</v>
      </c>
      <c r="AY60" s="135">
        <v>0</v>
      </c>
      <c r="AZ60" s="135">
        <v>0</v>
      </c>
      <c r="BA60" s="135">
        <v>66189</v>
      </c>
      <c r="BB60" s="135">
        <v>288940</v>
      </c>
      <c r="BC60" s="135">
        <v>0</v>
      </c>
      <c r="BH60" s="82">
        <v>86421353.120000005</v>
      </c>
      <c r="BI60" s="82">
        <v>43210676.560000002</v>
      </c>
      <c r="BJ60" s="117">
        <v>12751295.336787565</v>
      </c>
      <c r="BK60" s="118">
        <v>14885011</v>
      </c>
      <c r="BL60" s="118">
        <v>29770023</v>
      </c>
      <c r="BM60" s="117">
        <v>175410663</v>
      </c>
      <c r="BN60" s="117">
        <v>175410663</v>
      </c>
      <c r="BO60" s="117">
        <v>301361721</v>
      </c>
      <c r="BP60" s="117">
        <v>290502075</v>
      </c>
      <c r="BQ60" s="117">
        <v>12116</v>
      </c>
      <c r="BR60" s="117">
        <v>0</v>
      </c>
      <c r="BS60" s="138"/>
      <c r="BT60" s="86">
        <v>13785105778.559999</v>
      </c>
      <c r="BU60" s="86">
        <v>12080214315</v>
      </c>
      <c r="BV60" s="87">
        <v>8128500</v>
      </c>
      <c r="BX60" s="135">
        <v>59826</v>
      </c>
      <c r="BY60" s="135">
        <v>1048</v>
      </c>
      <c r="BZ60" s="135">
        <v>4468</v>
      </c>
      <c r="CA60" s="135">
        <f t="shared" si="8"/>
        <v>65342</v>
      </c>
      <c r="CB60" s="86">
        <v>11561362579</v>
      </c>
      <c r="CC60" s="82">
        <f t="shared" si="5"/>
        <v>1155304484</v>
      </c>
      <c r="CD60" s="82">
        <f t="shared" si="5"/>
        <v>25566438</v>
      </c>
      <c r="CE60" s="86">
        <f t="shared" si="1"/>
        <v>733395691</v>
      </c>
      <c r="CF60" s="86">
        <f t="shared" si="2"/>
        <v>13475629192</v>
      </c>
    </row>
    <row r="61" spans="1:84" x14ac:dyDescent="0.25">
      <c r="A61" s="91" t="s">
        <v>115</v>
      </c>
      <c r="B61" s="135">
        <v>161359383</v>
      </c>
      <c r="C61" s="135">
        <v>50387408</v>
      </c>
      <c r="D61" s="135">
        <v>75468426</v>
      </c>
      <c r="E61" s="135">
        <v>0</v>
      </c>
      <c r="F61" s="135">
        <v>40155666</v>
      </c>
      <c r="G61" s="135">
        <v>35073450</v>
      </c>
      <c r="H61" s="135">
        <v>15500315</v>
      </c>
      <c r="I61" s="135">
        <v>8238800</v>
      </c>
      <c r="J61" s="135">
        <v>196500</v>
      </c>
      <c r="K61" s="135">
        <v>39300</v>
      </c>
      <c r="L61" s="135">
        <v>71350422</v>
      </c>
      <c r="M61" s="135">
        <v>60814399</v>
      </c>
      <c r="N61" s="135">
        <v>1525</v>
      </c>
      <c r="O61" s="135">
        <v>1235</v>
      </c>
      <c r="P61" s="135">
        <v>2409400</v>
      </c>
      <c r="Q61" s="135">
        <v>557850</v>
      </c>
      <c r="R61" s="135">
        <v>503000</v>
      </c>
      <c r="S61" s="135">
        <v>3281400</v>
      </c>
      <c r="T61" s="135">
        <v>666500</v>
      </c>
      <c r="U61" s="135">
        <v>2639000</v>
      </c>
      <c r="V61" s="135">
        <v>2409400</v>
      </c>
      <c r="W61" s="135">
        <v>711250</v>
      </c>
      <c r="X61" s="135">
        <v>503000</v>
      </c>
      <c r="Y61" s="135">
        <v>3281400</v>
      </c>
      <c r="Z61" s="135">
        <v>706500</v>
      </c>
      <c r="AA61" s="135">
        <v>2639000</v>
      </c>
      <c r="AB61" s="135">
        <v>-2277800</v>
      </c>
      <c r="AC61" s="135">
        <v>0</v>
      </c>
      <c r="AD61" s="135">
        <v>179770</v>
      </c>
      <c r="AE61" s="135">
        <v>0</v>
      </c>
      <c r="AF61" s="135">
        <v>0</v>
      </c>
      <c r="AG61" s="135">
        <v>3124</v>
      </c>
      <c r="AH61" s="135">
        <v>5328303.28</v>
      </c>
      <c r="AI61" s="135">
        <v>60500000</v>
      </c>
      <c r="AJ61" s="139">
        <v>15000000</v>
      </c>
      <c r="AO61" s="82">
        <v>97361620</v>
      </c>
      <c r="AP61" s="82">
        <v>2112533</v>
      </c>
      <c r="AQ61" s="135">
        <v>75000</v>
      </c>
      <c r="AR61" s="135">
        <v>18031227</v>
      </c>
      <c r="AS61" s="135">
        <v>152433</v>
      </c>
      <c r="AT61" s="135">
        <v>37658647</v>
      </c>
      <c r="AU61" s="135">
        <v>4890795</v>
      </c>
      <c r="AV61" s="135">
        <v>162237</v>
      </c>
      <c r="AW61" s="135">
        <v>0</v>
      </c>
      <c r="AX61" s="135">
        <v>52560</v>
      </c>
      <c r="AY61" s="135">
        <v>0</v>
      </c>
      <c r="AZ61" s="135">
        <v>0</v>
      </c>
      <c r="BA61" s="135">
        <v>0</v>
      </c>
      <c r="BB61" s="135">
        <v>0</v>
      </c>
      <c r="BC61" s="135">
        <v>0</v>
      </c>
      <c r="BH61" s="82">
        <v>7283034.96</v>
      </c>
      <c r="BI61" s="82">
        <v>3641517.48</v>
      </c>
      <c r="BJ61" s="117">
        <v>0</v>
      </c>
      <c r="BK61" s="118">
        <v>1326546</v>
      </c>
      <c r="BL61" s="118">
        <v>2653092</v>
      </c>
      <c r="BM61" s="117">
        <v>11933477</v>
      </c>
      <c r="BN61" s="117">
        <v>11933477</v>
      </c>
      <c r="BO61" s="117">
        <v>88920793</v>
      </c>
      <c r="BP61" s="117">
        <v>88119211</v>
      </c>
      <c r="BQ61" s="117">
        <v>0</v>
      </c>
      <c r="BR61" s="117">
        <v>0</v>
      </c>
      <c r="BS61" s="138"/>
      <c r="BT61" s="86">
        <v>595612879.75999999</v>
      </c>
      <c r="BU61" s="86">
        <v>391117975.27999997</v>
      </c>
      <c r="BV61" s="87">
        <v>2304650</v>
      </c>
      <c r="BX61" s="135">
        <v>7208</v>
      </c>
      <c r="BY61" s="135">
        <v>3153</v>
      </c>
      <c r="BZ61" s="135">
        <v>936</v>
      </c>
      <c r="CA61" s="135">
        <f t="shared" si="8"/>
        <v>11297</v>
      </c>
      <c r="CB61" s="86">
        <v>287215217</v>
      </c>
      <c r="CC61" s="82">
        <f t="shared" si="5"/>
        <v>97361620</v>
      </c>
      <c r="CD61" s="82">
        <f t="shared" si="5"/>
        <v>2112533</v>
      </c>
      <c r="CE61" s="86">
        <f t="shared" si="1"/>
        <v>23074455</v>
      </c>
      <c r="CF61" s="86">
        <f t="shared" si="2"/>
        <v>409763825</v>
      </c>
    </row>
    <row r="62" spans="1:84" x14ac:dyDescent="0.25">
      <c r="A62" s="91" t="s">
        <v>116</v>
      </c>
      <c r="B62" s="135">
        <v>523296763</v>
      </c>
      <c r="C62" s="135">
        <v>97249126</v>
      </c>
      <c r="D62" s="135">
        <v>243518246</v>
      </c>
      <c r="E62" s="135">
        <v>0</v>
      </c>
      <c r="F62" s="135">
        <v>85661724</v>
      </c>
      <c r="G62" s="135">
        <v>25226845</v>
      </c>
      <c r="H62" s="135">
        <v>17936814</v>
      </c>
      <c r="I62" s="135">
        <v>3789123</v>
      </c>
      <c r="J62" s="135">
        <v>368700</v>
      </c>
      <c r="K62" s="135">
        <v>77800</v>
      </c>
      <c r="L62" s="135">
        <v>173162902</v>
      </c>
      <c r="M62" s="135">
        <v>85105694</v>
      </c>
      <c r="N62" s="135">
        <v>3162</v>
      </c>
      <c r="O62" s="135">
        <v>1044</v>
      </c>
      <c r="P62" s="135">
        <v>6677820</v>
      </c>
      <c r="Q62" s="135">
        <v>1081280</v>
      </c>
      <c r="R62" s="135">
        <v>307275</v>
      </c>
      <c r="S62" s="135">
        <v>3343735</v>
      </c>
      <c r="T62" s="135">
        <v>1004705</v>
      </c>
      <c r="U62" s="135">
        <v>890800</v>
      </c>
      <c r="V62" s="135">
        <v>6677820</v>
      </c>
      <c r="W62" s="135">
        <v>1218400</v>
      </c>
      <c r="X62" s="135">
        <v>307275</v>
      </c>
      <c r="Y62" s="135">
        <v>3343735</v>
      </c>
      <c r="Z62" s="135">
        <v>930500</v>
      </c>
      <c r="AA62" s="135">
        <v>890800</v>
      </c>
      <c r="AB62" s="135">
        <v>-4643224</v>
      </c>
      <c r="AC62" s="135">
        <v>-4207149</v>
      </c>
      <c r="AD62" s="135">
        <v>139124</v>
      </c>
      <c r="AE62" s="135">
        <v>0</v>
      </c>
      <c r="AF62" s="135">
        <v>0</v>
      </c>
      <c r="AG62" s="135">
        <v>0</v>
      </c>
      <c r="AH62" s="135">
        <v>7766000</v>
      </c>
      <c r="AI62" s="135">
        <v>11024229.508196721</v>
      </c>
      <c r="AJ62" s="139">
        <v>836000</v>
      </c>
      <c r="AO62" s="82">
        <v>172748902</v>
      </c>
      <c r="AP62" s="82">
        <v>4662661</v>
      </c>
      <c r="AQ62" s="135">
        <v>0</v>
      </c>
      <c r="AR62" s="135">
        <v>34831049</v>
      </c>
      <c r="AS62" s="135">
        <v>3592492</v>
      </c>
      <c r="AT62" s="135">
        <v>34434525</v>
      </c>
      <c r="AU62" s="135">
        <v>29450215</v>
      </c>
      <c r="AV62" s="135">
        <v>50555297</v>
      </c>
      <c r="AW62" s="135">
        <v>23435774</v>
      </c>
      <c r="AX62" s="135">
        <v>506965</v>
      </c>
      <c r="AY62" s="135">
        <v>0</v>
      </c>
      <c r="AZ62" s="135">
        <v>0</v>
      </c>
      <c r="BA62" s="135">
        <v>0</v>
      </c>
      <c r="BB62" s="135">
        <v>86723</v>
      </c>
      <c r="BC62" s="135">
        <v>0</v>
      </c>
      <c r="BH62" s="82">
        <v>12922302.359999999</v>
      </c>
      <c r="BI62" s="82">
        <v>6461151.1799999997</v>
      </c>
      <c r="BJ62" s="117">
        <v>0</v>
      </c>
      <c r="BK62" s="118">
        <v>3293770</v>
      </c>
      <c r="BL62" s="118">
        <v>6587540</v>
      </c>
      <c r="BM62" s="117">
        <v>25668389</v>
      </c>
      <c r="BN62" s="117">
        <v>25668389</v>
      </c>
      <c r="BO62" s="117">
        <v>63630533</v>
      </c>
      <c r="BP62" s="117">
        <v>60215202</v>
      </c>
      <c r="BQ62" s="117">
        <v>0</v>
      </c>
      <c r="BR62" s="117">
        <v>0</v>
      </c>
      <c r="BS62" s="138"/>
      <c r="BT62" s="86">
        <v>1224614195.6881969</v>
      </c>
      <c r="BU62" s="86">
        <v>951564120.50819671</v>
      </c>
      <c r="BV62" s="87">
        <v>570090</v>
      </c>
      <c r="BX62" s="135">
        <v>14494</v>
      </c>
      <c r="BY62" s="135">
        <v>3633</v>
      </c>
      <c r="BZ62" s="135">
        <v>773</v>
      </c>
      <c r="CA62" s="135">
        <f t="shared" si="8"/>
        <v>18900</v>
      </c>
      <c r="CB62" s="86">
        <v>864064135</v>
      </c>
      <c r="CC62" s="82">
        <f t="shared" si="5"/>
        <v>172748902</v>
      </c>
      <c r="CD62" s="82">
        <f t="shared" si="5"/>
        <v>4662661</v>
      </c>
      <c r="CE62" s="86">
        <f t="shared" si="1"/>
        <v>91309530</v>
      </c>
      <c r="CF62" s="86">
        <f t="shared" si="2"/>
        <v>1132785228</v>
      </c>
    </row>
    <row r="63" spans="1:84" x14ac:dyDescent="0.25">
      <c r="A63" s="91" t="s">
        <v>117</v>
      </c>
      <c r="B63" s="135">
        <v>389841666</v>
      </c>
      <c r="C63" s="135">
        <v>165716770</v>
      </c>
      <c r="D63" s="135">
        <v>83389188</v>
      </c>
      <c r="E63" s="135">
        <v>0</v>
      </c>
      <c r="F63" s="135">
        <v>41217048</v>
      </c>
      <c r="G63" s="135">
        <v>9812322</v>
      </c>
      <c r="H63" s="135">
        <v>15258504</v>
      </c>
      <c r="I63" s="135">
        <v>1320100</v>
      </c>
      <c r="J63" s="135">
        <v>196500</v>
      </c>
      <c r="K63" s="135">
        <v>39300</v>
      </c>
      <c r="L63" s="135">
        <v>398483708</v>
      </c>
      <c r="M63" s="135">
        <v>121259042</v>
      </c>
      <c r="N63" s="135">
        <v>1476</v>
      </c>
      <c r="O63" s="135">
        <v>305</v>
      </c>
      <c r="P63" s="135">
        <v>11464777</v>
      </c>
      <c r="Q63" s="135">
        <v>5182708</v>
      </c>
      <c r="R63" s="135">
        <v>3695900</v>
      </c>
      <c r="S63" s="135">
        <v>3577526</v>
      </c>
      <c r="T63" s="135">
        <v>1986398</v>
      </c>
      <c r="U63" s="135">
        <v>675000</v>
      </c>
      <c r="V63" s="135">
        <v>11464777</v>
      </c>
      <c r="W63" s="135">
        <v>9120416</v>
      </c>
      <c r="X63" s="135">
        <v>3695900</v>
      </c>
      <c r="Y63" s="135">
        <v>3577526</v>
      </c>
      <c r="Z63" s="135">
        <v>5561320</v>
      </c>
      <c r="AA63" s="135">
        <v>675000</v>
      </c>
      <c r="AB63" s="135">
        <v>-2157200</v>
      </c>
      <c r="AC63" s="135">
        <v>0</v>
      </c>
      <c r="AD63" s="135">
        <v>54446</v>
      </c>
      <c r="AE63" s="135">
        <v>0</v>
      </c>
      <c r="AF63" s="135">
        <v>0</v>
      </c>
      <c r="AG63" s="135">
        <v>150532</v>
      </c>
      <c r="AH63" s="135">
        <v>0</v>
      </c>
      <c r="AI63" s="135">
        <v>0</v>
      </c>
      <c r="AJ63" s="139"/>
      <c r="AO63" s="82">
        <v>101800732</v>
      </c>
      <c r="AP63" s="82">
        <v>3401712</v>
      </c>
      <c r="AQ63" s="135">
        <v>0</v>
      </c>
      <c r="AR63" s="135">
        <v>9253774</v>
      </c>
      <c r="AS63" s="135">
        <v>229299</v>
      </c>
      <c r="AT63" s="135">
        <v>14166929</v>
      </c>
      <c r="AU63" s="135">
        <v>14411548</v>
      </c>
      <c r="AV63" s="135">
        <v>10901654</v>
      </c>
      <c r="AW63" s="135">
        <v>4308853</v>
      </c>
      <c r="AX63" s="135">
        <v>2238904</v>
      </c>
      <c r="AY63" s="135">
        <v>0</v>
      </c>
      <c r="AZ63" s="135">
        <v>66898</v>
      </c>
      <c r="BA63" s="135">
        <v>0</v>
      </c>
      <c r="BB63" s="135">
        <v>9738</v>
      </c>
      <c r="BC63" s="135">
        <v>31750</v>
      </c>
      <c r="BH63" s="82">
        <v>7615098.1200000001</v>
      </c>
      <c r="BI63" s="82">
        <v>3807549.06</v>
      </c>
      <c r="BJ63" s="117">
        <v>0</v>
      </c>
      <c r="BK63" s="118">
        <v>88922</v>
      </c>
      <c r="BL63" s="118">
        <v>177845</v>
      </c>
      <c r="BM63" s="117">
        <v>19589292</v>
      </c>
      <c r="BN63" s="117">
        <v>19589292</v>
      </c>
      <c r="BO63" s="117">
        <v>68873848</v>
      </c>
      <c r="BP63" s="117">
        <v>68847918</v>
      </c>
      <c r="BQ63" s="117">
        <v>0</v>
      </c>
      <c r="BR63" s="117">
        <v>0</v>
      </c>
      <c r="BS63" s="138"/>
      <c r="BT63" s="86">
        <v>860378370.05999994</v>
      </c>
      <c r="BU63" s="86">
        <v>662842245</v>
      </c>
      <c r="BV63" s="87">
        <v>2348406</v>
      </c>
      <c r="BX63" s="135">
        <v>5629</v>
      </c>
      <c r="BY63" s="135">
        <v>2421</v>
      </c>
      <c r="BZ63" s="135">
        <v>336</v>
      </c>
      <c r="CA63" s="135">
        <f t="shared" si="8"/>
        <v>8386</v>
      </c>
      <c r="CB63" s="86">
        <v>638947624</v>
      </c>
      <c r="CC63" s="82">
        <f t="shared" si="5"/>
        <v>101800732</v>
      </c>
      <c r="CD63" s="82">
        <f t="shared" si="5"/>
        <v>3401712</v>
      </c>
      <c r="CE63" s="86">
        <f t="shared" si="1"/>
        <v>28203474</v>
      </c>
      <c r="CF63" s="86">
        <f t="shared" si="2"/>
        <v>772353542</v>
      </c>
    </row>
    <row r="64" spans="1:84" x14ac:dyDescent="0.25">
      <c r="A64" s="91" t="s">
        <v>118</v>
      </c>
      <c r="B64" s="135">
        <v>1647500496</v>
      </c>
      <c r="C64" s="135">
        <v>220562261</v>
      </c>
      <c r="D64" s="135">
        <v>772049233</v>
      </c>
      <c r="E64" s="135">
        <v>48086604</v>
      </c>
      <c r="F64" s="135">
        <v>172502144</v>
      </c>
      <c r="G64" s="135">
        <v>44359535</v>
      </c>
      <c r="H64" s="135">
        <v>31899555</v>
      </c>
      <c r="I64" s="135">
        <v>4177031</v>
      </c>
      <c r="J64" s="135">
        <v>314400</v>
      </c>
      <c r="K64" s="135">
        <v>46500</v>
      </c>
      <c r="L64" s="135">
        <v>449269497</v>
      </c>
      <c r="M64" s="135">
        <v>193786964</v>
      </c>
      <c r="N64" s="135">
        <v>5636</v>
      </c>
      <c r="O64" s="135">
        <v>1465</v>
      </c>
      <c r="P64" s="135">
        <v>10397500</v>
      </c>
      <c r="Q64" s="135">
        <v>4684400</v>
      </c>
      <c r="R64" s="135">
        <v>2351000</v>
      </c>
      <c r="S64" s="135">
        <v>9198700</v>
      </c>
      <c r="T64" s="135">
        <v>2347168</v>
      </c>
      <c r="U64" s="135">
        <v>7550000</v>
      </c>
      <c r="V64" s="135">
        <v>10397500</v>
      </c>
      <c r="W64" s="135">
        <v>5327200</v>
      </c>
      <c r="X64" s="135">
        <v>2351000</v>
      </c>
      <c r="Y64" s="135">
        <v>9198700</v>
      </c>
      <c r="Z64" s="135">
        <v>5501336</v>
      </c>
      <c r="AA64" s="135">
        <v>7550000</v>
      </c>
      <c r="AB64" s="135">
        <v>-11766000</v>
      </c>
      <c r="AC64" s="135">
        <v>-51845</v>
      </c>
      <c r="AD64" s="135">
        <v>81707</v>
      </c>
      <c r="AE64" s="135">
        <v>0</v>
      </c>
      <c r="AF64" s="135">
        <v>0</v>
      </c>
      <c r="AG64" s="135">
        <v>164376</v>
      </c>
      <c r="AH64" s="135">
        <v>24172</v>
      </c>
      <c r="AI64" s="135">
        <v>65200</v>
      </c>
      <c r="AJ64" s="139">
        <v>2500</v>
      </c>
      <c r="AO64" s="82">
        <v>454560135</v>
      </c>
      <c r="AP64" s="82">
        <v>24592470</v>
      </c>
      <c r="AQ64" s="135">
        <v>1081293</v>
      </c>
      <c r="AR64" s="135">
        <v>156262041</v>
      </c>
      <c r="AS64" s="135">
        <v>35436127</v>
      </c>
      <c r="AT64" s="135">
        <v>216081997</v>
      </c>
      <c r="AU64" s="135">
        <v>177081528</v>
      </c>
      <c r="AV64" s="135">
        <v>144902901</v>
      </c>
      <c r="AW64" s="135">
        <v>27538899</v>
      </c>
      <c r="AX64" s="135">
        <v>2281509</v>
      </c>
      <c r="AY64" s="135">
        <v>0</v>
      </c>
      <c r="AZ64" s="135">
        <v>51319</v>
      </c>
      <c r="BA64" s="135">
        <v>11480059</v>
      </c>
      <c r="BB64" s="135">
        <v>1773789</v>
      </c>
      <c r="BC64" s="135">
        <v>2861603</v>
      </c>
      <c r="BH64" s="82">
        <v>34002899.219999999</v>
      </c>
      <c r="BI64" s="82">
        <v>17001449.609999999</v>
      </c>
      <c r="BJ64" s="117">
        <v>0</v>
      </c>
      <c r="BK64" s="118">
        <v>2744930</v>
      </c>
      <c r="BL64" s="118">
        <v>5489859</v>
      </c>
      <c r="BM64" s="117">
        <v>35980030</v>
      </c>
      <c r="BN64" s="117">
        <v>35980030</v>
      </c>
      <c r="BO64" s="117">
        <v>122642868</v>
      </c>
      <c r="BP64" s="117">
        <v>114203353</v>
      </c>
      <c r="BQ64" s="117">
        <v>0</v>
      </c>
      <c r="BR64" s="117">
        <v>0</v>
      </c>
      <c r="BS64" s="138"/>
      <c r="BT64" s="86">
        <v>3658065925.6100001</v>
      </c>
      <c r="BU64" s="86">
        <v>3008983558</v>
      </c>
      <c r="BV64" s="87">
        <v>2843532</v>
      </c>
      <c r="BX64" s="135">
        <v>26551</v>
      </c>
      <c r="BY64" s="135">
        <v>4140</v>
      </c>
      <c r="BZ64" s="135">
        <v>1911</v>
      </c>
      <c r="CA64" s="135">
        <f t="shared" si="8"/>
        <v>32602</v>
      </c>
      <c r="CB64" s="86">
        <v>2640111990</v>
      </c>
      <c r="CC64" s="82">
        <f t="shared" si="5"/>
        <v>454560135</v>
      </c>
      <c r="CD64" s="82">
        <f t="shared" si="5"/>
        <v>24592470</v>
      </c>
      <c r="CE64" s="86">
        <f t="shared" si="1"/>
        <v>396318595</v>
      </c>
      <c r="CF64" s="86">
        <f t="shared" si="2"/>
        <v>3515583190</v>
      </c>
    </row>
    <row r="65" spans="1:84" x14ac:dyDescent="0.25">
      <c r="A65" s="91" t="s">
        <v>119</v>
      </c>
      <c r="B65" s="135">
        <v>256636426</v>
      </c>
      <c r="C65" s="135">
        <v>106019221</v>
      </c>
      <c r="D65" s="135">
        <v>106118150</v>
      </c>
      <c r="E65" s="135">
        <v>0</v>
      </c>
      <c r="F65" s="135">
        <v>30924935</v>
      </c>
      <c r="G65" s="135">
        <v>20154322</v>
      </c>
      <c r="H65" s="135">
        <v>16287422</v>
      </c>
      <c r="I65" s="135">
        <v>6959457</v>
      </c>
      <c r="J65" s="135">
        <v>393000</v>
      </c>
      <c r="K65" s="135">
        <v>37500</v>
      </c>
      <c r="L65" s="135">
        <v>116297095</v>
      </c>
      <c r="M65" s="135">
        <v>82633700</v>
      </c>
      <c r="N65" s="135">
        <v>1386</v>
      </c>
      <c r="O65" s="135">
        <v>862</v>
      </c>
      <c r="P65" s="135">
        <v>2151500</v>
      </c>
      <c r="Q65" s="135">
        <v>836700</v>
      </c>
      <c r="R65" s="135">
        <v>1556500</v>
      </c>
      <c r="S65" s="135">
        <v>685500</v>
      </c>
      <c r="T65" s="135">
        <v>302000</v>
      </c>
      <c r="U65" s="135">
        <v>0</v>
      </c>
      <c r="V65" s="135">
        <v>2151500</v>
      </c>
      <c r="W65" s="135">
        <v>836700</v>
      </c>
      <c r="X65" s="135">
        <v>1556500</v>
      </c>
      <c r="Y65" s="135">
        <v>685500</v>
      </c>
      <c r="Z65" s="135">
        <v>336800</v>
      </c>
      <c r="AA65" s="135">
        <v>0</v>
      </c>
      <c r="AB65" s="135">
        <v>-3659000</v>
      </c>
      <c r="AC65" s="135">
        <v>-835351</v>
      </c>
      <c r="AD65" s="135">
        <v>192338</v>
      </c>
      <c r="AE65" s="135">
        <v>0</v>
      </c>
      <c r="AF65" s="135">
        <v>0</v>
      </c>
      <c r="AG65" s="135">
        <v>222896</v>
      </c>
      <c r="AH65" s="135">
        <v>35118520.490000002</v>
      </c>
      <c r="AI65" s="135">
        <v>9952857</v>
      </c>
      <c r="AJ65" s="139">
        <v>250000</v>
      </c>
      <c r="AO65" s="82">
        <v>109954589</v>
      </c>
      <c r="AP65" s="82">
        <v>4258777</v>
      </c>
      <c r="AQ65" s="135">
        <v>119800</v>
      </c>
      <c r="AR65" s="135">
        <v>25576167</v>
      </c>
      <c r="AS65" s="135">
        <v>397250</v>
      </c>
      <c r="AT65" s="135">
        <v>18402783</v>
      </c>
      <c r="AU65" s="135">
        <v>18626814</v>
      </c>
      <c r="AV65" s="135">
        <v>2663678</v>
      </c>
      <c r="AW65" s="135">
        <v>3086</v>
      </c>
      <c r="AX65" s="135">
        <v>92665</v>
      </c>
      <c r="AY65" s="135">
        <v>0</v>
      </c>
      <c r="AZ65" s="135">
        <v>0</v>
      </c>
      <c r="BA65" s="135">
        <v>0</v>
      </c>
      <c r="BB65" s="135">
        <v>0</v>
      </c>
      <c r="BC65" s="135">
        <v>0</v>
      </c>
      <c r="BH65" s="82">
        <v>8225038.8600000003</v>
      </c>
      <c r="BI65" s="82">
        <v>4112519.43</v>
      </c>
      <c r="BJ65" s="117">
        <v>0</v>
      </c>
      <c r="BK65" s="118">
        <v>3393625</v>
      </c>
      <c r="BL65" s="118">
        <v>6787250</v>
      </c>
      <c r="BM65" s="117">
        <v>85821651</v>
      </c>
      <c r="BN65" s="117">
        <v>85821651</v>
      </c>
      <c r="BO65" s="117">
        <v>100215436</v>
      </c>
      <c r="BP65" s="117">
        <v>96589624</v>
      </c>
      <c r="BQ65" s="117">
        <v>0</v>
      </c>
      <c r="BR65" s="117">
        <v>0</v>
      </c>
      <c r="BS65" s="138"/>
      <c r="BT65" s="86">
        <v>862826190.91999996</v>
      </c>
      <c r="BU65" s="86">
        <v>558695405.49000001</v>
      </c>
      <c r="BV65" s="87">
        <v>649500</v>
      </c>
      <c r="BX65" s="135">
        <v>6721</v>
      </c>
      <c r="BY65" s="135">
        <v>3371</v>
      </c>
      <c r="BZ65" s="135">
        <v>518</v>
      </c>
      <c r="CA65" s="135">
        <f t="shared" si="8"/>
        <v>10610</v>
      </c>
      <c r="CB65" s="86">
        <v>468773797</v>
      </c>
      <c r="CC65" s="82">
        <f t="shared" si="5"/>
        <v>109954589</v>
      </c>
      <c r="CD65" s="82">
        <f t="shared" si="5"/>
        <v>4258777</v>
      </c>
      <c r="CE65" s="86">
        <f t="shared" si="1"/>
        <v>44603317</v>
      </c>
      <c r="CF65" s="86">
        <f t="shared" si="2"/>
        <v>627590480</v>
      </c>
    </row>
    <row r="66" spans="1:84" x14ac:dyDescent="0.25">
      <c r="A66" s="91" t="s">
        <v>120</v>
      </c>
      <c r="B66" s="135">
        <v>97044551</v>
      </c>
      <c r="C66" s="135">
        <v>42145496</v>
      </c>
      <c r="D66" s="135">
        <v>55332544</v>
      </c>
      <c r="E66" s="135">
        <v>0</v>
      </c>
      <c r="F66" s="135">
        <v>17461725</v>
      </c>
      <c r="G66" s="135">
        <v>7565311</v>
      </c>
      <c r="H66" s="135">
        <v>7631923</v>
      </c>
      <c r="I66" s="135">
        <v>1937159</v>
      </c>
      <c r="J66" s="135">
        <v>0</v>
      </c>
      <c r="K66" s="135">
        <v>0</v>
      </c>
      <c r="L66" s="135">
        <v>63618566</v>
      </c>
      <c r="M66" s="135">
        <v>29447930</v>
      </c>
      <c r="N66" s="135">
        <v>784</v>
      </c>
      <c r="O66" s="135">
        <v>349</v>
      </c>
      <c r="P66" s="135">
        <v>1544300</v>
      </c>
      <c r="Q66" s="135">
        <v>521400</v>
      </c>
      <c r="R66" s="135">
        <v>1343100</v>
      </c>
      <c r="S66" s="135">
        <v>767000</v>
      </c>
      <c r="T66" s="135">
        <v>3203675</v>
      </c>
      <c r="U66" s="135">
        <v>282500</v>
      </c>
      <c r="V66" s="135">
        <v>1544300</v>
      </c>
      <c r="W66" s="135">
        <v>515900</v>
      </c>
      <c r="X66" s="135">
        <v>1343100</v>
      </c>
      <c r="Y66" s="135">
        <v>767000</v>
      </c>
      <c r="Z66" s="135">
        <v>252900</v>
      </c>
      <c r="AA66" s="135">
        <v>282500</v>
      </c>
      <c r="AB66" s="135">
        <v>-1317638</v>
      </c>
      <c r="AC66" s="135">
        <v>0</v>
      </c>
      <c r="AD66" s="135">
        <v>95540</v>
      </c>
      <c r="AE66" s="135">
        <v>0</v>
      </c>
      <c r="AF66" s="135">
        <v>1</v>
      </c>
      <c r="AG66" s="135">
        <v>106101</v>
      </c>
      <c r="AH66" s="135">
        <v>19059778.690000001</v>
      </c>
      <c r="AI66" s="135">
        <v>0</v>
      </c>
      <c r="AJ66" s="139"/>
      <c r="AO66" s="82">
        <v>35545752</v>
      </c>
      <c r="AP66" s="82">
        <v>869996</v>
      </c>
      <c r="AQ66" s="135">
        <v>0</v>
      </c>
      <c r="AR66" s="135">
        <v>15497560</v>
      </c>
      <c r="AS66" s="135">
        <v>312080</v>
      </c>
      <c r="AT66" s="135">
        <v>872045</v>
      </c>
      <c r="AU66" s="135">
        <v>9638799</v>
      </c>
      <c r="AV66" s="135">
        <v>627999</v>
      </c>
      <c r="AW66" s="135">
        <v>0</v>
      </c>
      <c r="AX66" s="135">
        <v>78820</v>
      </c>
      <c r="AY66" s="135">
        <v>0</v>
      </c>
      <c r="AZ66" s="135">
        <v>0</v>
      </c>
      <c r="BA66" s="135">
        <v>0</v>
      </c>
      <c r="BB66" s="135">
        <v>0</v>
      </c>
      <c r="BC66" s="135">
        <v>0</v>
      </c>
      <c r="BH66" s="82">
        <v>2658963.09</v>
      </c>
      <c r="BI66" s="82">
        <v>1329481.55</v>
      </c>
      <c r="BJ66" s="117">
        <v>0</v>
      </c>
      <c r="BK66" s="118">
        <v>2436617</v>
      </c>
      <c r="BL66" s="118">
        <v>4873234</v>
      </c>
      <c r="BM66" s="117">
        <v>16441216</v>
      </c>
      <c r="BN66" s="117">
        <v>16441216</v>
      </c>
      <c r="BO66" s="117">
        <v>34339565</v>
      </c>
      <c r="BP66" s="117">
        <v>28482303</v>
      </c>
      <c r="BQ66" s="117">
        <v>0</v>
      </c>
      <c r="BR66" s="117">
        <v>0</v>
      </c>
      <c r="BS66" s="138"/>
      <c r="BT66" s="86">
        <v>324136174.24000001</v>
      </c>
      <c r="BU66" s="86">
        <v>239030808.69</v>
      </c>
      <c r="BV66" s="87">
        <v>475201</v>
      </c>
      <c r="BX66" s="135">
        <v>4192</v>
      </c>
      <c r="BY66" s="135">
        <v>1976</v>
      </c>
      <c r="BZ66" s="135">
        <v>296</v>
      </c>
      <c r="CA66" s="135">
        <f t="shared" si="8"/>
        <v>6464</v>
      </c>
      <c r="CB66" s="86">
        <v>194522591</v>
      </c>
      <c r="CC66" s="82">
        <f t="shared" ref="CC66:CD97" si="9">AO66</f>
        <v>35545752</v>
      </c>
      <c r="CD66" s="82">
        <f t="shared" si="9"/>
        <v>869996</v>
      </c>
      <c r="CE66" s="86">
        <f t="shared" ref="CE66:CE121" si="10">AR66+AS66+AU66+AW66</f>
        <v>25448439</v>
      </c>
      <c r="CF66" s="86">
        <f t="shared" ref="CF66:CF121" si="11">SUM(CB66:CE66)</f>
        <v>256386778</v>
      </c>
    </row>
    <row r="67" spans="1:84" x14ac:dyDescent="0.25">
      <c r="A67" s="91" t="s">
        <v>121</v>
      </c>
      <c r="B67" s="135">
        <v>115705321</v>
      </c>
      <c r="C67" s="135">
        <v>55834233</v>
      </c>
      <c r="D67" s="135">
        <v>32738130</v>
      </c>
      <c r="E67" s="135">
        <v>0</v>
      </c>
      <c r="F67" s="135">
        <v>24499015</v>
      </c>
      <c r="G67" s="135">
        <v>26033262</v>
      </c>
      <c r="H67" s="135">
        <v>6274155</v>
      </c>
      <c r="I67" s="135">
        <v>3552374</v>
      </c>
      <c r="J67" s="135">
        <v>89100</v>
      </c>
      <c r="K67" s="135">
        <v>0</v>
      </c>
      <c r="L67" s="135">
        <v>46188494</v>
      </c>
      <c r="M67" s="135">
        <v>28546161</v>
      </c>
      <c r="N67" s="135">
        <v>1005</v>
      </c>
      <c r="O67" s="135">
        <v>1054</v>
      </c>
      <c r="P67" s="135">
        <v>905625</v>
      </c>
      <c r="Q67" s="135">
        <v>15900</v>
      </c>
      <c r="R67" s="135">
        <v>275000</v>
      </c>
      <c r="S67" s="135">
        <v>2256470</v>
      </c>
      <c r="T67" s="135">
        <v>144900</v>
      </c>
      <c r="U67" s="135">
        <v>277280</v>
      </c>
      <c r="V67" s="135">
        <v>905625</v>
      </c>
      <c r="W67" s="135">
        <v>15900</v>
      </c>
      <c r="X67" s="135">
        <v>275000</v>
      </c>
      <c r="Y67" s="135">
        <v>2256470</v>
      </c>
      <c r="Z67" s="135">
        <v>128400</v>
      </c>
      <c r="AA67" s="135">
        <v>277280</v>
      </c>
      <c r="AB67" s="135">
        <v>-2619320</v>
      </c>
      <c r="AC67" s="135">
        <v>-6924436</v>
      </c>
      <c r="AD67" s="135">
        <v>178476</v>
      </c>
      <c r="AE67" s="135">
        <v>0</v>
      </c>
      <c r="AF67" s="135">
        <v>0</v>
      </c>
      <c r="AG67" s="135">
        <v>188993</v>
      </c>
      <c r="AH67" s="135">
        <v>14150237.710000001</v>
      </c>
      <c r="AI67" s="135">
        <v>11232352.459016394</v>
      </c>
      <c r="AJ67" s="139">
        <v>12000000</v>
      </c>
      <c r="AO67" s="82">
        <v>68871597</v>
      </c>
      <c r="AP67" s="82">
        <v>2680094</v>
      </c>
      <c r="AQ67" s="135">
        <v>0</v>
      </c>
      <c r="AR67" s="135">
        <v>25263256</v>
      </c>
      <c r="AS67" s="135">
        <v>315379</v>
      </c>
      <c r="AT67" s="135">
        <v>456512</v>
      </c>
      <c r="AU67" s="135">
        <v>2988706</v>
      </c>
      <c r="AV67" s="135">
        <v>130280</v>
      </c>
      <c r="AW67" s="135">
        <v>0</v>
      </c>
      <c r="AX67" s="135">
        <v>80153</v>
      </c>
      <c r="AY67" s="135">
        <v>0</v>
      </c>
      <c r="AZ67" s="135">
        <v>0</v>
      </c>
      <c r="BA67" s="135">
        <v>0</v>
      </c>
      <c r="BB67" s="135">
        <v>0</v>
      </c>
      <c r="BC67" s="135">
        <v>0</v>
      </c>
      <c r="BH67" s="82">
        <v>5151868.3499999996</v>
      </c>
      <c r="BI67" s="82">
        <v>2575934.1800000002</v>
      </c>
      <c r="BJ67" s="117">
        <v>0</v>
      </c>
      <c r="BK67" s="118">
        <v>0</v>
      </c>
      <c r="BL67" s="118">
        <v>0</v>
      </c>
      <c r="BM67" s="117">
        <v>1204696</v>
      </c>
      <c r="BN67" s="117">
        <v>1204696</v>
      </c>
      <c r="BO67" s="117">
        <v>39218347</v>
      </c>
      <c r="BP67" s="117">
        <v>39053260</v>
      </c>
      <c r="BQ67" s="117">
        <v>0</v>
      </c>
      <c r="BR67" s="117">
        <v>0</v>
      </c>
      <c r="BS67" s="138"/>
      <c r="BT67" s="86">
        <v>384613196.34901637</v>
      </c>
      <c r="BU67" s="86">
        <v>270227615.16901636</v>
      </c>
      <c r="BV67" s="87">
        <v>542535</v>
      </c>
      <c r="BX67" s="135">
        <v>7116</v>
      </c>
      <c r="BY67" s="135">
        <v>2851</v>
      </c>
      <c r="BZ67" s="135">
        <v>241</v>
      </c>
      <c r="CA67" s="135">
        <f t="shared" si="8"/>
        <v>10208</v>
      </c>
      <c r="CB67" s="86">
        <v>204277684</v>
      </c>
      <c r="CC67" s="82">
        <f t="shared" si="9"/>
        <v>68871597</v>
      </c>
      <c r="CD67" s="82">
        <f t="shared" si="9"/>
        <v>2680094</v>
      </c>
      <c r="CE67" s="86">
        <f t="shared" si="10"/>
        <v>28567341</v>
      </c>
      <c r="CF67" s="86">
        <f t="shared" si="11"/>
        <v>304396716</v>
      </c>
    </row>
    <row r="68" spans="1:84" x14ac:dyDescent="0.25">
      <c r="A68" s="91" t="s">
        <v>122</v>
      </c>
      <c r="B68" s="135">
        <v>216481316</v>
      </c>
      <c r="C68" s="135">
        <v>44907551</v>
      </c>
      <c r="D68" s="135">
        <v>107382777</v>
      </c>
      <c r="E68" s="135">
        <v>0</v>
      </c>
      <c r="F68" s="135">
        <v>59025000</v>
      </c>
      <c r="G68" s="135">
        <v>34487000</v>
      </c>
      <c r="H68" s="135">
        <v>14746300</v>
      </c>
      <c r="I68" s="135">
        <v>5991550</v>
      </c>
      <c r="J68" s="135">
        <v>0</v>
      </c>
      <c r="K68" s="135">
        <v>0</v>
      </c>
      <c r="L68" s="135">
        <v>72837459</v>
      </c>
      <c r="M68" s="135">
        <v>56916</v>
      </c>
      <c r="N68" s="135">
        <v>2636</v>
      </c>
      <c r="O68" s="135">
        <v>1492</v>
      </c>
      <c r="P68" s="135">
        <v>1253000</v>
      </c>
      <c r="Q68" s="135">
        <v>112500</v>
      </c>
      <c r="R68" s="135">
        <v>127534</v>
      </c>
      <c r="S68" s="135">
        <v>1709650</v>
      </c>
      <c r="T68" s="135">
        <v>198000</v>
      </c>
      <c r="U68" s="135">
        <v>608900</v>
      </c>
      <c r="V68" s="135">
        <v>1253000</v>
      </c>
      <c r="W68" s="135">
        <v>110000</v>
      </c>
      <c r="X68" s="135">
        <v>127534</v>
      </c>
      <c r="Y68" s="135">
        <v>1709650</v>
      </c>
      <c r="Z68" s="135">
        <v>152500</v>
      </c>
      <c r="AA68" s="135">
        <v>608900</v>
      </c>
      <c r="AB68" s="135">
        <v>-4564775</v>
      </c>
      <c r="AC68" s="135">
        <v>-5621</v>
      </c>
      <c r="AD68" s="135">
        <v>0</v>
      </c>
      <c r="AE68" s="135">
        <v>0</v>
      </c>
      <c r="AF68" s="135">
        <v>0</v>
      </c>
      <c r="AG68" s="135">
        <v>0</v>
      </c>
      <c r="AH68" s="135">
        <v>9777360.6500000004</v>
      </c>
      <c r="AI68" s="135">
        <v>50424418.229508199</v>
      </c>
      <c r="AJ68" s="139">
        <v>5000000</v>
      </c>
      <c r="AO68" s="82">
        <v>117187633</v>
      </c>
      <c r="AP68" s="82">
        <v>3403676</v>
      </c>
      <c r="AQ68" s="135">
        <v>0</v>
      </c>
      <c r="AR68" s="135">
        <v>15529991</v>
      </c>
      <c r="AS68" s="135">
        <v>443046</v>
      </c>
      <c r="AT68" s="135">
        <v>52127993</v>
      </c>
      <c r="AU68" s="135">
        <v>21070010</v>
      </c>
      <c r="AV68" s="135">
        <v>3140457</v>
      </c>
      <c r="AW68" s="135">
        <v>37395</v>
      </c>
      <c r="AX68" s="135">
        <v>6098</v>
      </c>
      <c r="AY68" s="135">
        <v>0</v>
      </c>
      <c r="AZ68" s="135">
        <v>0</v>
      </c>
      <c r="BA68" s="135">
        <v>0</v>
      </c>
      <c r="BB68" s="135">
        <v>63323</v>
      </c>
      <c r="BC68" s="135">
        <v>0</v>
      </c>
      <c r="BH68" s="82">
        <v>8766099.2899999991</v>
      </c>
      <c r="BI68" s="82">
        <v>4383049.6500000004</v>
      </c>
      <c r="BJ68" s="117">
        <v>0</v>
      </c>
      <c r="BK68" s="118">
        <v>2981084</v>
      </c>
      <c r="BL68" s="118">
        <v>5962168</v>
      </c>
      <c r="BM68" s="117">
        <v>12742559</v>
      </c>
      <c r="BN68" s="117">
        <v>12742559</v>
      </c>
      <c r="BO68" s="117">
        <v>63737976</v>
      </c>
      <c r="BP68" s="117">
        <v>59224749</v>
      </c>
      <c r="BQ68" s="117">
        <v>0</v>
      </c>
      <c r="BR68" s="117">
        <v>0</v>
      </c>
      <c r="BS68" s="138"/>
      <c r="BT68" s="86">
        <v>670939220.52950823</v>
      </c>
      <c r="BU68" s="86">
        <v>471016469.8795082</v>
      </c>
      <c r="BV68" s="87">
        <v>144750</v>
      </c>
      <c r="BX68" s="135">
        <v>10750</v>
      </c>
      <c r="BY68" s="135">
        <v>2384</v>
      </c>
      <c r="BZ68" s="135">
        <v>605</v>
      </c>
      <c r="CA68" s="135">
        <f t="shared" si="8"/>
        <v>13739</v>
      </c>
      <c r="CB68" s="86">
        <v>368771644</v>
      </c>
      <c r="CC68" s="82">
        <f t="shared" si="9"/>
        <v>117187633</v>
      </c>
      <c r="CD68" s="82">
        <f t="shared" si="9"/>
        <v>3403676</v>
      </c>
      <c r="CE68" s="86">
        <f t="shared" si="10"/>
        <v>37080442</v>
      </c>
      <c r="CF68" s="86">
        <f t="shared" si="11"/>
        <v>526443395</v>
      </c>
    </row>
    <row r="69" spans="1:84" x14ac:dyDescent="0.25">
      <c r="A69" s="91" t="s">
        <v>123</v>
      </c>
      <c r="B69" s="135">
        <v>191669768</v>
      </c>
      <c r="C69" s="135">
        <v>116936884</v>
      </c>
      <c r="D69" s="135">
        <v>38714910</v>
      </c>
      <c r="E69" s="135">
        <v>0</v>
      </c>
      <c r="F69" s="135">
        <v>33668700</v>
      </c>
      <c r="G69" s="135">
        <v>13421700</v>
      </c>
      <c r="H69" s="135">
        <v>11820050</v>
      </c>
      <c r="I69" s="135">
        <v>2204550</v>
      </c>
      <c r="J69" s="135">
        <v>39300</v>
      </c>
      <c r="K69" s="135">
        <v>0</v>
      </c>
      <c r="L69" s="135">
        <v>174808437</v>
      </c>
      <c r="M69" s="135">
        <v>53645881</v>
      </c>
      <c r="N69" s="135">
        <v>1355</v>
      </c>
      <c r="O69" s="135">
        <v>505</v>
      </c>
      <c r="P69" s="135">
        <v>4040086</v>
      </c>
      <c r="Q69" s="135">
        <v>2938823</v>
      </c>
      <c r="R69" s="135">
        <v>368600</v>
      </c>
      <c r="S69" s="135">
        <v>2687120</v>
      </c>
      <c r="T69" s="135">
        <v>1380521</v>
      </c>
      <c r="U69" s="135">
        <v>218100</v>
      </c>
      <c r="V69" s="135">
        <v>4040086</v>
      </c>
      <c r="W69" s="135">
        <v>4986193</v>
      </c>
      <c r="X69" s="135">
        <v>368600</v>
      </c>
      <c r="Y69" s="135">
        <v>2687120</v>
      </c>
      <c r="Z69" s="135">
        <v>4180253</v>
      </c>
      <c r="AA69" s="135">
        <v>218100</v>
      </c>
      <c r="AB69" s="135">
        <v>-1981351</v>
      </c>
      <c r="AC69" s="135">
        <v>-50686</v>
      </c>
      <c r="AD69" s="135">
        <v>201912</v>
      </c>
      <c r="AE69" s="135">
        <v>0</v>
      </c>
      <c r="AF69" s="135">
        <v>0</v>
      </c>
      <c r="AG69" s="135">
        <v>0</v>
      </c>
      <c r="AH69" s="135">
        <v>0</v>
      </c>
      <c r="AI69" s="135">
        <v>74795</v>
      </c>
      <c r="AJ69" s="139"/>
      <c r="AO69" s="82">
        <v>85647885</v>
      </c>
      <c r="AP69" s="82">
        <v>1453835</v>
      </c>
      <c r="AQ69" s="135">
        <v>0</v>
      </c>
      <c r="AR69" s="135">
        <v>11130141</v>
      </c>
      <c r="AS69" s="135">
        <v>3909337</v>
      </c>
      <c r="AT69" s="135">
        <v>7117588</v>
      </c>
      <c r="AU69" s="135">
        <v>4730047</v>
      </c>
      <c r="AV69" s="135">
        <v>1744475</v>
      </c>
      <c r="AW69" s="135">
        <v>0</v>
      </c>
      <c r="AX69" s="135">
        <v>212063</v>
      </c>
      <c r="AY69" s="135">
        <v>0</v>
      </c>
      <c r="AZ69" s="135">
        <v>0</v>
      </c>
      <c r="BA69" s="135">
        <v>93</v>
      </c>
      <c r="BB69" s="135">
        <v>0</v>
      </c>
      <c r="BC69" s="135">
        <v>3500</v>
      </c>
      <c r="BH69" s="82">
        <v>6406801.1600000001</v>
      </c>
      <c r="BI69" s="82">
        <v>3203400.58</v>
      </c>
      <c r="BJ69" s="117">
        <v>52435233.160621762</v>
      </c>
      <c r="BK69" s="118">
        <v>3029918</v>
      </c>
      <c r="BL69" s="118">
        <v>6059837</v>
      </c>
      <c r="BM69" s="117">
        <v>55601651</v>
      </c>
      <c r="BN69" s="117">
        <v>55601651</v>
      </c>
      <c r="BO69" s="117">
        <v>58281011</v>
      </c>
      <c r="BP69" s="117">
        <v>47824007</v>
      </c>
      <c r="BQ69" s="117">
        <v>0</v>
      </c>
      <c r="BR69" s="117">
        <v>0</v>
      </c>
      <c r="BS69" s="138"/>
      <c r="BT69" s="86">
        <v>563926578.57999992</v>
      </c>
      <c r="BU69" s="86">
        <v>367165882</v>
      </c>
      <c r="BV69" s="87">
        <v>1787200</v>
      </c>
      <c r="BX69" s="135">
        <v>6339</v>
      </c>
      <c r="BY69" s="135">
        <v>3063</v>
      </c>
      <c r="BZ69" s="135">
        <v>262</v>
      </c>
      <c r="CA69" s="135">
        <f t="shared" si="8"/>
        <v>9664</v>
      </c>
      <c r="CB69" s="86">
        <v>347321562</v>
      </c>
      <c r="CC69" s="82">
        <f t="shared" si="9"/>
        <v>85647885</v>
      </c>
      <c r="CD69" s="82">
        <f t="shared" si="9"/>
        <v>1453835</v>
      </c>
      <c r="CE69" s="86">
        <f t="shared" si="10"/>
        <v>19769525</v>
      </c>
      <c r="CF69" s="86">
        <f t="shared" si="11"/>
        <v>454192807</v>
      </c>
    </row>
    <row r="70" spans="1:84" x14ac:dyDescent="0.25">
      <c r="A70" s="91" t="s">
        <v>124</v>
      </c>
      <c r="B70" s="135">
        <v>531556732</v>
      </c>
      <c r="C70" s="135">
        <v>207008078</v>
      </c>
      <c r="D70" s="135">
        <v>130647747</v>
      </c>
      <c r="E70" s="135">
        <v>0</v>
      </c>
      <c r="F70" s="135">
        <v>74435830</v>
      </c>
      <c r="G70" s="135">
        <v>18073099</v>
      </c>
      <c r="H70" s="135">
        <v>22199300</v>
      </c>
      <c r="I70" s="135">
        <v>2637000</v>
      </c>
      <c r="J70" s="135">
        <v>432300</v>
      </c>
      <c r="K70" s="135">
        <v>78600</v>
      </c>
      <c r="L70" s="135">
        <v>293388967</v>
      </c>
      <c r="M70" s="135">
        <v>116902908</v>
      </c>
      <c r="N70" s="135">
        <v>2734</v>
      </c>
      <c r="O70" s="135">
        <v>656</v>
      </c>
      <c r="P70" s="135">
        <v>5626561</v>
      </c>
      <c r="Q70" s="135">
        <v>6934605</v>
      </c>
      <c r="R70" s="135">
        <v>2038300</v>
      </c>
      <c r="S70" s="135">
        <v>5941096</v>
      </c>
      <c r="T70" s="135">
        <v>2936405</v>
      </c>
      <c r="U70" s="135">
        <v>324000</v>
      </c>
      <c r="V70" s="135">
        <v>5626561</v>
      </c>
      <c r="W70" s="135">
        <v>6975764</v>
      </c>
      <c r="X70" s="135">
        <v>2038300</v>
      </c>
      <c r="Y70" s="135">
        <v>5941096</v>
      </c>
      <c r="Z70" s="135">
        <v>5000436</v>
      </c>
      <c r="AA70" s="135">
        <v>324000</v>
      </c>
      <c r="AB70" s="135">
        <v>-4276850</v>
      </c>
      <c r="AC70" s="135">
        <v>-156930</v>
      </c>
      <c r="AD70" s="135">
        <v>55389</v>
      </c>
      <c r="AE70" s="135">
        <v>0</v>
      </c>
      <c r="AF70" s="135">
        <v>0</v>
      </c>
      <c r="AG70" s="135">
        <v>0</v>
      </c>
      <c r="AH70" s="135">
        <v>39942.620000000003</v>
      </c>
      <c r="AI70" s="135">
        <v>0</v>
      </c>
      <c r="AJ70" s="139"/>
      <c r="AO70" s="82">
        <v>146974573</v>
      </c>
      <c r="AP70" s="82">
        <v>4771951</v>
      </c>
      <c r="AQ70" s="135">
        <v>0</v>
      </c>
      <c r="AR70" s="135">
        <v>15379963</v>
      </c>
      <c r="AS70" s="135">
        <v>4951012</v>
      </c>
      <c r="AT70" s="135">
        <v>15507159</v>
      </c>
      <c r="AU70" s="135">
        <v>26974727</v>
      </c>
      <c r="AV70" s="135">
        <v>9766843</v>
      </c>
      <c r="AW70" s="135">
        <v>0</v>
      </c>
      <c r="AX70" s="135">
        <f>7061379+250</f>
        <v>7061629</v>
      </c>
      <c r="AY70" s="135">
        <v>0</v>
      </c>
      <c r="AZ70" s="135">
        <v>0</v>
      </c>
      <c r="BA70" s="135">
        <v>25174</v>
      </c>
      <c r="BB70" s="135">
        <v>60002</v>
      </c>
      <c r="BC70" s="135">
        <v>0</v>
      </c>
      <c r="BH70" s="82">
        <v>10994280.42</v>
      </c>
      <c r="BI70" s="82">
        <v>5497140.21</v>
      </c>
      <c r="BJ70" s="117">
        <v>0</v>
      </c>
      <c r="BK70" s="118">
        <v>2615191</v>
      </c>
      <c r="BL70" s="118">
        <v>5230381</v>
      </c>
      <c r="BM70" s="117">
        <v>52185280</v>
      </c>
      <c r="BN70" s="117">
        <v>52185280</v>
      </c>
      <c r="BO70" s="117">
        <v>156325214</v>
      </c>
      <c r="BP70" s="117">
        <v>150140623</v>
      </c>
      <c r="BQ70" s="117">
        <v>0</v>
      </c>
      <c r="BR70" s="117">
        <v>0</v>
      </c>
      <c r="BS70" s="138"/>
      <c r="BT70" s="86">
        <v>1278742959.8299999</v>
      </c>
      <c r="BU70" s="86">
        <v>916558201.62</v>
      </c>
      <c r="BV70" s="87">
        <v>513600</v>
      </c>
      <c r="BX70" s="135">
        <v>10660</v>
      </c>
      <c r="BY70" s="135">
        <v>4187</v>
      </c>
      <c r="BZ70" s="135">
        <v>773</v>
      </c>
      <c r="CA70" s="135">
        <f t="shared" si="8"/>
        <v>15620</v>
      </c>
      <c r="CB70" s="86">
        <v>869212557</v>
      </c>
      <c r="CC70" s="82">
        <f t="shared" si="9"/>
        <v>146974573</v>
      </c>
      <c r="CD70" s="82">
        <f t="shared" si="9"/>
        <v>4771951</v>
      </c>
      <c r="CE70" s="86">
        <f t="shared" si="10"/>
        <v>47305702</v>
      </c>
      <c r="CF70" s="86">
        <f t="shared" si="11"/>
        <v>1068264783</v>
      </c>
    </row>
    <row r="71" spans="1:84" x14ac:dyDescent="0.25">
      <c r="A71" s="91" t="s">
        <v>125</v>
      </c>
      <c r="B71" s="135">
        <v>260412962</v>
      </c>
      <c r="C71" s="135">
        <v>131955770</v>
      </c>
      <c r="D71" s="135">
        <v>94180161</v>
      </c>
      <c r="E71" s="135">
        <v>0</v>
      </c>
      <c r="F71" s="135">
        <v>34879700</v>
      </c>
      <c r="G71" s="135">
        <v>6266600</v>
      </c>
      <c r="H71" s="135">
        <v>10365200</v>
      </c>
      <c r="I71" s="135">
        <v>1228800</v>
      </c>
      <c r="J71" s="135">
        <v>78600</v>
      </c>
      <c r="K71" s="135">
        <v>0</v>
      </c>
      <c r="L71" s="135">
        <v>249374452</v>
      </c>
      <c r="M71" s="135">
        <v>70634600</v>
      </c>
      <c r="N71" s="135">
        <v>1247</v>
      </c>
      <c r="O71" s="135">
        <v>224</v>
      </c>
      <c r="P71" s="135">
        <v>2896945</v>
      </c>
      <c r="Q71" s="135">
        <v>2111600</v>
      </c>
      <c r="R71" s="135">
        <v>5380600</v>
      </c>
      <c r="S71" s="135">
        <v>3347100</v>
      </c>
      <c r="T71" s="135">
        <v>571550</v>
      </c>
      <c r="U71" s="135">
        <v>5274100</v>
      </c>
      <c r="V71" s="135">
        <v>2896945</v>
      </c>
      <c r="W71" s="135">
        <v>2497000</v>
      </c>
      <c r="X71" s="135">
        <v>5380600</v>
      </c>
      <c r="Y71" s="135">
        <v>3347100</v>
      </c>
      <c r="Z71" s="135">
        <v>623060</v>
      </c>
      <c r="AA71" s="135">
        <v>5274100</v>
      </c>
      <c r="AB71" s="135">
        <v>-1456117</v>
      </c>
      <c r="AC71" s="135">
        <v>-9635849</v>
      </c>
      <c r="AD71" s="135">
        <v>87649</v>
      </c>
      <c r="AE71" s="135">
        <v>0</v>
      </c>
      <c r="AF71" s="135">
        <v>0</v>
      </c>
      <c r="AG71" s="135">
        <v>175993</v>
      </c>
      <c r="AH71" s="135">
        <v>0</v>
      </c>
      <c r="AI71" s="135">
        <v>11000869</v>
      </c>
      <c r="AJ71" s="139"/>
      <c r="AO71" s="82">
        <v>82925342</v>
      </c>
      <c r="AP71" s="82">
        <v>7214017</v>
      </c>
      <c r="AQ71" s="135">
        <v>7440526</v>
      </c>
      <c r="AR71" s="135">
        <v>59306692</v>
      </c>
      <c r="AS71" s="135">
        <v>3968660</v>
      </c>
      <c r="AT71" s="135">
        <v>98511840</v>
      </c>
      <c r="AU71" s="135">
        <v>39562935</v>
      </c>
      <c r="AV71" s="135">
        <v>8422324</v>
      </c>
      <c r="AW71" s="135">
        <v>14047725</v>
      </c>
      <c r="AX71" s="135">
        <v>2405540</v>
      </c>
      <c r="AY71" s="135">
        <v>0</v>
      </c>
      <c r="AZ71" s="135">
        <v>0</v>
      </c>
      <c r="BA71" s="135">
        <v>0</v>
      </c>
      <c r="BB71" s="135">
        <v>0</v>
      </c>
      <c r="BC71" s="135">
        <v>0</v>
      </c>
      <c r="BH71" s="82">
        <v>6203144.1600000001</v>
      </c>
      <c r="BI71" s="82">
        <v>3101572.08</v>
      </c>
      <c r="BJ71" s="117">
        <v>94085492.227979273</v>
      </c>
      <c r="BK71" s="118">
        <v>416186</v>
      </c>
      <c r="BL71" s="118">
        <v>832371</v>
      </c>
      <c r="BM71" s="117">
        <v>152867759</v>
      </c>
      <c r="BN71" s="117">
        <v>152524150</v>
      </c>
      <c r="BO71" s="117">
        <v>66977101</v>
      </c>
      <c r="BP71" s="117">
        <v>66198474</v>
      </c>
      <c r="BQ71" s="117">
        <v>0</v>
      </c>
      <c r="BR71" s="117">
        <v>0</v>
      </c>
      <c r="BS71" s="138"/>
      <c r="BT71" s="86">
        <v>912767790.08000004</v>
      </c>
      <c r="BU71" s="86">
        <v>600388049</v>
      </c>
      <c r="BV71" s="87">
        <v>490886</v>
      </c>
      <c r="BX71" s="135">
        <v>4953</v>
      </c>
      <c r="BY71" s="135">
        <v>1861</v>
      </c>
      <c r="BZ71" s="135">
        <v>389</v>
      </c>
      <c r="CA71" s="135">
        <f t="shared" si="8"/>
        <v>7203</v>
      </c>
      <c r="CB71" s="86">
        <v>486548893</v>
      </c>
      <c r="CC71" s="82">
        <f t="shared" si="9"/>
        <v>82925342</v>
      </c>
      <c r="CD71" s="82">
        <f t="shared" si="9"/>
        <v>7214017</v>
      </c>
      <c r="CE71" s="86">
        <f t="shared" si="10"/>
        <v>116886012</v>
      </c>
      <c r="CF71" s="86">
        <f t="shared" si="11"/>
        <v>693574264</v>
      </c>
    </row>
    <row r="72" spans="1:84" x14ac:dyDescent="0.25">
      <c r="A72" s="91" t="s">
        <v>126</v>
      </c>
      <c r="B72" s="135">
        <v>695665339</v>
      </c>
      <c r="C72" s="135">
        <v>342087427</v>
      </c>
      <c r="D72" s="135">
        <v>274058998</v>
      </c>
      <c r="E72" s="135">
        <v>0</v>
      </c>
      <c r="F72" s="135">
        <v>79890325</v>
      </c>
      <c r="G72" s="135">
        <v>13506330</v>
      </c>
      <c r="H72" s="135">
        <v>18144830</v>
      </c>
      <c r="I72" s="135">
        <v>1292885</v>
      </c>
      <c r="J72" s="135">
        <v>107600</v>
      </c>
      <c r="K72" s="135">
        <v>0</v>
      </c>
      <c r="L72" s="135">
        <v>1118007737</v>
      </c>
      <c r="M72" s="135">
        <v>143588991</v>
      </c>
      <c r="N72" s="135">
        <v>2637</v>
      </c>
      <c r="O72" s="135">
        <v>418</v>
      </c>
      <c r="P72" s="135">
        <v>13524708</v>
      </c>
      <c r="Q72" s="135">
        <v>5667577</v>
      </c>
      <c r="R72" s="135">
        <v>7888794</v>
      </c>
      <c r="S72" s="135">
        <v>2579010</v>
      </c>
      <c r="T72" s="135">
        <v>2050054</v>
      </c>
      <c r="U72" s="135">
        <v>594480</v>
      </c>
      <c r="V72" s="135">
        <v>13524708</v>
      </c>
      <c r="W72" s="135">
        <v>12464576</v>
      </c>
      <c r="X72" s="135">
        <v>7888794</v>
      </c>
      <c r="Y72" s="135">
        <v>2579010</v>
      </c>
      <c r="Z72" s="135">
        <v>3723034</v>
      </c>
      <c r="AA72" s="135">
        <v>594480</v>
      </c>
      <c r="AB72" s="135">
        <v>-3671271</v>
      </c>
      <c r="AC72" s="135">
        <v>-180954</v>
      </c>
      <c r="AD72" s="135">
        <v>108069</v>
      </c>
      <c r="AE72" s="135">
        <v>0</v>
      </c>
      <c r="AF72" s="135">
        <v>733701562</v>
      </c>
      <c r="AG72" s="135">
        <v>320941</v>
      </c>
      <c r="AH72" s="135">
        <v>51901.64</v>
      </c>
      <c r="AI72" s="135">
        <v>100000</v>
      </c>
      <c r="AJ72" s="139"/>
      <c r="AO72" s="82">
        <v>204590718</v>
      </c>
      <c r="AP72" s="82">
        <v>6730202</v>
      </c>
      <c r="AQ72" s="135">
        <v>0</v>
      </c>
      <c r="AR72" s="135">
        <v>49124439</v>
      </c>
      <c r="AS72" s="135">
        <v>24911507</v>
      </c>
      <c r="AT72" s="135">
        <v>914068411</v>
      </c>
      <c r="AU72" s="135">
        <v>98832289</v>
      </c>
      <c r="AV72" s="135">
        <v>363113953</v>
      </c>
      <c r="AW72" s="135">
        <v>89901211</v>
      </c>
      <c r="AX72" s="135">
        <v>6353067</v>
      </c>
      <c r="AY72" s="135">
        <v>0</v>
      </c>
      <c r="AZ72" s="135">
        <v>125532</v>
      </c>
      <c r="BA72" s="135">
        <v>12691428</v>
      </c>
      <c r="BB72" s="135">
        <v>5892307</v>
      </c>
      <c r="BC72" s="135">
        <v>1771600</v>
      </c>
      <c r="BH72" s="82">
        <v>15304196.369999999</v>
      </c>
      <c r="BI72" s="82">
        <v>7652098.1900000004</v>
      </c>
      <c r="BJ72" s="117">
        <v>0</v>
      </c>
      <c r="BK72" s="118">
        <v>2678602</v>
      </c>
      <c r="BL72" s="118">
        <v>5357205</v>
      </c>
      <c r="BM72" s="117">
        <v>18116923</v>
      </c>
      <c r="BN72" s="117">
        <v>18116923</v>
      </c>
      <c r="BO72" s="117">
        <v>67028198</v>
      </c>
      <c r="BP72" s="117">
        <v>60353845</v>
      </c>
      <c r="BQ72" s="117">
        <v>0</v>
      </c>
      <c r="BR72" s="117">
        <v>8205002</v>
      </c>
      <c r="BS72" s="138"/>
      <c r="BT72" s="86">
        <v>1793159290.8300002</v>
      </c>
      <c r="BU72" s="86">
        <v>1484831900.6400001</v>
      </c>
      <c r="BV72" s="87">
        <v>3733392</v>
      </c>
      <c r="BX72" s="135">
        <v>12205</v>
      </c>
      <c r="BY72" s="135">
        <v>5109</v>
      </c>
      <c r="BZ72" s="135">
        <v>980</v>
      </c>
      <c r="CA72" s="135">
        <f t="shared" si="8"/>
        <v>18294</v>
      </c>
      <c r="CB72" s="86">
        <v>1311811764</v>
      </c>
      <c r="CC72" s="82">
        <f t="shared" si="9"/>
        <v>204590718</v>
      </c>
      <c r="CD72" s="82">
        <f t="shared" si="9"/>
        <v>6730202</v>
      </c>
      <c r="CE72" s="86">
        <f t="shared" si="10"/>
        <v>262769446</v>
      </c>
      <c r="CF72" s="86">
        <f t="shared" si="11"/>
        <v>1785902130</v>
      </c>
    </row>
    <row r="73" spans="1:84" x14ac:dyDescent="0.25">
      <c r="A73" s="91" t="s">
        <v>127</v>
      </c>
      <c r="B73" s="135">
        <v>538667829</v>
      </c>
      <c r="C73" s="135">
        <v>69639965</v>
      </c>
      <c r="D73" s="135">
        <v>96175964</v>
      </c>
      <c r="E73" s="135">
        <v>0</v>
      </c>
      <c r="F73" s="135">
        <v>32517860</v>
      </c>
      <c r="G73" s="135">
        <v>6405667</v>
      </c>
      <c r="H73" s="135">
        <v>6317290</v>
      </c>
      <c r="I73" s="135">
        <v>800800</v>
      </c>
      <c r="J73" s="135">
        <v>157200</v>
      </c>
      <c r="K73" s="135">
        <v>0</v>
      </c>
      <c r="L73" s="135">
        <v>167229775</v>
      </c>
      <c r="M73" s="135">
        <v>50581885</v>
      </c>
      <c r="N73" s="135">
        <v>1029</v>
      </c>
      <c r="O73" s="135">
        <v>199</v>
      </c>
      <c r="P73" s="135">
        <v>26000</v>
      </c>
      <c r="Q73" s="135">
        <v>0</v>
      </c>
      <c r="R73" s="135">
        <v>625000</v>
      </c>
      <c r="S73" s="135">
        <v>3499689</v>
      </c>
      <c r="T73" s="135">
        <v>479129</v>
      </c>
      <c r="U73" s="135">
        <v>545480</v>
      </c>
      <c r="V73" s="135">
        <v>26000</v>
      </c>
      <c r="W73" s="135">
        <v>0</v>
      </c>
      <c r="X73" s="135">
        <v>625000</v>
      </c>
      <c r="Y73" s="135">
        <v>3499689</v>
      </c>
      <c r="Z73" s="135">
        <v>5096403</v>
      </c>
      <c r="AA73" s="135">
        <v>545480</v>
      </c>
      <c r="AB73" s="135">
        <v>-2128895</v>
      </c>
      <c r="AC73" s="135">
        <v>-7094</v>
      </c>
      <c r="AD73" s="135">
        <v>28734</v>
      </c>
      <c r="AE73" s="135">
        <v>0</v>
      </c>
      <c r="AF73" s="135">
        <v>0</v>
      </c>
      <c r="AG73" s="135">
        <v>63521</v>
      </c>
      <c r="AI73" s="135">
        <v>0</v>
      </c>
      <c r="AJ73" s="139"/>
      <c r="AO73" s="82">
        <v>70942524</v>
      </c>
      <c r="AP73" s="82">
        <v>18942684</v>
      </c>
      <c r="AQ73" s="135">
        <v>2911572</v>
      </c>
      <c r="AR73" s="135">
        <v>14418404</v>
      </c>
      <c r="AS73" s="135">
        <v>131032</v>
      </c>
      <c r="AT73" s="135">
        <v>4041702</v>
      </c>
      <c r="AU73" s="135">
        <v>8219640</v>
      </c>
      <c r="AV73" s="135">
        <v>8372831</v>
      </c>
      <c r="AW73" s="135">
        <v>23726333</v>
      </c>
      <c r="AX73" s="135">
        <v>2936795</v>
      </c>
      <c r="AY73" s="135">
        <v>0</v>
      </c>
      <c r="AZ73" s="135">
        <v>46729</v>
      </c>
      <c r="BA73" s="135">
        <v>0</v>
      </c>
      <c r="BB73" s="135">
        <v>2080</v>
      </c>
      <c r="BC73" s="135">
        <v>100000</v>
      </c>
      <c r="BH73" s="82">
        <v>5306781.8899999997</v>
      </c>
      <c r="BI73" s="82">
        <v>2653390.9500000002</v>
      </c>
      <c r="BJ73" s="117">
        <v>39624352.331606224</v>
      </c>
      <c r="BK73" s="118">
        <v>1090392</v>
      </c>
      <c r="BL73" s="118">
        <v>2180783</v>
      </c>
      <c r="BM73" s="117">
        <v>18216981</v>
      </c>
      <c r="BN73" s="117">
        <v>16438011</v>
      </c>
      <c r="BO73" s="117">
        <v>23075061</v>
      </c>
      <c r="BP73" s="117">
        <v>21014296</v>
      </c>
      <c r="BQ73" s="117">
        <v>0</v>
      </c>
      <c r="BR73" s="117">
        <v>0</v>
      </c>
      <c r="BS73" s="138"/>
      <c r="BT73" s="86">
        <v>858334131.95000005</v>
      </c>
      <c r="BU73" s="86">
        <v>727252834</v>
      </c>
      <c r="BV73" s="87">
        <v>671625</v>
      </c>
      <c r="BX73" s="135">
        <v>6872</v>
      </c>
      <c r="BY73" s="135">
        <v>1071</v>
      </c>
      <c r="BZ73" s="135">
        <v>306</v>
      </c>
      <c r="CA73" s="135">
        <f t="shared" si="8"/>
        <v>8249</v>
      </c>
      <c r="CB73" s="86">
        <v>704483758</v>
      </c>
      <c r="CC73" s="82">
        <f t="shared" si="9"/>
        <v>70942524</v>
      </c>
      <c r="CD73" s="82">
        <f t="shared" si="9"/>
        <v>18942684</v>
      </c>
      <c r="CE73" s="86">
        <f t="shared" si="10"/>
        <v>46495409</v>
      </c>
      <c r="CF73" s="86">
        <f t="shared" si="11"/>
        <v>840864375</v>
      </c>
    </row>
    <row r="74" spans="1:84" x14ac:dyDescent="0.25">
      <c r="A74" s="91" t="s">
        <v>128</v>
      </c>
      <c r="B74" s="135">
        <v>2754217589</v>
      </c>
      <c r="C74" s="135">
        <v>212811246</v>
      </c>
      <c r="D74" s="135">
        <v>1364439224</v>
      </c>
      <c r="E74" s="135">
        <v>7815000</v>
      </c>
      <c r="F74" s="135">
        <v>241150900</v>
      </c>
      <c r="G74" s="135">
        <v>29260294</v>
      </c>
      <c r="H74" s="135">
        <v>13020267</v>
      </c>
      <c r="I74" s="135">
        <v>1139700</v>
      </c>
      <c r="J74" s="135">
        <v>759000</v>
      </c>
      <c r="K74" s="135">
        <v>78600</v>
      </c>
      <c r="L74" s="135">
        <v>226020521</v>
      </c>
      <c r="M74" s="135">
        <v>155246503</v>
      </c>
      <c r="N74" s="135">
        <v>6753</v>
      </c>
      <c r="O74" s="135">
        <v>897</v>
      </c>
      <c r="P74" s="135">
        <v>59869896</v>
      </c>
      <c r="Q74" s="135">
        <v>14575139</v>
      </c>
      <c r="R74" s="135">
        <v>107347729</v>
      </c>
      <c r="S74" s="135">
        <v>45391696</v>
      </c>
      <c r="T74" s="135">
        <v>14709253</v>
      </c>
      <c r="U74" s="135">
        <v>41594131</v>
      </c>
      <c r="V74" s="135">
        <v>59869896</v>
      </c>
      <c r="W74" s="135">
        <v>20232456</v>
      </c>
      <c r="X74" s="135">
        <v>107347729</v>
      </c>
      <c r="Y74" s="135">
        <v>45391696</v>
      </c>
      <c r="Z74" s="135">
        <v>15499990</v>
      </c>
      <c r="AA74" s="135">
        <v>41594131</v>
      </c>
      <c r="AB74" s="135">
        <v>-11809153</v>
      </c>
      <c r="AC74" s="135">
        <v>-2703962</v>
      </c>
      <c r="AD74" s="135">
        <v>0</v>
      </c>
      <c r="AE74" s="135">
        <v>0</v>
      </c>
      <c r="AF74" s="135">
        <v>0</v>
      </c>
      <c r="AG74" s="135">
        <v>792</v>
      </c>
      <c r="AH74" s="135">
        <v>0</v>
      </c>
      <c r="AI74" s="135">
        <v>1967</v>
      </c>
      <c r="AJ74" s="139"/>
      <c r="AO74" s="82">
        <v>549567457</v>
      </c>
      <c r="AP74" s="82">
        <v>21176438</v>
      </c>
      <c r="AQ74" s="135">
        <v>0</v>
      </c>
      <c r="AR74" s="135">
        <v>251335277</v>
      </c>
      <c r="AS74" s="135">
        <v>10357808</v>
      </c>
      <c r="AT74" s="135">
        <v>56391975</v>
      </c>
      <c r="AU74" s="135">
        <v>278253240</v>
      </c>
      <c r="AV74" s="135">
        <v>123453430</v>
      </c>
      <c r="AW74" s="135">
        <v>25388367</v>
      </c>
      <c r="AX74" s="135">
        <f>4762291+44330</f>
        <v>4806621</v>
      </c>
      <c r="AY74" s="135">
        <v>0</v>
      </c>
      <c r="AZ74" s="135">
        <v>44343</v>
      </c>
      <c r="BA74" s="135">
        <v>1</v>
      </c>
      <c r="BB74" s="135">
        <v>10473236</v>
      </c>
      <c r="BC74" s="135">
        <v>32188934</v>
      </c>
      <c r="BH74" s="82">
        <v>41109823.359999999</v>
      </c>
      <c r="BI74" s="82">
        <v>20554911.68</v>
      </c>
      <c r="BJ74" s="117">
        <v>38253886.010362692</v>
      </c>
      <c r="BK74" s="118">
        <v>5367409</v>
      </c>
      <c r="BL74" s="118">
        <v>10734818</v>
      </c>
      <c r="BM74" s="117">
        <v>93950853</v>
      </c>
      <c r="BN74" s="117">
        <v>85357637</v>
      </c>
      <c r="BO74" s="117">
        <v>168964547</v>
      </c>
      <c r="BP74" s="117">
        <v>126933251</v>
      </c>
      <c r="BQ74" s="117">
        <v>36357</v>
      </c>
      <c r="BR74" s="117">
        <v>71044802</v>
      </c>
      <c r="BS74" s="138"/>
      <c r="BT74" s="86">
        <v>5751454613.6800003</v>
      </c>
      <c r="BU74" s="86">
        <v>4871416351</v>
      </c>
      <c r="BV74" s="87">
        <v>4300257</v>
      </c>
      <c r="BX74" s="135">
        <v>28701</v>
      </c>
      <c r="BY74" s="135">
        <v>2035</v>
      </c>
      <c r="BZ74" s="135">
        <v>2486</v>
      </c>
      <c r="CA74" s="135">
        <f t="shared" si="8"/>
        <v>33222</v>
      </c>
      <c r="CB74" s="86">
        <v>4331468059</v>
      </c>
      <c r="CC74" s="82">
        <f t="shared" si="9"/>
        <v>549567457</v>
      </c>
      <c r="CD74" s="82">
        <f t="shared" si="9"/>
        <v>21176438</v>
      </c>
      <c r="CE74" s="86">
        <f t="shared" si="10"/>
        <v>565334692</v>
      </c>
      <c r="CF74" s="86">
        <f t="shared" si="11"/>
        <v>5467546646</v>
      </c>
    </row>
    <row r="75" spans="1:84" x14ac:dyDescent="0.25">
      <c r="A75" s="91" t="s">
        <v>129</v>
      </c>
      <c r="B75" s="135">
        <v>264594669</v>
      </c>
      <c r="C75" s="135">
        <v>44357890</v>
      </c>
      <c r="D75" s="135">
        <v>89155710</v>
      </c>
      <c r="E75" s="135">
        <v>0</v>
      </c>
      <c r="F75" s="135">
        <v>48237650</v>
      </c>
      <c r="G75" s="135">
        <v>19424570</v>
      </c>
      <c r="H75" s="135">
        <v>6121400</v>
      </c>
      <c r="I75" s="135">
        <v>1252250</v>
      </c>
      <c r="J75" s="135">
        <v>98600</v>
      </c>
      <c r="K75" s="135">
        <v>0</v>
      </c>
      <c r="L75" s="135">
        <v>26259410</v>
      </c>
      <c r="M75" s="135">
        <v>0</v>
      </c>
      <c r="N75" s="135">
        <v>1554</v>
      </c>
      <c r="O75" s="135">
        <v>657</v>
      </c>
      <c r="P75" s="135">
        <v>4329300</v>
      </c>
      <c r="Q75" s="135">
        <v>677545</v>
      </c>
      <c r="R75" s="135">
        <v>6588000</v>
      </c>
      <c r="S75" s="135">
        <v>3084200</v>
      </c>
      <c r="T75" s="135">
        <v>1192130</v>
      </c>
      <c r="U75" s="135">
        <v>1943000</v>
      </c>
      <c r="V75" s="135">
        <v>4329300</v>
      </c>
      <c r="W75" s="135">
        <v>1720000</v>
      </c>
      <c r="X75" s="135">
        <v>6588000</v>
      </c>
      <c r="Y75" s="135">
        <v>3084200</v>
      </c>
      <c r="Z75" s="135">
        <v>721500</v>
      </c>
      <c r="AA75" s="135">
        <v>1943000</v>
      </c>
      <c r="AB75" s="135">
        <v>-1768000</v>
      </c>
      <c r="AC75" s="135">
        <v>-7102</v>
      </c>
      <c r="AD75" s="135">
        <v>32227</v>
      </c>
      <c r="AE75" s="135">
        <v>0</v>
      </c>
      <c r="AF75" s="135">
        <v>0</v>
      </c>
      <c r="AG75" s="135">
        <v>44623</v>
      </c>
      <c r="AH75" s="135">
        <v>16790.98</v>
      </c>
      <c r="AI75" s="135">
        <v>450611</v>
      </c>
      <c r="AJ75" s="139">
        <v>25000</v>
      </c>
      <c r="AO75" s="82">
        <v>73868075</v>
      </c>
      <c r="AP75" s="82">
        <v>2620189</v>
      </c>
      <c r="AQ75" s="135">
        <v>0</v>
      </c>
      <c r="AR75" s="135">
        <v>10258383</v>
      </c>
      <c r="AS75" s="135">
        <v>45351</v>
      </c>
      <c r="AT75" s="135">
        <v>8803215</v>
      </c>
      <c r="AU75" s="135">
        <v>9724656</v>
      </c>
      <c r="AV75" s="135">
        <v>11781769</v>
      </c>
      <c r="AW75" s="135">
        <v>0</v>
      </c>
      <c r="AX75" s="135">
        <v>1030752</v>
      </c>
      <c r="AY75" s="135">
        <v>0</v>
      </c>
      <c r="AZ75" s="135">
        <v>0</v>
      </c>
      <c r="BA75" s="135">
        <v>0</v>
      </c>
      <c r="BB75" s="135">
        <v>0</v>
      </c>
      <c r="BC75" s="135">
        <v>13500</v>
      </c>
      <c r="BH75" s="82">
        <v>5525624.7000000002</v>
      </c>
      <c r="BI75" s="82">
        <v>2762812.35</v>
      </c>
      <c r="BJ75" s="117">
        <v>0</v>
      </c>
      <c r="BK75" s="118">
        <v>3922786</v>
      </c>
      <c r="BL75" s="118">
        <v>7845572</v>
      </c>
      <c r="BM75" s="117">
        <v>43217297</v>
      </c>
      <c r="BN75" s="117">
        <v>43217297</v>
      </c>
      <c r="BO75" s="117">
        <v>44151650</v>
      </c>
      <c r="BP75" s="117">
        <v>36808617</v>
      </c>
      <c r="BQ75" s="117">
        <v>0</v>
      </c>
      <c r="BR75" s="117">
        <v>0</v>
      </c>
      <c r="BS75" s="138"/>
      <c r="BT75" s="86">
        <v>581828837.33000004</v>
      </c>
      <c r="BU75" s="86">
        <v>418629060.98000002</v>
      </c>
      <c r="BV75" s="87">
        <v>642100</v>
      </c>
      <c r="BX75" s="135">
        <v>8301</v>
      </c>
      <c r="BY75" s="135">
        <v>988</v>
      </c>
      <c r="BZ75" s="135">
        <v>540</v>
      </c>
      <c r="CA75" s="135">
        <f t="shared" si="8"/>
        <v>9829</v>
      </c>
      <c r="CB75" s="86">
        <v>398108269</v>
      </c>
      <c r="CC75" s="82">
        <f t="shared" si="9"/>
        <v>73868075</v>
      </c>
      <c r="CD75" s="82">
        <f t="shared" si="9"/>
        <v>2620189</v>
      </c>
      <c r="CE75" s="86">
        <f t="shared" si="10"/>
        <v>20028390</v>
      </c>
      <c r="CF75" s="86">
        <f t="shared" si="11"/>
        <v>494624923</v>
      </c>
    </row>
    <row r="76" spans="1:84" x14ac:dyDescent="0.25">
      <c r="A76" s="91" t="s">
        <v>130</v>
      </c>
      <c r="B76" s="135">
        <v>203088855</v>
      </c>
      <c r="C76" s="135">
        <v>159246550</v>
      </c>
      <c r="D76" s="135">
        <v>67036790</v>
      </c>
      <c r="E76" s="135">
        <v>0</v>
      </c>
      <c r="F76" s="135">
        <v>31285610</v>
      </c>
      <c r="G76" s="135">
        <v>8395450</v>
      </c>
      <c r="H76" s="135">
        <v>7006400</v>
      </c>
      <c r="I76" s="135">
        <v>811100</v>
      </c>
      <c r="J76" s="135">
        <v>57400</v>
      </c>
      <c r="K76" s="135">
        <v>0</v>
      </c>
      <c r="L76" s="135">
        <v>456482543</v>
      </c>
      <c r="M76" s="135">
        <v>51922560</v>
      </c>
      <c r="N76" s="135">
        <v>1067</v>
      </c>
      <c r="O76" s="135">
        <v>272</v>
      </c>
      <c r="P76" s="135">
        <v>1841710</v>
      </c>
      <c r="Q76" s="135">
        <v>2008420</v>
      </c>
      <c r="R76" s="135">
        <v>6786980</v>
      </c>
      <c r="S76" s="135">
        <v>120000</v>
      </c>
      <c r="T76" s="135">
        <v>327810</v>
      </c>
      <c r="U76" s="135">
        <v>4500</v>
      </c>
      <c r="V76" s="135">
        <v>1841710</v>
      </c>
      <c r="W76" s="135">
        <v>2008420</v>
      </c>
      <c r="X76" s="135">
        <v>6786980</v>
      </c>
      <c r="Y76" s="135">
        <v>120000</v>
      </c>
      <c r="Z76" s="135">
        <v>327810</v>
      </c>
      <c r="AA76" s="135">
        <v>4500</v>
      </c>
      <c r="AB76" s="135">
        <v>-2312505</v>
      </c>
      <c r="AC76" s="135">
        <v>-215655</v>
      </c>
      <c r="AD76" s="135">
        <v>15635</v>
      </c>
      <c r="AE76" s="135">
        <v>2942</v>
      </c>
      <c r="AF76" s="135">
        <v>6198514</v>
      </c>
      <c r="AG76" s="135">
        <v>153046</v>
      </c>
      <c r="AH76" s="135">
        <v>7450721.3099999996</v>
      </c>
      <c r="AI76" s="135">
        <v>1204.9180327868853</v>
      </c>
      <c r="AJ76" s="139">
        <v>3500000</v>
      </c>
      <c r="AO76" s="82">
        <v>80058919</v>
      </c>
      <c r="AP76" s="82">
        <v>2936803</v>
      </c>
      <c r="AQ76" s="135">
        <v>0</v>
      </c>
      <c r="AR76" s="135">
        <v>61211703</v>
      </c>
      <c r="AS76" s="135">
        <v>2699198</v>
      </c>
      <c r="AT76" s="135">
        <v>5854312</v>
      </c>
      <c r="AU76" s="135">
        <v>11390097</v>
      </c>
      <c r="AV76" s="135">
        <v>8435366</v>
      </c>
      <c r="AW76" s="135">
        <v>0</v>
      </c>
      <c r="AX76" s="135">
        <v>19238835</v>
      </c>
      <c r="AY76" s="135">
        <v>0</v>
      </c>
      <c r="AZ76" s="135">
        <v>1229612</v>
      </c>
      <c r="BA76" s="135">
        <v>15358979</v>
      </c>
      <c r="BB76" s="135">
        <v>0</v>
      </c>
      <c r="BC76" s="135">
        <v>254271</v>
      </c>
      <c r="BH76" s="82">
        <v>5988724.3600000003</v>
      </c>
      <c r="BI76" s="82">
        <v>2994362.18</v>
      </c>
      <c r="BJ76" s="117">
        <v>17041450.777202073</v>
      </c>
      <c r="BK76" s="118">
        <v>0</v>
      </c>
      <c r="BL76" s="118">
        <v>0</v>
      </c>
      <c r="BM76" s="117">
        <v>11223644</v>
      </c>
      <c r="BN76" s="117">
        <v>11223644</v>
      </c>
      <c r="BO76" s="117">
        <v>24168744</v>
      </c>
      <c r="BP76" s="117">
        <v>24168744</v>
      </c>
      <c r="BQ76" s="117">
        <v>0</v>
      </c>
      <c r="BR76" s="117">
        <v>0</v>
      </c>
      <c r="BS76" s="138"/>
      <c r="BT76" s="86">
        <v>637007591.40803277</v>
      </c>
      <c r="BU76" s="86">
        <v>515625119.22803277</v>
      </c>
      <c r="BV76" s="87">
        <v>577342</v>
      </c>
      <c r="BX76" s="135">
        <v>4121</v>
      </c>
      <c r="BY76" s="135">
        <v>2091</v>
      </c>
      <c r="BZ76" s="135">
        <v>300</v>
      </c>
      <c r="CA76" s="135">
        <f t="shared" si="8"/>
        <v>6512</v>
      </c>
      <c r="CB76" s="86">
        <v>429372195</v>
      </c>
      <c r="CC76" s="82">
        <f t="shared" si="9"/>
        <v>80058919</v>
      </c>
      <c r="CD76" s="82">
        <f t="shared" si="9"/>
        <v>2936803</v>
      </c>
      <c r="CE76" s="86">
        <f t="shared" si="10"/>
        <v>75300998</v>
      </c>
      <c r="CF76" s="86">
        <f t="shared" si="11"/>
        <v>587668915</v>
      </c>
    </row>
    <row r="77" spans="1:84" x14ac:dyDescent="0.25">
      <c r="A77" s="91" t="s">
        <v>131</v>
      </c>
      <c r="B77" s="135">
        <v>3679912501</v>
      </c>
      <c r="C77" s="135">
        <v>308006236</v>
      </c>
      <c r="D77" s="135">
        <v>1196125164</v>
      </c>
      <c r="E77" s="135">
        <v>0</v>
      </c>
      <c r="F77" s="135">
        <v>246107788</v>
      </c>
      <c r="G77" s="135">
        <v>21044201</v>
      </c>
      <c r="H77" s="135">
        <v>23412403</v>
      </c>
      <c r="I77" s="135">
        <v>871300</v>
      </c>
      <c r="J77" s="135">
        <v>589500</v>
      </c>
      <c r="K77" s="135">
        <v>0</v>
      </c>
      <c r="L77" s="135">
        <v>490410207</v>
      </c>
      <c r="M77" s="135">
        <v>214829377</v>
      </c>
      <c r="N77" s="135">
        <v>7081</v>
      </c>
      <c r="O77" s="135">
        <v>597</v>
      </c>
      <c r="P77" s="135">
        <v>92565089</v>
      </c>
      <c r="Q77" s="135">
        <v>12430900</v>
      </c>
      <c r="R77" s="135">
        <v>24567324</v>
      </c>
      <c r="S77" s="135">
        <v>23113954</v>
      </c>
      <c r="T77" s="135">
        <v>2760099</v>
      </c>
      <c r="U77" s="135">
        <v>13920511</v>
      </c>
      <c r="V77" s="135">
        <v>92565089</v>
      </c>
      <c r="W77" s="135">
        <v>13141800</v>
      </c>
      <c r="X77" s="135">
        <v>24567324</v>
      </c>
      <c r="Y77" s="135">
        <v>23113954</v>
      </c>
      <c r="Z77" s="135">
        <v>12292389</v>
      </c>
      <c r="AA77" s="135">
        <v>13920511</v>
      </c>
      <c r="AB77" s="135">
        <v>-3005441</v>
      </c>
      <c r="AC77" s="135">
        <v>-38189831</v>
      </c>
      <c r="AD77" s="135">
        <v>1993</v>
      </c>
      <c r="AE77" s="135">
        <v>0</v>
      </c>
      <c r="AF77" s="135">
        <v>0</v>
      </c>
      <c r="AG77" s="135">
        <v>210713.34359999999</v>
      </c>
      <c r="AH77" s="135">
        <v>0</v>
      </c>
      <c r="AI77" s="135">
        <v>1060541</v>
      </c>
      <c r="AJ77" s="139"/>
      <c r="AO77" s="82">
        <v>644604123</v>
      </c>
      <c r="AP77" s="82">
        <v>15866451</v>
      </c>
      <c r="AQ77" s="135">
        <v>36640</v>
      </c>
      <c r="AR77" s="135">
        <v>170818407</v>
      </c>
      <c r="AS77" s="135">
        <v>18889404</v>
      </c>
      <c r="AT77" s="135">
        <v>576747968</v>
      </c>
      <c r="AU77" s="135">
        <v>150203023</v>
      </c>
      <c r="AV77" s="135">
        <v>231617849</v>
      </c>
      <c r="AW77" s="135">
        <v>61620522</v>
      </c>
      <c r="AX77" s="135">
        <f>4814122+138883026</f>
        <v>143697148</v>
      </c>
      <c r="AY77" s="135">
        <v>0</v>
      </c>
      <c r="AZ77" s="135">
        <v>0</v>
      </c>
      <c r="BA77" s="135">
        <v>804964</v>
      </c>
      <c r="BB77" s="135">
        <v>118348</v>
      </c>
      <c r="BC77" s="135">
        <v>796987</v>
      </c>
      <c r="BH77" s="82">
        <v>48218942.549999997</v>
      </c>
      <c r="BI77" s="82">
        <v>24109471.280000001</v>
      </c>
      <c r="BJ77" s="117">
        <v>0</v>
      </c>
      <c r="BK77" s="118">
        <v>2145068</v>
      </c>
      <c r="BL77" s="118">
        <v>4290137</v>
      </c>
      <c r="BM77" s="117">
        <v>55592594</v>
      </c>
      <c r="BN77" s="117">
        <v>55592594</v>
      </c>
      <c r="BO77" s="117">
        <v>211364404</v>
      </c>
      <c r="BP77" s="117">
        <v>206759766</v>
      </c>
      <c r="BQ77" s="117">
        <v>0</v>
      </c>
      <c r="BR77" s="117">
        <v>0</v>
      </c>
      <c r="BS77" s="138"/>
      <c r="BT77" s="86">
        <v>6474092749.2799997</v>
      </c>
      <c r="BU77" s="86">
        <v>5525015276</v>
      </c>
      <c r="BV77" s="87">
        <v>3304114</v>
      </c>
      <c r="BX77" s="135">
        <v>29969</v>
      </c>
      <c r="BY77" s="135">
        <v>3669</v>
      </c>
      <c r="BZ77" s="135">
        <v>2429</v>
      </c>
      <c r="CA77" s="135">
        <f t="shared" si="8"/>
        <v>36067</v>
      </c>
      <c r="CB77" s="86">
        <v>5184043901</v>
      </c>
      <c r="CC77" s="82">
        <f t="shared" si="9"/>
        <v>644604123</v>
      </c>
      <c r="CD77" s="82">
        <f t="shared" si="9"/>
        <v>15866451</v>
      </c>
      <c r="CE77" s="86">
        <f t="shared" si="10"/>
        <v>401531356</v>
      </c>
      <c r="CF77" s="86">
        <f t="shared" si="11"/>
        <v>6246045831</v>
      </c>
    </row>
    <row r="78" spans="1:84" x14ac:dyDescent="0.25">
      <c r="A78" s="91" t="s">
        <v>132</v>
      </c>
      <c r="B78" s="135">
        <v>108029450</v>
      </c>
      <c r="C78" s="135">
        <v>47334665</v>
      </c>
      <c r="D78" s="135">
        <v>44947711</v>
      </c>
      <c r="E78" s="135">
        <v>0</v>
      </c>
      <c r="F78" s="135">
        <v>23789300</v>
      </c>
      <c r="G78" s="135">
        <v>24994910</v>
      </c>
      <c r="H78" s="135">
        <v>10573521</v>
      </c>
      <c r="I78" s="135">
        <v>7188990</v>
      </c>
      <c r="J78" s="135">
        <v>0</v>
      </c>
      <c r="K78" s="135">
        <v>0</v>
      </c>
      <c r="L78" s="135">
        <v>82283533</v>
      </c>
      <c r="M78" s="135">
        <v>38149650</v>
      </c>
      <c r="N78" s="135">
        <v>1139</v>
      </c>
      <c r="O78" s="135">
        <v>1198</v>
      </c>
      <c r="P78" s="135">
        <v>391000</v>
      </c>
      <c r="Q78" s="135">
        <v>226100</v>
      </c>
      <c r="R78" s="135">
        <v>2085000</v>
      </c>
      <c r="S78" s="135">
        <v>2193400</v>
      </c>
      <c r="T78" s="135">
        <v>296700</v>
      </c>
      <c r="U78" s="135">
        <v>38000</v>
      </c>
      <c r="V78" s="135">
        <v>391000</v>
      </c>
      <c r="W78" s="135">
        <v>326700</v>
      </c>
      <c r="X78" s="135">
        <v>2085000</v>
      </c>
      <c r="Y78" s="135">
        <v>2193400</v>
      </c>
      <c r="Z78" s="135">
        <v>376000</v>
      </c>
      <c r="AA78" s="135">
        <v>38000</v>
      </c>
      <c r="AB78" s="135">
        <v>-1777300</v>
      </c>
      <c r="AC78" s="135">
        <v>-82848</v>
      </c>
      <c r="AD78" s="135">
        <v>146471</v>
      </c>
      <c r="AE78" s="135">
        <v>0</v>
      </c>
      <c r="AF78" s="135">
        <v>0</v>
      </c>
      <c r="AG78" s="135">
        <v>2451721</v>
      </c>
      <c r="AH78" s="135">
        <v>4534610.6500000004</v>
      </c>
      <c r="AI78" s="135">
        <v>2149360.6557377051</v>
      </c>
      <c r="AJ78" s="139">
        <v>500000</v>
      </c>
      <c r="AO78" s="82">
        <v>79670299</v>
      </c>
      <c r="AP78" s="82">
        <v>1714064</v>
      </c>
      <c r="AQ78" s="135">
        <v>0</v>
      </c>
      <c r="AR78" s="135">
        <v>14709746</v>
      </c>
      <c r="AS78" s="135">
        <v>82262</v>
      </c>
      <c r="AT78" s="135">
        <v>2640076</v>
      </c>
      <c r="AU78" s="135">
        <v>10393015</v>
      </c>
      <c r="AV78" s="135">
        <v>561745</v>
      </c>
      <c r="AW78" s="135">
        <v>0</v>
      </c>
      <c r="AX78" s="135">
        <v>137606</v>
      </c>
      <c r="AY78" s="135">
        <v>0</v>
      </c>
      <c r="AZ78" s="135">
        <v>0</v>
      </c>
      <c r="BA78" s="135">
        <v>0</v>
      </c>
      <c r="BB78" s="135">
        <v>0</v>
      </c>
      <c r="BC78" s="135">
        <v>0</v>
      </c>
      <c r="BH78" s="82">
        <v>5959654.0499999998</v>
      </c>
      <c r="BI78" s="82">
        <v>2979827.03</v>
      </c>
      <c r="BJ78" s="117">
        <v>0</v>
      </c>
      <c r="BK78" s="118">
        <v>0</v>
      </c>
      <c r="BL78" s="118">
        <v>0</v>
      </c>
      <c r="BM78" s="117">
        <v>759045</v>
      </c>
      <c r="BN78" s="117">
        <v>759045</v>
      </c>
      <c r="BO78" s="117">
        <v>40931435</v>
      </c>
      <c r="BP78" s="117">
        <v>40928554</v>
      </c>
      <c r="BQ78" s="117">
        <v>0</v>
      </c>
      <c r="BR78" s="117">
        <v>0</v>
      </c>
      <c r="BS78" s="138"/>
      <c r="BT78" s="86">
        <v>358732609.33573771</v>
      </c>
      <c r="BU78" s="86">
        <v>232680820.3057377</v>
      </c>
      <c r="BV78" s="87">
        <v>347414</v>
      </c>
      <c r="BX78" s="135">
        <v>6287</v>
      </c>
      <c r="BY78" s="135">
        <v>3702</v>
      </c>
      <c r="BZ78" s="135">
        <v>291</v>
      </c>
      <c r="CA78" s="135">
        <f t="shared" si="8"/>
        <v>10280</v>
      </c>
      <c r="CB78" s="86">
        <v>200311826</v>
      </c>
      <c r="CC78" s="82">
        <f t="shared" si="9"/>
        <v>79670299</v>
      </c>
      <c r="CD78" s="82">
        <f t="shared" si="9"/>
        <v>1714064</v>
      </c>
      <c r="CE78" s="86">
        <f t="shared" si="10"/>
        <v>25185023</v>
      </c>
      <c r="CF78" s="86">
        <f t="shared" si="11"/>
        <v>306881212</v>
      </c>
    </row>
    <row r="79" spans="1:84" x14ac:dyDescent="0.25">
      <c r="A79" s="91" t="s">
        <v>133</v>
      </c>
      <c r="B79" s="135">
        <v>532727020</v>
      </c>
      <c r="C79" s="135">
        <v>203173067</v>
      </c>
      <c r="D79" s="135">
        <v>319865569</v>
      </c>
      <c r="E79" s="135">
        <v>36700000</v>
      </c>
      <c r="F79" s="135">
        <v>53769555</v>
      </c>
      <c r="G79" s="135">
        <v>11950220</v>
      </c>
      <c r="H79" s="135">
        <v>16058900</v>
      </c>
      <c r="I79" s="135">
        <v>2353500</v>
      </c>
      <c r="J79" s="135">
        <v>196500</v>
      </c>
      <c r="K79" s="135">
        <v>0</v>
      </c>
      <c r="L79" s="135">
        <v>382260929</v>
      </c>
      <c r="M79" s="135">
        <v>131490650</v>
      </c>
      <c r="N79" s="135">
        <v>1836</v>
      </c>
      <c r="O79" s="135">
        <v>405</v>
      </c>
      <c r="P79" s="135">
        <v>8166205</v>
      </c>
      <c r="Q79" s="135">
        <v>2094500</v>
      </c>
      <c r="R79" s="135">
        <v>11556150</v>
      </c>
      <c r="S79" s="135">
        <v>2723239</v>
      </c>
      <c r="T79" s="135">
        <v>1303375</v>
      </c>
      <c r="U79" s="135">
        <v>4755175</v>
      </c>
      <c r="V79" s="135">
        <v>8166205</v>
      </c>
      <c r="W79" s="135">
        <v>2748627</v>
      </c>
      <c r="X79" s="135">
        <v>11556150</v>
      </c>
      <c r="Y79" s="135">
        <v>2723239</v>
      </c>
      <c r="Z79" s="135">
        <v>3157460</v>
      </c>
      <c r="AA79" s="135">
        <v>4755175</v>
      </c>
      <c r="AB79" s="135">
        <v>-860600</v>
      </c>
      <c r="AC79" s="135">
        <v>-593061</v>
      </c>
      <c r="AD79" s="135">
        <v>53096</v>
      </c>
      <c r="AE79" s="135">
        <v>0</v>
      </c>
      <c r="AF79" s="135">
        <v>0</v>
      </c>
      <c r="AG79" s="135">
        <v>204954</v>
      </c>
      <c r="AH79" s="135">
        <v>2286.89</v>
      </c>
      <c r="AI79" s="135">
        <v>231656</v>
      </c>
      <c r="AJ79" s="139"/>
      <c r="AO79" s="82">
        <v>132523054</v>
      </c>
      <c r="AP79" s="82">
        <v>3093428</v>
      </c>
      <c r="AQ79" s="135">
        <v>0</v>
      </c>
      <c r="AR79" s="135">
        <v>38762863</v>
      </c>
      <c r="AS79" s="135">
        <v>17292108</v>
      </c>
      <c r="AT79" s="135">
        <v>331036997</v>
      </c>
      <c r="AU79" s="135">
        <v>35033969</v>
      </c>
      <c r="AV79" s="135">
        <v>91544478</v>
      </c>
      <c r="AW79" s="135">
        <v>13324150</v>
      </c>
      <c r="AX79" s="135">
        <v>9013345</v>
      </c>
      <c r="AY79" s="135">
        <v>0</v>
      </c>
      <c r="AZ79" s="135">
        <v>2375000</v>
      </c>
      <c r="BA79" s="135">
        <v>95096</v>
      </c>
      <c r="BB79" s="135">
        <v>302076</v>
      </c>
      <c r="BC79" s="135">
        <v>21000</v>
      </c>
      <c r="BH79" s="82">
        <v>9913249.5399999991</v>
      </c>
      <c r="BI79" s="82">
        <v>4956624.7699999996</v>
      </c>
      <c r="BJ79" s="117">
        <v>0</v>
      </c>
      <c r="BK79" s="118">
        <v>0</v>
      </c>
      <c r="BL79" s="118">
        <v>0</v>
      </c>
      <c r="BM79" s="117">
        <v>28455283</v>
      </c>
      <c r="BN79" s="117">
        <v>28455283</v>
      </c>
      <c r="BO79" s="117">
        <v>49650220</v>
      </c>
      <c r="BP79" s="117">
        <v>49338419</v>
      </c>
      <c r="BQ79" s="117">
        <v>207710060</v>
      </c>
      <c r="BR79" s="117">
        <v>0</v>
      </c>
      <c r="BS79" s="138"/>
      <c r="BT79" s="86">
        <v>1573165407.6599998</v>
      </c>
      <c r="BU79" s="86">
        <v>1147088538.8899999</v>
      </c>
      <c r="BV79" s="87">
        <v>1010000</v>
      </c>
      <c r="BX79" s="135">
        <v>6897</v>
      </c>
      <c r="BY79" s="135">
        <v>3017</v>
      </c>
      <c r="BZ79" s="135">
        <v>609</v>
      </c>
      <c r="CA79" s="135">
        <f t="shared" si="8"/>
        <v>10523</v>
      </c>
      <c r="CB79" s="86">
        <v>1055765656</v>
      </c>
      <c r="CC79" s="82">
        <f t="shared" si="9"/>
        <v>132523054</v>
      </c>
      <c r="CD79" s="82">
        <f t="shared" si="9"/>
        <v>3093428</v>
      </c>
      <c r="CE79" s="86">
        <f t="shared" si="10"/>
        <v>104413090</v>
      </c>
      <c r="CF79" s="86">
        <f t="shared" si="11"/>
        <v>1295795228</v>
      </c>
    </row>
    <row r="80" spans="1:84" x14ac:dyDescent="0.25">
      <c r="A80" s="91" t="s">
        <v>134</v>
      </c>
      <c r="B80" s="135">
        <v>1378611644</v>
      </c>
      <c r="C80" s="135">
        <v>231903978</v>
      </c>
      <c r="D80" s="135">
        <v>443258985</v>
      </c>
      <c r="E80" s="135">
        <v>0</v>
      </c>
      <c r="F80" s="135">
        <v>127346273</v>
      </c>
      <c r="G80" s="135">
        <v>13544460</v>
      </c>
      <c r="H80" s="135">
        <v>23368749</v>
      </c>
      <c r="I80" s="135">
        <v>1436355</v>
      </c>
      <c r="J80" s="135">
        <v>558900</v>
      </c>
      <c r="K80" s="135">
        <v>0</v>
      </c>
      <c r="L80" s="135">
        <v>231154540</v>
      </c>
      <c r="M80" s="135">
        <v>156662023</v>
      </c>
      <c r="N80" s="135">
        <v>4082</v>
      </c>
      <c r="O80" s="135">
        <v>439</v>
      </c>
      <c r="P80" s="135">
        <v>30542605</v>
      </c>
      <c r="Q80" s="135">
        <v>8334918</v>
      </c>
      <c r="R80" s="135">
        <v>27689800</v>
      </c>
      <c r="S80" s="135">
        <v>13811897</v>
      </c>
      <c r="T80" s="135">
        <v>1801354</v>
      </c>
      <c r="U80" s="135">
        <v>7261630</v>
      </c>
      <c r="V80" s="135">
        <v>30769205</v>
      </c>
      <c r="W80" s="135">
        <v>8748055</v>
      </c>
      <c r="X80" s="135">
        <v>27689800</v>
      </c>
      <c r="Y80" s="135">
        <v>14070147</v>
      </c>
      <c r="Z80" s="135">
        <v>2151242</v>
      </c>
      <c r="AA80" s="135">
        <v>7300930</v>
      </c>
      <c r="AB80" s="135">
        <v>-8491598</v>
      </c>
      <c r="AC80" s="135">
        <v>-375434</v>
      </c>
      <c r="AD80" s="135">
        <v>0</v>
      </c>
      <c r="AE80" s="135">
        <v>0</v>
      </c>
      <c r="AF80" s="135">
        <v>0</v>
      </c>
      <c r="AG80" s="135">
        <v>132131.04</v>
      </c>
      <c r="AH80" s="135">
        <v>0</v>
      </c>
      <c r="AI80" s="135">
        <v>5000</v>
      </c>
      <c r="AJ80" s="139"/>
      <c r="AO80" s="82">
        <v>285652186</v>
      </c>
      <c r="AP80" s="82">
        <v>36320989</v>
      </c>
      <c r="AQ80" s="135">
        <v>3746680</v>
      </c>
      <c r="AR80" s="135">
        <v>113105591</v>
      </c>
      <c r="AS80" s="135">
        <v>44764875</v>
      </c>
      <c r="AT80" s="135">
        <v>1097776587</v>
      </c>
      <c r="AU80" s="135">
        <v>69946439</v>
      </c>
      <c r="AV80" s="135">
        <v>137851242</v>
      </c>
      <c r="AW80" s="135">
        <v>96996509</v>
      </c>
      <c r="AX80" s="135">
        <v>2333035</v>
      </c>
      <c r="AY80" s="135">
        <v>0</v>
      </c>
      <c r="AZ80" s="135">
        <v>28984</v>
      </c>
      <c r="BA80" s="135">
        <v>0</v>
      </c>
      <c r="BB80" s="135">
        <v>787975</v>
      </c>
      <c r="BC80" s="135">
        <v>30500</v>
      </c>
      <c r="BH80" s="82">
        <v>21367915.370000001</v>
      </c>
      <c r="BI80" s="82">
        <v>10683957.689999999</v>
      </c>
      <c r="BJ80" s="117">
        <v>21033678.756476682</v>
      </c>
      <c r="BK80" s="118">
        <v>1296662</v>
      </c>
      <c r="BL80" s="118">
        <v>2593324</v>
      </c>
      <c r="BM80" s="117">
        <v>31080689</v>
      </c>
      <c r="BN80" s="117">
        <v>28272420</v>
      </c>
      <c r="BO80" s="117">
        <v>64759564</v>
      </c>
      <c r="BP80" s="117">
        <v>61918005</v>
      </c>
      <c r="BQ80" s="117">
        <v>0</v>
      </c>
      <c r="BR80" s="117">
        <v>12324770</v>
      </c>
      <c r="BS80" s="138"/>
      <c r="BT80" s="86">
        <v>2718065501.6900001</v>
      </c>
      <c r="BU80" s="86">
        <v>2281596512</v>
      </c>
      <c r="BV80" s="87">
        <v>2149380</v>
      </c>
      <c r="BX80" s="135">
        <f>21449+926</f>
        <v>22375</v>
      </c>
      <c r="BY80" s="135">
        <v>4034</v>
      </c>
      <c r="BZ80" s="135">
        <v>1320</v>
      </c>
      <c r="CA80" s="135">
        <f t="shared" si="8"/>
        <v>27729</v>
      </c>
      <c r="CB80" s="86">
        <v>2053774607</v>
      </c>
      <c r="CC80" s="82">
        <f t="shared" si="9"/>
        <v>285652186</v>
      </c>
      <c r="CD80" s="82">
        <f t="shared" si="9"/>
        <v>36320989</v>
      </c>
      <c r="CE80" s="86">
        <f t="shared" si="10"/>
        <v>324813414</v>
      </c>
      <c r="CF80" s="86">
        <f t="shared" si="11"/>
        <v>2700561196</v>
      </c>
    </row>
    <row r="81" spans="1:84" x14ac:dyDescent="0.25">
      <c r="A81" s="91" t="s">
        <v>135</v>
      </c>
      <c r="B81" s="135">
        <v>97748572</v>
      </c>
      <c r="C81" s="135">
        <v>30065148</v>
      </c>
      <c r="D81" s="135">
        <v>78381421</v>
      </c>
      <c r="E81" s="135">
        <v>0</v>
      </c>
      <c r="F81" s="135">
        <v>19745035</v>
      </c>
      <c r="G81" s="135">
        <v>24316105</v>
      </c>
      <c r="H81" s="135">
        <v>7311325</v>
      </c>
      <c r="I81" s="135">
        <v>4413525</v>
      </c>
      <c r="J81" s="135">
        <v>78600</v>
      </c>
      <c r="K81" s="135">
        <v>0</v>
      </c>
      <c r="L81" s="135">
        <v>16434225</v>
      </c>
      <c r="M81" s="135">
        <v>44650</v>
      </c>
      <c r="N81" s="135">
        <v>878</v>
      </c>
      <c r="O81" s="135">
        <v>986</v>
      </c>
      <c r="P81" s="135">
        <v>2212500</v>
      </c>
      <c r="Q81" s="135">
        <v>0</v>
      </c>
      <c r="R81" s="135">
        <v>590000</v>
      </c>
      <c r="S81" s="135">
        <v>1596683</v>
      </c>
      <c r="T81" s="135">
        <v>160235</v>
      </c>
      <c r="U81" s="135">
        <v>2495441</v>
      </c>
      <c r="V81" s="135">
        <v>2212500</v>
      </c>
      <c r="W81" s="135">
        <v>1200</v>
      </c>
      <c r="X81" s="135">
        <v>590000</v>
      </c>
      <c r="Y81" s="135">
        <v>1596683</v>
      </c>
      <c r="Z81" s="135">
        <v>154500</v>
      </c>
      <c r="AA81" s="135">
        <v>2495441</v>
      </c>
      <c r="AB81" s="135">
        <v>-1696300</v>
      </c>
      <c r="AC81" s="135">
        <v>-6651000</v>
      </c>
      <c r="AD81" s="135">
        <v>0</v>
      </c>
      <c r="AE81" s="135">
        <v>0</v>
      </c>
      <c r="AF81" s="135">
        <v>0</v>
      </c>
      <c r="AG81" s="135">
        <v>0</v>
      </c>
      <c r="AH81" s="135">
        <v>547930.32999999996</v>
      </c>
      <c r="AI81" s="135">
        <v>33633824</v>
      </c>
      <c r="AJ81" s="139">
        <v>7000000</v>
      </c>
      <c r="AO81" s="82">
        <v>75157286</v>
      </c>
      <c r="AP81" s="82">
        <v>3329397</v>
      </c>
      <c r="AQ81" s="135">
        <v>0</v>
      </c>
      <c r="AR81" s="135">
        <v>16043414</v>
      </c>
      <c r="AS81" s="135">
        <v>67079</v>
      </c>
      <c r="AT81" s="135">
        <v>28457134</v>
      </c>
      <c r="AU81" s="135">
        <v>6720572</v>
      </c>
      <c r="AV81" s="135">
        <v>3205061</v>
      </c>
      <c r="AW81" s="135">
        <v>0</v>
      </c>
      <c r="AX81" s="135">
        <v>280148</v>
      </c>
      <c r="AY81" s="135">
        <v>0</v>
      </c>
      <c r="AZ81" s="135">
        <v>0</v>
      </c>
      <c r="BA81" s="135">
        <v>0</v>
      </c>
      <c r="BB81" s="135">
        <v>0</v>
      </c>
      <c r="BC81" s="135">
        <v>5423658</v>
      </c>
      <c r="BH81" s="82">
        <v>5622062.79</v>
      </c>
      <c r="BI81" s="82">
        <v>2811031.4</v>
      </c>
      <c r="BJ81" s="117">
        <v>0</v>
      </c>
      <c r="BK81" s="118">
        <v>4416961</v>
      </c>
      <c r="BL81" s="118">
        <v>8833921</v>
      </c>
      <c r="BM81" s="117">
        <v>35657386</v>
      </c>
      <c r="BN81" s="117">
        <v>35657386</v>
      </c>
      <c r="BO81" s="117">
        <v>48073472</v>
      </c>
      <c r="BP81" s="117">
        <v>42434570</v>
      </c>
      <c r="BQ81" s="117">
        <v>0</v>
      </c>
      <c r="BR81" s="117">
        <v>0</v>
      </c>
      <c r="BS81" s="138"/>
      <c r="BT81" s="86">
        <v>434014591.73000002</v>
      </c>
      <c r="BU81" s="86">
        <v>270207960.33000004</v>
      </c>
      <c r="BV81" s="87">
        <v>1288730</v>
      </c>
      <c r="BX81" s="135">
        <v>4821</v>
      </c>
      <c r="BY81" s="135">
        <v>1660</v>
      </c>
      <c r="BZ81" s="135">
        <v>564</v>
      </c>
      <c r="CA81" s="135">
        <f t="shared" si="8"/>
        <v>7045</v>
      </c>
      <c r="CB81" s="86">
        <v>206195141</v>
      </c>
      <c r="CC81" s="82">
        <f t="shared" si="9"/>
        <v>75157286</v>
      </c>
      <c r="CD81" s="82">
        <f t="shared" si="9"/>
        <v>3329397</v>
      </c>
      <c r="CE81" s="86">
        <f t="shared" si="10"/>
        <v>22831065</v>
      </c>
      <c r="CF81" s="86">
        <f t="shared" si="11"/>
        <v>307512889</v>
      </c>
    </row>
    <row r="82" spans="1:84" x14ac:dyDescent="0.25">
      <c r="A82" s="91" t="s">
        <v>136</v>
      </c>
      <c r="B82" s="135">
        <v>416927429</v>
      </c>
      <c r="C82" s="135">
        <v>119818147</v>
      </c>
      <c r="D82" s="135">
        <v>241484298</v>
      </c>
      <c r="E82" s="135">
        <v>31764644</v>
      </c>
      <c r="F82" s="135">
        <v>52715238</v>
      </c>
      <c r="G82" s="135">
        <v>8515568</v>
      </c>
      <c r="H82" s="135">
        <v>8342614</v>
      </c>
      <c r="I82" s="135">
        <v>1021800</v>
      </c>
      <c r="J82" s="135">
        <v>117900</v>
      </c>
      <c r="K82" s="135">
        <v>0</v>
      </c>
      <c r="L82" s="135">
        <v>287033060</v>
      </c>
      <c r="M82" s="135">
        <v>73005851</v>
      </c>
      <c r="N82" s="135">
        <v>1634</v>
      </c>
      <c r="O82" s="135">
        <v>271</v>
      </c>
      <c r="P82" s="135">
        <v>3077147</v>
      </c>
      <c r="Q82" s="135">
        <v>2185977</v>
      </c>
      <c r="R82" s="135">
        <v>1764800</v>
      </c>
      <c r="S82" s="135">
        <v>2753681</v>
      </c>
      <c r="T82" s="135">
        <v>38562</v>
      </c>
      <c r="U82" s="135">
        <v>1906695</v>
      </c>
      <c r="V82" s="135">
        <v>3077147</v>
      </c>
      <c r="W82" s="135">
        <v>2366332</v>
      </c>
      <c r="X82" s="135">
        <v>1764800</v>
      </c>
      <c r="Y82" s="135">
        <v>2753681</v>
      </c>
      <c r="Z82" s="135">
        <v>400809</v>
      </c>
      <c r="AA82" s="135">
        <v>1906695</v>
      </c>
      <c r="AB82" s="135">
        <v>-2985767</v>
      </c>
      <c r="AC82" s="135">
        <v>-428024</v>
      </c>
      <c r="AD82" s="135">
        <v>900</v>
      </c>
      <c r="AE82" s="135">
        <v>0</v>
      </c>
      <c r="AF82" s="135">
        <v>0</v>
      </c>
      <c r="AG82" s="135">
        <v>133105</v>
      </c>
      <c r="AH82" s="135">
        <v>0</v>
      </c>
      <c r="AI82" s="135">
        <v>1822705</v>
      </c>
      <c r="AJ82" s="139"/>
      <c r="AO82" s="82">
        <v>122198345</v>
      </c>
      <c r="AP82" s="82">
        <v>2793236</v>
      </c>
      <c r="AQ82" s="135">
        <v>0</v>
      </c>
      <c r="AR82" s="135">
        <v>67117890</v>
      </c>
      <c r="AS82" s="135">
        <v>16946075</v>
      </c>
      <c r="AT82" s="135">
        <v>327963273</v>
      </c>
      <c r="AU82" s="135">
        <v>41703565</v>
      </c>
      <c r="AV82" s="135">
        <v>55778724</v>
      </c>
      <c r="AW82" s="135">
        <v>71784094</v>
      </c>
      <c r="AX82" s="135">
        <v>0</v>
      </c>
      <c r="AY82" s="135">
        <v>0</v>
      </c>
      <c r="AZ82" s="135">
        <v>0</v>
      </c>
      <c r="BA82" s="135">
        <v>8850602</v>
      </c>
      <c r="BB82" s="135">
        <v>74355</v>
      </c>
      <c r="BC82" s="135">
        <v>809650</v>
      </c>
      <c r="BH82" s="82">
        <v>9140920.4000000004</v>
      </c>
      <c r="BI82" s="82">
        <v>4570460.2</v>
      </c>
      <c r="BJ82" s="117">
        <v>23715025.906735748</v>
      </c>
      <c r="BK82" s="118">
        <v>3768994</v>
      </c>
      <c r="BL82" s="118">
        <v>7537988</v>
      </c>
      <c r="BM82" s="117">
        <v>303616151</v>
      </c>
      <c r="BN82" s="117">
        <v>303616151</v>
      </c>
      <c r="BO82" s="117">
        <v>89491759</v>
      </c>
      <c r="BP82" s="117">
        <v>83938613</v>
      </c>
      <c r="BQ82" s="117">
        <v>17659</v>
      </c>
      <c r="BR82" s="117">
        <v>0</v>
      </c>
      <c r="BS82" s="138"/>
      <c r="BT82" s="86">
        <v>1426723567.2</v>
      </c>
      <c r="BU82" s="86">
        <v>905820109</v>
      </c>
      <c r="BV82" s="87">
        <v>550424</v>
      </c>
      <c r="BX82" s="135">
        <v>7196</v>
      </c>
      <c r="BY82" s="135">
        <v>1684</v>
      </c>
      <c r="BZ82" s="135">
        <v>667</v>
      </c>
      <c r="CA82" s="135">
        <f t="shared" si="8"/>
        <v>9547</v>
      </c>
      <c r="CB82" s="86">
        <v>778229874</v>
      </c>
      <c r="CC82" s="82">
        <f t="shared" si="9"/>
        <v>122198345</v>
      </c>
      <c r="CD82" s="82">
        <f t="shared" si="9"/>
        <v>2793236</v>
      </c>
      <c r="CE82" s="86">
        <f t="shared" si="10"/>
        <v>197551624</v>
      </c>
      <c r="CF82" s="86">
        <f t="shared" si="11"/>
        <v>1100773079</v>
      </c>
    </row>
    <row r="83" spans="1:84" x14ac:dyDescent="0.25">
      <c r="A83" s="91" t="s">
        <v>137</v>
      </c>
      <c r="B83" s="135">
        <v>987260668</v>
      </c>
      <c r="C83" s="135">
        <v>191522098</v>
      </c>
      <c r="D83" s="135">
        <v>151491600</v>
      </c>
      <c r="E83" s="135">
        <v>0</v>
      </c>
      <c r="F83" s="135">
        <v>77554801</v>
      </c>
      <c r="G83" s="135">
        <v>15524620</v>
      </c>
      <c r="H83" s="135">
        <v>18106133</v>
      </c>
      <c r="I83" s="135">
        <v>1305199</v>
      </c>
      <c r="J83" s="135">
        <v>78600</v>
      </c>
      <c r="K83" s="135">
        <v>0</v>
      </c>
      <c r="L83" s="135">
        <v>444288670</v>
      </c>
      <c r="M83" s="135">
        <v>142226600</v>
      </c>
      <c r="N83" s="135">
        <v>2534</v>
      </c>
      <c r="O83" s="135">
        <v>463</v>
      </c>
      <c r="P83" s="135">
        <v>15755200</v>
      </c>
      <c r="Q83" s="135">
        <v>3153100</v>
      </c>
      <c r="R83" s="135">
        <v>17212700</v>
      </c>
      <c r="S83" s="135">
        <v>17307100</v>
      </c>
      <c r="T83" s="135">
        <v>671400</v>
      </c>
      <c r="U83" s="135">
        <v>833520</v>
      </c>
      <c r="V83" s="135">
        <v>15755200</v>
      </c>
      <c r="W83" s="135">
        <v>3153100</v>
      </c>
      <c r="X83" s="135">
        <v>17212700</v>
      </c>
      <c r="Y83" s="135">
        <v>17307100</v>
      </c>
      <c r="Z83" s="135">
        <v>671400</v>
      </c>
      <c r="AA83" s="135">
        <v>833520</v>
      </c>
      <c r="AB83" s="135">
        <v>-3618250</v>
      </c>
      <c r="AC83" s="135">
        <v>-10424</v>
      </c>
      <c r="AD83" s="135">
        <v>56365</v>
      </c>
      <c r="AE83" s="135">
        <v>0</v>
      </c>
      <c r="AF83" s="135">
        <v>0</v>
      </c>
      <c r="AG83" s="135">
        <v>139183</v>
      </c>
      <c r="AH83" s="135">
        <v>0</v>
      </c>
      <c r="AI83" s="135">
        <v>11686967</v>
      </c>
      <c r="AJ83" s="139"/>
      <c r="AO83" s="82">
        <v>216910703</v>
      </c>
      <c r="AP83" s="82">
        <v>10539556</v>
      </c>
      <c r="AQ83" s="135">
        <v>0</v>
      </c>
      <c r="AR83" s="135">
        <v>43378064</v>
      </c>
      <c r="AS83" s="135">
        <v>3010869</v>
      </c>
      <c r="AT83" s="135">
        <v>63355500</v>
      </c>
      <c r="AU83" s="135">
        <v>18340851</v>
      </c>
      <c r="AV83" s="135">
        <v>30655474</v>
      </c>
      <c r="AW83" s="135">
        <v>24590138</v>
      </c>
      <c r="AX83" s="135">
        <v>1580676</v>
      </c>
      <c r="AY83" s="135">
        <v>0</v>
      </c>
      <c r="AZ83" s="135">
        <v>30753</v>
      </c>
      <c r="BA83" s="135">
        <v>1729445</v>
      </c>
      <c r="BB83" s="135">
        <v>7508</v>
      </c>
      <c r="BC83" s="135">
        <v>0</v>
      </c>
      <c r="BH83" s="82">
        <v>16225780.060000001</v>
      </c>
      <c r="BI83" s="82">
        <v>8112890.0300000003</v>
      </c>
      <c r="BJ83" s="117">
        <v>67927461.139896378</v>
      </c>
      <c r="BK83" s="118">
        <v>2005125</v>
      </c>
      <c r="BL83" s="118">
        <v>4010250</v>
      </c>
      <c r="BM83" s="117">
        <v>33507457</v>
      </c>
      <c r="BN83" s="117">
        <v>33203796</v>
      </c>
      <c r="BO83" s="117">
        <v>76076402</v>
      </c>
      <c r="BP83" s="117">
        <v>73770471</v>
      </c>
      <c r="BQ83" s="117">
        <v>0</v>
      </c>
      <c r="BR83" s="117">
        <v>0</v>
      </c>
      <c r="BS83" s="138"/>
      <c r="BT83" s="86">
        <v>1751233658.03</v>
      </c>
      <c r="BU83" s="86">
        <v>1406691117</v>
      </c>
      <c r="BV83" s="87">
        <v>4170300</v>
      </c>
      <c r="BX83" s="135">
        <v>12071</v>
      </c>
      <c r="BY83" s="135">
        <v>2416</v>
      </c>
      <c r="BZ83" s="135">
        <v>632</v>
      </c>
      <c r="CA83" s="135">
        <f t="shared" si="8"/>
        <v>15119</v>
      </c>
      <c r="CB83" s="86">
        <v>1330274366</v>
      </c>
      <c r="CC83" s="82">
        <f t="shared" si="9"/>
        <v>216910703</v>
      </c>
      <c r="CD83" s="82">
        <f t="shared" si="9"/>
        <v>10539556</v>
      </c>
      <c r="CE83" s="86">
        <f t="shared" si="10"/>
        <v>89319922</v>
      </c>
      <c r="CF83" s="86">
        <f t="shared" si="11"/>
        <v>1647044547</v>
      </c>
    </row>
    <row r="84" spans="1:84" x14ac:dyDescent="0.25">
      <c r="A84" s="91" t="s">
        <v>138</v>
      </c>
      <c r="B84" s="135">
        <v>103306718</v>
      </c>
      <c r="C84" s="135">
        <v>33684197</v>
      </c>
      <c r="D84" s="135">
        <v>11119530</v>
      </c>
      <c r="E84" s="135">
        <v>0</v>
      </c>
      <c r="F84" s="135">
        <v>12592631</v>
      </c>
      <c r="G84" s="135">
        <v>10989030</v>
      </c>
      <c r="H84" s="135">
        <v>6016145</v>
      </c>
      <c r="I84" s="135">
        <v>2126490</v>
      </c>
      <c r="J84" s="135">
        <v>0</v>
      </c>
      <c r="K84" s="135">
        <v>0</v>
      </c>
      <c r="L84" s="135">
        <v>37572608</v>
      </c>
      <c r="M84" s="135">
        <v>24278139</v>
      </c>
      <c r="N84" s="135">
        <v>576</v>
      </c>
      <c r="O84" s="135">
        <v>447</v>
      </c>
      <c r="P84" s="135">
        <v>1113200</v>
      </c>
      <c r="Q84" s="135">
        <v>0</v>
      </c>
      <c r="R84" s="135">
        <v>79000</v>
      </c>
      <c r="S84" s="135">
        <v>757582</v>
      </c>
      <c r="T84" s="135">
        <v>0</v>
      </c>
      <c r="U84" s="135">
        <v>95000</v>
      </c>
      <c r="V84" s="135">
        <v>1113200</v>
      </c>
      <c r="W84" s="135">
        <v>0</v>
      </c>
      <c r="X84" s="135">
        <v>79000</v>
      </c>
      <c r="Y84" s="135">
        <v>757582</v>
      </c>
      <c r="Z84" s="135">
        <v>0</v>
      </c>
      <c r="AA84" s="135">
        <v>95000</v>
      </c>
      <c r="AB84" s="135">
        <v>-1807402</v>
      </c>
      <c r="AC84" s="135">
        <v>0</v>
      </c>
      <c r="AD84" s="135">
        <v>0</v>
      </c>
      <c r="AE84" s="135">
        <v>0</v>
      </c>
      <c r="AF84" s="135">
        <v>0</v>
      </c>
      <c r="AG84" s="135">
        <v>0</v>
      </c>
      <c r="AI84" s="135">
        <v>284668</v>
      </c>
      <c r="AJ84" s="139"/>
      <c r="AO84" s="82">
        <v>36920400</v>
      </c>
      <c r="AP84" s="82">
        <v>1506392</v>
      </c>
      <c r="AQ84" s="135">
        <v>0</v>
      </c>
      <c r="AR84" s="135">
        <v>3741888</v>
      </c>
      <c r="AS84" s="135">
        <v>64682</v>
      </c>
      <c r="AT84" s="135">
        <v>7573136</v>
      </c>
      <c r="AU84" s="135">
        <v>3428439</v>
      </c>
      <c r="AV84" s="135">
        <v>1507806</v>
      </c>
      <c r="AW84" s="135">
        <v>0</v>
      </c>
      <c r="AX84" s="135">
        <f>600805+180</f>
        <v>600985</v>
      </c>
      <c r="AY84" s="135">
        <v>0</v>
      </c>
      <c r="AZ84" s="135">
        <v>0</v>
      </c>
      <c r="BA84" s="135">
        <v>0</v>
      </c>
      <c r="BB84" s="135">
        <v>0</v>
      </c>
      <c r="BC84" s="135">
        <v>0</v>
      </c>
      <c r="BH84" s="82">
        <v>2761792.21</v>
      </c>
      <c r="BI84" s="82">
        <v>1380896.11</v>
      </c>
      <c r="BJ84" s="117">
        <v>0</v>
      </c>
      <c r="BK84" s="118">
        <v>0</v>
      </c>
      <c r="BL84" s="118">
        <v>0</v>
      </c>
      <c r="BM84" s="117">
        <v>4633661</v>
      </c>
      <c r="BN84" s="117">
        <v>4633661</v>
      </c>
      <c r="BO84" s="117">
        <v>48755464</v>
      </c>
      <c r="BP84" s="117">
        <v>48743939</v>
      </c>
      <c r="BQ84" s="117">
        <v>0</v>
      </c>
      <c r="BR84" s="117">
        <v>0</v>
      </c>
      <c r="BS84" s="138"/>
      <c r="BT84" s="86">
        <v>248815410.11000001</v>
      </c>
      <c r="BU84" s="86">
        <v>155630122</v>
      </c>
      <c r="BV84" s="87">
        <v>210092</v>
      </c>
      <c r="BX84" s="135">
        <v>4223</v>
      </c>
      <c r="BY84" s="135">
        <v>1337</v>
      </c>
      <c r="BZ84" s="135">
        <v>109</v>
      </c>
      <c r="CA84" s="135">
        <f t="shared" si="8"/>
        <v>5669</v>
      </c>
      <c r="CB84" s="86">
        <v>148110445</v>
      </c>
      <c r="CC84" s="82">
        <f t="shared" si="9"/>
        <v>36920400</v>
      </c>
      <c r="CD84" s="82">
        <f t="shared" si="9"/>
        <v>1506392</v>
      </c>
      <c r="CE84" s="86">
        <f t="shared" si="10"/>
        <v>7235009</v>
      </c>
      <c r="CF84" s="86">
        <f t="shared" si="11"/>
        <v>193772246</v>
      </c>
    </row>
    <row r="85" spans="1:84" x14ac:dyDescent="0.25">
      <c r="A85" s="91" t="s">
        <v>139</v>
      </c>
      <c r="B85" s="135">
        <v>817908789</v>
      </c>
      <c r="C85" s="135">
        <v>266910781</v>
      </c>
      <c r="D85" s="135">
        <v>234512778</v>
      </c>
      <c r="E85" s="135">
        <v>0</v>
      </c>
      <c r="F85" s="135">
        <v>73042358</v>
      </c>
      <c r="G85" s="135">
        <v>10871026</v>
      </c>
      <c r="H85" s="135">
        <v>20629761</v>
      </c>
      <c r="I85" s="135">
        <v>2545043</v>
      </c>
      <c r="J85" s="135">
        <v>196500</v>
      </c>
      <c r="K85" s="135">
        <v>39300</v>
      </c>
      <c r="L85" s="135">
        <v>335056960</v>
      </c>
      <c r="M85" s="135">
        <v>203820780</v>
      </c>
      <c r="N85" s="135">
        <v>2429</v>
      </c>
      <c r="O85" s="135">
        <v>353</v>
      </c>
      <c r="P85" s="135">
        <v>9553137</v>
      </c>
      <c r="Q85" s="135">
        <v>3156442</v>
      </c>
      <c r="R85" s="135">
        <v>1463644</v>
      </c>
      <c r="S85" s="135">
        <v>4554699</v>
      </c>
      <c r="T85" s="135">
        <v>545548</v>
      </c>
      <c r="U85" s="135">
        <v>1911654</v>
      </c>
      <c r="V85" s="135">
        <v>9553137</v>
      </c>
      <c r="W85" s="135">
        <v>3326518</v>
      </c>
      <c r="X85" s="135">
        <v>1463644</v>
      </c>
      <c r="Y85" s="135">
        <v>4554699</v>
      </c>
      <c r="Z85" s="135">
        <v>1177533</v>
      </c>
      <c r="AA85" s="135">
        <v>1911654</v>
      </c>
      <c r="AB85" s="135">
        <v>-3726966</v>
      </c>
      <c r="AC85" s="135">
        <v>155004</v>
      </c>
      <c r="AD85" s="135">
        <v>3590</v>
      </c>
      <c r="AE85" s="135">
        <v>0</v>
      </c>
      <c r="AF85" s="135">
        <v>0</v>
      </c>
      <c r="AG85" s="135">
        <v>135319</v>
      </c>
      <c r="AH85" s="135">
        <v>0</v>
      </c>
      <c r="AI85" s="135">
        <v>197258</v>
      </c>
      <c r="AJ85" s="139"/>
      <c r="AO85" s="82">
        <v>172435593</v>
      </c>
      <c r="AP85" s="82">
        <v>12191025</v>
      </c>
      <c r="AQ85" s="135">
        <v>220384</v>
      </c>
      <c r="AR85" s="135">
        <v>29988407</v>
      </c>
      <c r="AS85" s="135">
        <v>1436600</v>
      </c>
      <c r="AT85" s="135">
        <v>520655895</v>
      </c>
      <c r="AU85" s="135">
        <v>28578185</v>
      </c>
      <c r="AV85" s="135">
        <v>80532457</v>
      </c>
      <c r="AW85" s="135">
        <v>367406</v>
      </c>
      <c r="AX85" s="135">
        <f>401952+255709971</f>
        <v>256111923</v>
      </c>
      <c r="AY85" s="135">
        <v>0</v>
      </c>
      <c r="AZ85" s="135">
        <v>0</v>
      </c>
      <c r="BA85" s="135">
        <v>37290</v>
      </c>
      <c r="BB85" s="135">
        <v>24458</v>
      </c>
      <c r="BC85" s="135">
        <v>0</v>
      </c>
      <c r="BH85" s="82">
        <v>12898865.609999999</v>
      </c>
      <c r="BI85" s="82">
        <v>6449432.8099999996</v>
      </c>
      <c r="BJ85" s="117">
        <v>0</v>
      </c>
      <c r="BK85" s="118">
        <v>2506589</v>
      </c>
      <c r="BL85" s="118">
        <v>5013177</v>
      </c>
      <c r="BM85" s="117">
        <v>77561949</v>
      </c>
      <c r="BN85" s="117">
        <v>77561949</v>
      </c>
      <c r="BO85" s="117">
        <v>77709539</v>
      </c>
      <c r="BP85" s="117">
        <v>73886456</v>
      </c>
      <c r="BQ85" s="117">
        <v>0</v>
      </c>
      <c r="BR85" s="117">
        <v>0</v>
      </c>
      <c r="BS85" s="138"/>
      <c r="BT85" s="86">
        <v>1724563842.8099999</v>
      </c>
      <c r="BU85" s="86">
        <v>1379532798</v>
      </c>
      <c r="BV85" s="87">
        <v>823913</v>
      </c>
      <c r="BX85" s="135">
        <v>8777</v>
      </c>
      <c r="BY85" s="135">
        <v>2463</v>
      </c>
      <c r="BZ85" s="135">
        <v>609</v>
      </c>
      <c r="CA85" s="135">
        <f t="shared" si="8"/>
        <v>11849</v>
      </c>
      <c r="CB85" s="86">
        <v>1319332348</v>
      </c>
      <c r="CC85" s="82">
        <f t="shared" si="9"/>
        <v>172435593</v>
      </c>
      <c r="CD85" s="82">
        <f t="shared" si="9"/>
        <v>12191025</v>
      </c>
      <c r="CE85" s="86">
        <f t="shared" si="10"/>
        <v>60370598</v>
      </c>
      <c r="CF85" s="86">
        <f t="shared" si="11"/>
        <v>1564329564</v>
      </c>
    </row>
    <row r="86" spans="1:84" x14ac:dyDescent="0.25">
      <c r="A86" s="91" t="s">
        <v>140</v>
      </c>
      <c r="B86" s="135">
        <v>122959655</v>
      </c>
      <c r="C86" s="135">
        <v>117961758</v>
      </c>
      <c r="D86" s="135">
        <v>50312153</v>
      </c>
      <c r="E86" s="135">
        <v>0</v>
      </c>
      <c r="F86" s="135">
        <v>24290300</v>
      </c>
      <c r="G86" s="135">
        <v>7047140</v>
      </c>
      <c r="H86" s="135">
        <v>16849600</v>
      </c>
      <c r="I86" s="135">
        <v>2217896</v>
      </c>
      <c r="J86" s="135">
        <v>116600</v>
      </c>
      <c r="K86" s="135">
        <v>0</v>
      </c>
      <c r="L86" s="135">
        <v>214805810</v>
      </c>
      <c r="M86" s="135">
        <v>79012280</v>
      </c>
      <c r="N86" s="135">
        <v>1160</v>
      </c>
      <c r="O86" s="135">
        <v>301</v>
      </c>
      <c r="P86" s="135">
        <v>1332630</v>
      </c>
      <c r="Q86" s="135">
        <v>1430542</v>
      </c>
      <c r="R86" s="135">
        <v>273000</v>
      </c>
      <c r="S86" s="135">
        <v>1225147</v>
      </c>
      <c r="T86" s="135">
        <v>1418849</v>
      </c>
      <c r="U86" s="135">
        <v>174175</v>
      </c>
      <c r="V86" s="135">
        <v>1332630</v>
      </c>
      <c r="W86" s="135">
        <v>2006205</v>
      </c>
      <c r="X86" s="135">
        <v>273000</v>
      </c>
      <c r="Y86" s="135">
        <v>1225147</v>
      </c>
      <c r="Z86" s="135">
        <v>2110013</v>
      </c>
      <c r="AA86" s="135">
        <v>174175</v>
      </c>
      <c r="AB86" s="135">
        <v>-887902</v>
      </c>
      <c r="AC86" s="135">
        <v>-364574</v>
      </c>
      <c r="AD86" s="135">
        <v>73133</v>
      </c>
      <c r="AE86" s="135">
        <v>0</v>
      </c>
      <c r="AF86" s="135">
        <v>0</v>
      </c>
      <c r="AG86" s="135">
        <v>102984</v>
      </c>
      <c r="AH86" s="135">
        <v>377245.9</v>
      </c>
      <c r="AI86" s="135">
        <v>0</v>
      </c>
      <c r="AJ86" s="139"/>
      <c r="AO86" s="82">
        <v>61489757</v>
      </c>
      <c r="AP86" s="82">
        <v>1677041</v>
      </c>
      <c r="AQ86" s="135">
        <v>0</v>
      </c>
      <c r="AR86" s="135">
        <v>7305989</v>
      </c>
      <c r="AS86" s="135">
        <v>2400812</v>
      </c>
      <c r="AT86" s="135">
        <v>72780620</v>
      </c>
      <c r="AU86" s="135">
        <v>17026853</v>
      </c>
      <c r="AV86" s="135">
        <v>33073112</v>
      </c>
      <c r="AW86" s="135">
        <v>4367293</v>
      </c>
      <c r="AX86" s="135">
        <v>2089675</v>
      </c>
      <c r="AY86" s="135">
        <v>0</v>
      </c>
      <c r="AZ86" s="135">
        <v>0</v>
      </c>
      <c r="BA86" s="135">
        <v>0</v>
      </c>
      <c r="BB86" s="135">
        <v>0</v>
      </c>
      <c r="BC86" s="135">
        <v>0</v>
      </c>
      <c r="BH86" s="82">
        <v>4599677.47</v>
      </c>
      <c r="BI86" s="82">
        <v>2299838.7400000002</v>
      </c>
      <c r="BJ86" s="117">
        <v>0</v>
      </c>
      <c r="BK86" s="118">
        <v>0</v>
      </c>
      <c r="BL86" s="118">
        <v>0</v>
      </c>
      <c r="BM86" s="117">
        <v>28463553</v>
      </c>
      <c r="BN86" s="117">
        <v>28463553</v>
      </c>
      <c r="BO86" s="117">
        <v>86199605</v>
      </c>
      <c r="BP86" s="117">
        <v>86190868</v>
      </c>
      <c r="BQ86" s="117">
        <v>0</v>
      </c>
      <c r="BR86" s="117">
        <v>0</v>
      </c>
      <c r="BS86" s="138"/>
      <c r="BT86" s="86">
        <v>498465523.63999999</v>
      </c>
      <c r="BU86" s="86">
        <v>318344465.89999998</v>
      </c>
      <c r="BV86" s="87">
        <v>613398</v>
      </c>
      <c r="BX86" s="135">
        <v>3747</v>
      </c>
      <c r="BY86" s="135">
        <v>2905</v>
      </c>
      <c r="BZ86" s="135">
        <v>298</v>
      </c>
      <c r="CA86" s="135">
        <f t="shared" si="8"/>
        <v>6950</v>
      </c>
      <c r="CB86" s="86">
        <v>291233566</v>
      </c>
      <c r="CC86" s="82">
        <f t="shared" si="9"/>
        <v>61489757</v>
      </c>
      <c r="CD86" s="82">
        <f t="shared" si="9"/>
        <v>1677041</v>
      </c>
      <c r="CE86" s="86">
        <f t="shared" si="10"/>
        <v>31100947</v>
      </c>
      <c r="CF86" s="86">
        <f t="shared" si="11"/>
        <v>385501311</v>
      </c>
    </row>
    <row r="87" spans="1:84" x14ac:dyDescent="0.25">
      <c r="A87" s="91" t="s">
        <v>141</v>
      </c>
      <c r="B87" s="135">
        <v>227335620</v>
      </c>
      <c r="C87" s="135">
        <v>174011591</v>
      </c>
      <c r="D87" s="135">
        <v>55042956</v>
      </c>
      <c r="E87" s="135">
        <v>0</v>
      </c>
      <c r="F87" s="135">
        <v>33750100</v>
      </c>
      <c r="G87" s="135">
        <v>7999100</v>
      </c>
      <c r="H87" s="135">
        <v>10615866</v>
      </c>
      <c r="I87" s="135">
        <v>914000</v>
      </c>
      <c r="J87" s="135">
        <v>0</v>
      </c>
      <c r="K87" s="135">
        <v>0</v>
      </c>
      <c r="L87" s="135">
        <v>503708381</v>
      </c>
      <c r="M87" s="135">
        <v>0</v>
      </c>
      <c r="N87" s="135">
        <v>1203</v>
      </c>
      <c r="O87" s="135">
        <v>277</v>
      </c>
      <c r="P87" s="135">
        <v>5933650</v>
      </c>
      <c r="Q87" s="135">
        <v>4235005</v>
      </c>
      <c r="R87" s="135">
        <v>735000</v>
      </c>
      <c r="S87" s="135">
        <v>4981053</v>
      </c>
      <c r="T87" s="135">
        <v>2475272</v>
      </c>
      <c r="U87" s="135">
        <v>364000</v>
      </c>
      <c r="V87" s="135">
        <v>5933650</v>
      </c>
      <c r="W87" s="135">
        <v>6795990</v>
      </c>
      <c r="X87" s="135">
        <v>735000</v>
      </c>
      <c r="Y87" s="135">
        <v>4981053</v>
      </c>
      <c r="Z87" s="135">
        <v>3131850</v>
      </c>
      <c r="AA87" s="135">
        <v>364000</v>
      </c>
      <c r="AB87" s="135">
        <v>-725641</v>
      </c>
      <c r="AC87" s="135">
        <v>-47102</v>
      </c>
      <c r="AD87" s="135">
        <v>87584</v>
      </c>
      <c r="AE87" s="135">
        <v>0</v>
      </c>
      <c r="AF87" s="135">
        <v>0</v>
      </c>
      <c r="AG87" s="135">
        <v>199084</v>
      </c>
      <c r="AH87" s="135">
        <v>749901.64</v>
      </c>
      <c r="AI87" s="135">
        <v>113467</v>
      </c>
      <c r="AJ87" s="139"/>
      <c r="AO87" s="82">
        <v>73207179</v>
      </c>
      <c r="AP87" s="82">
        <v>1944897</v>
      </c>
      <c r="AQ87" s="135">
        <v>0</v>
      </c>
      <c r="AR87" s="135">
        <v>23050084</v>
      </c>
      <c r="AS87" s="135">
        <v>348194</v>
      </c>
      <c r="AT87" s="135">
        <v>19795349</v>
      </c>
      <c r="AU87" s="135">
        <v>21151495</v>
      </c>
      <c r="AV87" s="135">
        <v>26560156</v>
      </c>
      <c r="AW87" s="135">
        <v>87763</v>
      </c>
      <c r="AX87" s="135">
        <v>2867644</v>
      </c>
      <c r="AY87" s="135">
        <v>0</v>
      </c>
      <c r="AZ87" s="135">
        <v>0</v>
      </c>
      <c r="BA87" s="135">
        <v>0</v>
      </c>
      <c r="BB87" s="135">
        <v>2165</v>
      </c>
      <c r="BC87" s="135">
        <v>4000</v>
      </c>
      <c r="BH87" s="82">
        <v>5476187.0599999996</v>
      </c>
      <c r="BI87" s="82">
        <v>2738093.53</v>
      </c>
      <c r="BJ87" s="117">
        <v>0</v>
      </c>
      <c r="BK87" s="118">
        <v>0</v>
      </c>
      <c r="BL87" s="118">
        <v>0</v>
      </c>
      <c r="BM87" s="117">
        <v>12323854</v>
      </c>
      <c r="BN87" s="117">
        <v>12323854</v>
      </c>
      <c r="BO87" s="117">
        <v>117624176</v>
      </c>
      <c r="BP87" s="117">
        <v>117436330</v>
      </c>
      <c r="BQ87" s="117">
        <v>0</v>
      </c>
      <c r="BR87" s="117">
        <v>0</v>
      </c>
      <c r="BS87" s="138"/>
      <c r="BT87" s="86">
        <v>709453662.16999996</v>
      </c>
      <c r="BU87" s="86">
        <v>501803308.63999999</v>
      </c>
      <c r="BV87" s="87">
        <v>438516</v>
      </c>
      <c r="BX87" s="135">
        <v>4931</v>
      </c>
      <c r="BY87" s="135">
        <v>2902</v>
      </c>
      <c r="BZ87" s="135">
        <v>430</v>
      </c>
      <c r="CA87" s="135">
        <f t="shared" si="8"/>
        <v>8263</v>
      </c>
      <c r="CB87" s="86">
        <v>456390167</v>
      </c>
      <c r="CC87" s="82">
        <f t="shared" si="9"/>
        <v>73207179</v>
      </c>
      <c r="CD87" s="82">
        <f t="shared" si="9"/>
        <v>1944897</v>
      </c>
      <c r="CE87" s="86">
        <f t="shared" si="10"/>
        <v>44637536</v>
      </c>
      <c r="CF87" s="86">
        <f t="shared" si="11"/>
        <v>576179779</v>
      </c>
    </row>
    <row r="88" spans="1:84" x14ac:dyDescent="0.25">
      <c r="A88" s="91" t="s">
        <v>142</v>
      </c>
      <c r="B88" s="135">
        <v>801663044</v>
      </c>
      <c r="C88" s="135">
        <v>124469977</v>
      </c>
      <c r="D88" s="135">
        <v>341475842</v>
      </c>
      <c r="E88" s="135">
        <v>19360009</v>
      </c>
      <c r="F88" s="135">
        <v>74489830</v>
      </c>
      <c r="G88" s="135">
        <v>20173831</v>
      </c>
      <c r="H88" s="135">
        <v>11743900</v>
      </c>
      <c r="I88" s="135">
        <v>2757100</v>
      </c>
      <c r="J88" s="135">
        <v>235800</v>
      </c>
      <c r="K88" s="135">
        <v>39300</v>
      </c>
      <c r="L88" s="135">
        <v>279344663</v>
      </c>
      <c r="M88" s="135">
        <v>98684150</v>
      </c>
      <c r="N88" s="135">
        <v>2283</v>
      </c>
      <c r="O88" s="135">
        <v>660</v>
      </c>
      <c r="P88" s="135">
        <v>13931715</v>
      </c>
      <c r="Q88" s="135">
        <v>2693000</v>
      </c>
      <c r="R88" s="135">
        <v>2679500</v>
      </c>
      <c r="S88" s="135">
        <v>2075755</v>
      </c>
      <c r="T88" s="135">
        <v>454300</v>
      </c>
      <c r="U88" s="135">
        <v>9993750</v>
      </c>
      <c r="V88" s="135">
        <v>13931715</v>
      </c>
      <c r="W88" s="135">
        <v>2794250</v>
      </c>
      <c r="X88" s="135">
        <v>2679500</v>
      </c>
      <c r="Y88" s="135">
        <v>2075755</v>
      </c>
      <c r="Z88" s="135">
        <v>824800</v>
      </c>
      <c r="AA88" s="135">
        <v>9993750</v>
      </c>
      <c r="AB88" s="135">
        <v>-4525550</v>
      </c>
      <c r="AC88" s="135">
        <v>-610632</v>
      </c>
      <c r="AD88" s="135">
        <v>5055</v>
      </c>
      <c r="AE88" s="135">
        <v>1012018</v>
      </c>
      <c r="AF88" s="135">
        <v>0</v>
      </c>
      <c r="AG88" s="135">
        <v>109800</v>
      </c>
      <c r="AI88" s="135">
        <v>248164</v>
      </c>
      <c r="AJ88" s="139"/>
      <c r="AO88" s="82">
        <v>194341176</v>
      </c>
      <c r="AP88" s="82">
        <v>5490911</v>
      </c>
      <c r="AQ88" s="135">
        <v>0</v>
      </c>
      <c r="AR88" s="135">
        <v>50466082</v>
      </c>
      <c r="AS88" s="135">
        <v>11166459</v>
      </c>
      <c r="AT88" s="135">
        <v>184891446</v>
      </c>
      <c r="AU88" s="135">
        <v>51159246</v>
      </c>
      <c r="AV88" s="135">
        <v>79448644</v>
      </c>
      <c r="AW88" s="135">
        <v>22430096</v>
      </c>
      <c r="AX88" s="135">
        <f>893465+250</f>
        <v>893715</v>
      </c>
      <c r="AY88" s="135">
        <v>0</v>
      </c>
      <c r="AZ88" s="135">
        <v>0</v>
      </c>
      <c r="BA88" s="135">
        <v>976766</v>
      </c>
      <c r="BB88" s="135">
        <v>10809</v>
      </c>
      <c r="BC88" s="135">
        <v>6553300</v>
      </c>
      <c r="BH88" s="131">
        <v>14537490.01</v>
      </c>
      <c r="BI88" s="82">
        <v>7268745.0099999998</v>
      </c>
      <c r="BJ88" s="117">
        <v>0</v>
      </c>
      <c r="BK88" s="118">
        <v>0</v>
      </c>
      <c r="BL88" s="118">
        <v>0</v>
      </c>
      <c r="BM88" s="117">
        <v>56281602</v>
      </c>
      <c r="BN88" s="117">
        <v>56281602</v>
      </c>
      <c r="BO88" s="117">
        <v>57732868</v>
      </c>
      <c r="BP88" s="117">
        <v>56688228</v>
      </c>
      <c r="BQ88" s="117">
        <v>0</v>
      </c>
      <c r="BR88" s="117">
        <v>0</v>
      </c>
      <c r="BS88" s="138"/>
      <c r="BT88" s="86">
        <v>1700719476.01</v>
      </c>
      <c r="BU88" s="86">
        <v>1380648814</v>
      </c>
      <c r="BV88" s="87">
        <v>1307100</v>
      </c>
      <c r="BX88" s="135">
        <v>10336</v>
      </c>
      <c r="BY88" s="135">
        <v>1726</v>
      </c>
      <c r="BZ88" s="135">
        <v>899</v>
      </c>
      <c r="CA88" s="135">
        <f t="shared" si="8"/>
        <v>12961</v>
      </c>
      <c r="CB88" s="86">
        <v>1267608863</v>
      </c>
      <c r="CC88" s="82">
        <f t="shared" si="9"/>
        <v>194341176</v>
      </c>
      <c r="CD88" s="82">
        <f t="shared" si="9"/>
        <v>5490911</v>
      </c>
      <c r="CE88" s="86">
        <f t="shared" si="10"/>
        <v>135221883</v>
      </c>
      <c r="CF88" s="86">
        <f t="shared" si="11"/>
        <v>1602662833</v>
      </c>
    </row>
    <row r="89" spans="1:84" x14ac:dyDescent="0.25">
      <c r="A89" s="91" t="s">
        <v>143</v>
      </c>
      <c r="B89" s="135">
        <v>130375150</v>
      </c>
      <c r="C89" s="135">
        <v>95876250</v>
      </c>
      <c r="D89" s="135">
        <v>53719240</v>
      </c>
      <c r="E89" s="135">
        <v>0</v>
      </c>
      <c r="F89" s="135">
        <v>21341200</v>
      </c>
      <c r="G89" s="135">
        <v>17156400</v>
      </c>
      <c r="H89" s="135">
        <v>12986800</v>
      </c>
      <c r="I89" s="135">
        <v>8376600</v>
      </c>
      <c r="J89" s="135">
        <v>39300</v>
      </c>
      <c r="K89" s="135">
        <v>0</v>
      </c>
      <c r="L89" s="135">
        <v>80190775</v>
      </c>
      <c r="M89" s="135">
        <v>22030500</v>
      </c>
      <c r="N89" s="135">
        <v>1057</v>
      </c>
      <c r="O89" s="135">
        <v>832</v>
      </c>
      <c r="P89" s="135">
        <v>1540000</v>
      </c>
      <c r="Q89" s="135">
        <v>920500</v>
      </c>
      <c r="R89" s="135">
        <v>1172500</v>
      </c>
      <c r="S89" s="135">
        <v>280400</v>
      </c>
      <c r="T89" s="135">
        <v>25500</v>
      </c>
      <c r="U89" s="135">
        <v>0</v>
      </c>
      <c r="V89" s="135">
        <v>1540000</v>
      </c>
      <c r="W89" s="135">
        <v>1012000</v>
      </c>
      <c r="X89" s="135">
        <v>1172500</v>
      </c>
      <c r="Y89" s="135">
        <v>280400</v>
      </c>
      <c r="Z89" s="135">
        <v>30000</v>
      </c>
      <c r="AA89" s="135">
        <v>0</v>
      </c>
      <c r="AB89" s="135">
        <v>-2010600</v>
      </c>
      <c r="AC89" s="135">
        <v>-10115</v>
      </c>
      <c r="AD89" s="135">
        <v>173651</v>
      </c>
      <c r="AE89" s="135">
        <v>50</v>
      </c>
      <c r="AF89" s="135">
        <v>0</v>
      </c>
      <c r="AG89" s="135">
        <v>222763</v>
      </c>
      <c r="AH89" s="135">
        <v>376893.44</v>
      </c>
      <c r="AI89" s="135">
        <v>726880.93442622956</v>
      </c>
      <c r="AJ89" s="139">
        <v>1000000</v>
      </c>
      <c r="AO89" s="87">
        <v>83102411</v>
      </c>
      <c r="AP89" s="82">
        <v>2260426</v>
      </c>
      <c r="AQ89" s="135">
        <v>0</v>
      </c>
      <c r="AR89" s="135">
        <v>21433297</v>
      </c>
      <c r="AS89" s="135">
        <v>194858</v>
      </c>
      <c r="AT89" s="135">
        <v>5248539</v>
      </c>
      <c r="AU89" s="135">
        <v>10277034</v>
      </c>
      <c r="AV89" s="135">
        <v>13621402</v>
      </c>
      <c r="AW89" s="135">
        <v>0</v>
      </c>
      <c r="AX89" s="135">
        <v>1677087</v>
      </c>
      <c r="AY89" s="135">
        <v>0</v>
      </c>
      <c r="AZ89" s="135">
        <v>0</v>
      </c>
      <c r="BA89" s="135">
        <v>0</v>
      </c>
      <c r="BB89" s="135">
        <v>0</v>
      </c>
      <c r="BC89" s="135">
        <v>213792</v>
      </c>
      <c r="BH89" s="82">
        <v>6216389.6200000001</v>
      </c>
      <c r="BI89" s="82">
        <v>3108194.81</v>
      </c>
      <c r="BJ89" s="117">
        <v>0</v>
      </c>
      <c r="BK89" s="118">
        <v>0</v>
      </c>
      <c r="BL89" s="118">
        <v>0</v>
      </c>
      <c r="BM89" s="117">
        <v>2561813</v>
      </c>
      <c r="BN89" s="117">
        <v>2561813</v>
      </c>
      <c r="BO89" s="117">
        <v>49545509</v>
      </c>
      <c r="BP89" s="117">
        <v>48506759</v>
      </c>
      <c r="BQ89" s="117">
        <v>0</v>
      </c>
      <c r="BR89" s="117">
        <v>0</v>
      </c>
      <c r="BS89" s="138"/>
      <c r="BT89" s="86">
        <v>453519207.18442625</v>
      </c>
      <c r="BU89" s="86">
        <v>313979603.37442625</v>
      </c>
      <c r="BV89" s="87">
        <v>5830500</v>
      </c>
      <c r="BX89" s="135">
        <v>4707</v>
      </c>
      <c r="BY89" s="135">
        <v>3252</v>
      </c>
      <c r="BZ89" s="135">
        <v>335</v>
      </c>
      <c r="CA89" s="135">
        <f t="shared" si="8"/>
        <v>8294</v>
      </c>
      <c r="CB89" s="86">
        <v>279970640</v>
      </c>
      <c r="CC89" s="82">
        <f t="shared" si="9"/>
        <v>83102411</v>
      </c>
      <c r="CD89" s="82">
        <f t="shared" si="9"/>
        <v>2260426</v>
      </c>
      <c r="CE89" s="86">
        <f t="shared" si="10"/>
        <v>31905189</v>
      </c>
      <c r="CF89" s="86">
        <f t="shared" si="11"/>
        <v>397238666</v>
      </c>
    </row>
    <row r="90" spans="1:84" x14ac:dyDescent="0.25">
      <c r="A90" s="91" t="s">
        <v>144</v>
      </c>
      <c r="B90" s="135">
        <v>637296332</v>
      </c>
      <c r="C90" s="135">
        <v>186049252</v>
      </c>
      <c r="D90" s="135">
        <v>229975758</v>
      </c>
      <c r="E90" s="135">
        <v>0</v>
      </c>
      <c r="F90" s="135">
        <v>97879825</v>
      </c>
      <c r="G90" s="135">
        <v>31443113</v>
      </c>
      <c r="H90" s="135">
        <v>15046300</v>
      </c>
      <c r="I90" s="135">
        <v>2717400</v>
      </c>
      <c r="J90" s="135">
        <v>133300</v>
      </c>
      <c r="K90" s="135">
        <v>78600</v>
      </c>
      <c r="L90" s="135">
        <v>210538746</v>
      </c>
      <c r="M90" s="135">
        <v>109008990</v>
      </c>
      <c r="N90" s="135">
        <v>3060</v>
      </c>
      <c r="O90" s="135">
        <v>998</v>
      </c>
      <c r="P90" s="135">
        <v>8597175</v>
      </c>
      <c r="Q90" s="135">
        <v>3084050</v>
      </c>
      <c r="R90" s="135">
        <v>3389075</v>
      </c>
      <c r="S90" s="135">
        <v>5850872</v>
      </c>
      <c r="T90" s="135">
        <v>2582369</v>
      </c>
      <c r="U90" s="135">
        <v>6038949</v>
      </c>
      <c r="V90" s="135">
        <v>8597174</v>
      </c>
      <c r="W90" s="135">
        <v>5748350</v>
      </c>
      <c r="X90" s="135">
        <v>3389075</v>
      </c>
      <c r="Y90" s="135">
        <v>5890372</v>
      </c>
      <c r="Z90" s="135">
        <v>4083762</v>
      </c>
      <c r="AA90" s="135">
        <v>6038949</v>
      </c>
      <c r="AB90" s="135">
        <v>-9840116</v>
      </c>
      <c r="AC90" s="135">
        <v>-86017</v>
      </c>
      <c r="AD90" s="135">
        <v>70513</v>
      </c>
      <c r="AE90" s="135">
        <v>2287619</v>
      </c>
      <c r="AF90" s="135">
        <v>48198</v>
      </c>
      <c r="AG90" s="135">
        <v>190067</v>
      </c>
      <c r="AH90" s="135">
        <v>7340237.71</v>
      </c>
      <c r="AI90" s="135">
        <v>383972</v>
      </c>
      <c r="AJ90" s="139">
        <v>14000000</v>
      </c>
      <c r="AO90" s="82">
        <v>229644279</v>
      </c>
      <c r="AP90" s="82">
        <v>7207560</v>
      </c>
      <c r="AQ90" s="135">
        <v>0</v>
      </c>
      <c r="AR90" s="135">
        <v>44445206</v>
      </c>
      <c r="AS90" s="135">
        <v>3409392</v>
      </c>
      <c r="AT90" s="135">
        <v>56876499</v>
      </c>
      <c r="AU90" s="135">
        <v>53004897</v>
      </c>
      <c r="AV90" s="135">
        <v>33519768</v>
      </c>
      <c r="AW90" s="135">
        <v>5378153</v>
      </c>
      <c r="AX90" s="135">
        <v>25075120</v>
      </c>
      <c r="AY90" s="135">
        <v>0</v>
      </c>
      <c r="AZ90" s="135">
        <v>87043</v>
      </c>
      <c r="BA90" s="135">
        <v>431445</v>
      </c>
      <c r="BB90" s="135">
        <v>1012</v>
      </c>
      <c r="BC90" s="135">
        <v>247314</v>
      </c>
      <c r="BH90" s="82">
        <v>17178302</v>
      </c>
      <c r="BI90" s="82">
        <v>8589151</v>
      </c>
      <c r="BJ90" s="117">
        <v>9503886.010362694</v>
      </c>
      <c r="BK90" s="118">
        <v>3917684</v>
      </c>
      <c r="BL90" s="118">
        <v>7835367</v>
      </c>
      <c r="BM90" s="117">
        <v>88796949</v>
      </c>
      <c r="BN90" s="117">
        <v>86402784</v>
      </c>
      <c r="BO90" s="117">
        <v>175283057</v>
      </c>
      <c r="BP90" s="117">
        <v>170632527</v>
      </c>
      <c r="BQ90" s="117">
        <v>0</v>
      </c>
      <c r="BR90" s="117">
        <v>0</v>
      </c>
      <c r="BS90" s="138"/>
      <c r="BT90" s="86">
        <v>1682299031.71</v>
      </c>
      <c r="BU90" s="86">
        <v>1175905046.71</v>
      </c>
      <c r="BV90" s="87">
        <v>1000700</v>
      </c>
      <c r="BX90" s="135">
        <v>16371</v>
      </c>
      <c r="BY90" s="135">
        <v>3047</v>
      </c>
      <c r="BZ90" s="135">
        <v>1044</v>
      </c>
      <c r="CA90" s="135">
        <f t="shared" si="8"/>
        <v>20462</v>
      </c>
      <c r="CB90" s="86">
        <v>1053321342</v>
      </c>
      <c r="CC90" s="82">
        <f t="shared" si="9"/>
        <v>229644279</v>
      </c>
      <c r="CD90" s="82">
        <f t="shared" si="9"/>
        <v>7207560</v>
      </c>
      <c r="CE90" s="86">
        <f t="shared" si="10"/>
        <v>106237648</v>
      </c>
      <c r="CF90" s="86">
        <f t="shared" si="11"/>
        <v>1396410829</v>
      </c>
    </row>
    <row r="91" spans="1:84" x14ac:dyDescent="0.25">
      <c r="A91" s="91" t="s">
        <v>145</v>
      </c>
      <c r="B91" s="135">
        <v>2126354187</v>
      </c>
      <c r="C91" s="135">
        <v>453313149</v>
      </c>
      <c r="D91" s="135">
        <v>652045869</v>
      </c>
      <c r="E91" s="135">
        <v>65256664</v>
      </c>
      <c r="F91" s="135">
        <v>136242905</v>
      </c>
      <c r="G91" s="135">
        <v>19830514</v>
      </c>
      <c r="H91" s="135">
        <v>29295765</v>
      </c>
      <c r="I91" s="135">
        <v>2082024</v>
      </c>
      <c r="J91" s="135">
        <v>314400</v>
      </c>
      <c r="K91" s="135">
        <v>0</v>
      </c>
      <c r="L91" s="135">
        <v>863646456</v>
      </c>
      <c r="M91" s="135">
        <v>391216113</v>
      </c>
      <c r="N91" s="135">
        <v>4266</v>
      </c>
      <c r="O91" s="135">
        <v>581</v>
      </c>
      <c r="P91" s="135">
        <v>33410670</v>
      </c>
      <c r="Q91" s="135">
        <v>6608040</v>
      </c>
      <c r="R91" s="135">
        <v>24640435</v>
      </c>
      <c r="S91" s="135">
        <v>6158841</v>
      </c>
      <c r="T91" s="135">
        <v>1451645</v>
      </c>
      <c r="U91" s="135">
        <v>1726010</v>
      </c>
      <c r="V91" s="135">
        <v>33410670</v>
      </c>
      <c r="W91" s="135">
        <v>6608040</v>
      </c>
      <c r="X91" s="135">
        <v>24640435</v>
      </c>
      <c r="Y91" s="135">
        <v>6158841</v>
      </c>
      <c r="Z91" s="135">
        <v>1451645</v>
      </c>
      <c r="AA91" s="135">
        <v>1726010</v>
      </c>
      <c r="AB91" s="135">
        <v>-15390245</v>
      </c>
      <c r="AC91" s="135">
        <v>-143690</v>
      </c>
      <c r="AD91" s="135">
        <v>28186</v>
      </c>
      <c r="AE91" s="135">
        <v>0</v>
      </c>
      <c r="AF91" s="135">
        <v>0</v>
      </c>
      <c r="AG91" s="135">
        <v>257591</v>
      </c>
      <c r="AH91" s="135">
        <v>0</v>
      </c>
      <c r="AI91" s="135">
        <v>965377</v>
      </c>
      <c r="AJ91" s="139"/>
      <c r="AO91" s="82">
        <v>396302747</v>
      </c>
      <c r="AP91" s="82">
        <v>10875191</v>
      </c>
      <c r="AQ91" s="135">
        <v>0</v>
      </c>
      <c r="AR91" s="135">
        <v>111572075</v>
      </c>
      <c r="AS91" s="135">
        <v>8261295</v>
      </c>
      <c r="AT91" s="135">
        <v>386436088</v>
      </c>
      <c r="AU91" s="135">
        <v>83329638</v>
      </c>
      <c r="AV91" s="135">
        <v>90623662</v>
      </c>
      <c r="AW91" s="87">
        <v>24515689</v>
      </c>
      <c r="AX91" s="135">
        <v>4119067</v>
      </c>
      <c r="AY91" s="135">
        <v>0</v>
      </c>
      <c r="AZ91" s="135">
        <v>21951</v>
      </c>
      <c r="BA91" s="135">
        <v>6800907</v>
      </c>
      <c r="BB91" s="135">
        <v>4339203</v>
      </c>
      <c r="BC91" s="135">
        <v>1364400</v>
      </c>
      <c r="BH91" s="82">
        <v>29645015.77</v>
      </c>
      <c r="BI91" s="82">
        <v>14822507.890000001</v>
      </c>
      <c r="BJ91" s="117">
        <v>0</v>
      </c>
      <c r="BK91" s="118">
        <v>936600</v>
      </c>
      <c r="BL91" s="118">
        <v>1873199</v>
      </c>
      <c r="BM91" s="117">
        <v>20375694</v>
      </c>
      <c r="BN91" s="117">
        <v>19736311</v>
      </c>
      <c r="BO91" s="117">
        <v>52144871</v>
      </c>
      <c r="BP91" s="117">
        <v>51503754</v>
      </c>
      <c r="BQ91" s="117">
        <v>716710669</v>
      </c>
      <c r="BR91" s="117">
        <v>0</v>
      </c>
      <c r="BS91" s="138"/>
      <c r="BT91" s="86">
        <v>4646729369.8899994</v>
      </c>
      <c r="BU91" s="86">
        <v>3435841590</v>
      </c>
      <c r="BV91" s="87">
        <v>3394346</v>
      </c>
      <c r="BX91" s="135">
        <v>17628</v>
      </c>
      <c r="BY91" s="135">
        <v>3842</v>
      </c>
      <c r="BZ91" s="135">
        <v>1151</v>
      </c>
      <c r="CA91" s="135">
        <f t="shared" si="8"/>
        <v>22621</v>
      </c>
      <c r="CB91" s="86">
        <v>3231713205</v>
      </c>
      <c r="CC91" s="82">
        <f t="shared" si="9"/>
        <v>396302747</v>
      </c>
      <c r="CD91" s="82">
        <f t="shared" si="9"/>
        <v>10875191</v>
      </c>
      <c r="CE91" s="86">
        <f t="shared" si="10"/>
        <v>227678697</v>
      </c>
      <c r="CF91" s="86">
        <f t="shared" si="11"/>
        <v>3866569840</v>
      </c>
    </row>
    <row r="92" spans="1:84" x14ac:dyDescent="0.25">
      <c r="A92" s="91" t="s">
        <v>146</v>
      </c>
      <c r="B92" s="135">
        <v>119098493</v>
      </c>
      <c r="C92" s="135">
        <v>102533749</v>
      </c>
      <c r="D92" s="135">
        <v>15996879</v>
      </c>
      <c r="E92" s="135">
        <v>0</v>
      </c>
      <c r="F92" s="135">
        <v>21941300</v>
      </c>
      <c r="G92" s="135">
        <v>4754700</v>
      </c>
      <c r="H92" s="135">
        <v>8948200</v>
      </c>
      <c r="I92" s="135">
        <v>1655800</v>
      </c>
      <c r="J92" s="135">
        <v>0</v>
      </c>
      <c r="K92" s="135">
        <v>39300</v>
      </c>
      <c r="L92" s="135">
        <v>112272517</v>
      </c>
      <c r="M92" s="135">
        <v>84282377</v>
      </c>
      <c r="N92" s="135">
        <v>792</v>
      </c>
      <c r="O92" s="135">
        <v>167</v>
      </c>
      <c r="P92" s="135">
        <v>676740</v>
      </c>
      <c r="Q92" s="135">
        <v>1806398</v>
      </c>
      <c r="R92" s="135">
        <v>28000</v>
      </c>
      <c r="S92" s="135">
        <v>1297395</v>
      </c>
      <c r="T92" s="135">
        <v>492700</v>
      </c>
      <c r="U92" s="135">
        <v>145582</v>
      </c>
      <c r="V92" s="135">
        <v>676740</v>
      </c>
      <c r="W92" s="135">
        <v>1822698</v>
      </c>
      <c r="X92" s="135">
        <v>28000</v>
      </c>
      <c r="Y92" s="135">
        <v>1297395</v>
      </c>
      <c r="Z92" s="135">
        <v>780427</v>
      </c>
      <c r="AA92" s="135">
        <v>145582</v>
      </c>
      <c r="AB92" s="135">
        <v>-862000</v>
      </c>
      <c r="AC92" s="135">
        <v>0</v>
      </c>
      <c r="AD92" s="135">
        <v>0</v>
      </c>
      <c r="AE92" s="135">
        <v>0</v>
      </c>
      <c r="AF92" s="135">
        <v>0</v>
      </c>
      <c r="AG92" s="135">
        <v>0</v>
      </c>
      <c r="AI92" s="135">
        <v>0</v>
      </c>
      <c r="AJ92" s="139"/>
      <c r="AO92" s="82">
        <v>50142898</v>
      </c>
      <c r="AP92" s="82">
        <v>1200112</v>
      </c>
      <c r="AQ92" s="135">
        <v>28600</v>
      </c>
      <c r="AR92" s="135">
        <v>2828268</v>
      </c>
      <c r="AS92" s="135">
        <v>52701</v>
      </c>
      <c r="AT92" s="135">
        <v>1465794</v>
      </c>
      <c r="AU92" s="135">
        <v>1769713</v>
      </c>
      <c r="AV92" s="135">
        <v>163133</v>
      </c>
      <c r="AW92" s="135">
        <v>0</v>
      </c>
      <c r="AX92" s="135">
        <v>243311</v>
      </c>
      <c r="AY92" s="135">
        <v>0</v>
      </c>
      <c r="AZ92" s="135">
        <v>0</v>
      </c>
      <c r="BA92" s="135">
        <v>18279</v>
      </c>
      <c r="BB92" s="135">
        <v>0</v>
      </c>
      <c r="BC92" s="135">
        <v>0</v>
      </c>
      <c r="BH92" s="82">
        <v>3750887.45</v>
      </c>
      <c r="BI92" s="82">
        <v>1875443.73</v>
      </c>
      <c r="BJ92" s="117">
        <v>0</v>
      </c>
      <c r="BK92" s="118">
        <v>1147244</v>
      </c>
      <c r="BL92" s="118">
        <v>2294487</v>
      </c>
      <c r="BM92" s="117">
        <v>31475346</v>
      </c>
      <c r="BN92" s="117">
        <v>31475346</v>
      </c>
      <c r="BO92" s="117">
        <v>21884298</v>
      </c>
      <c r="BP92" s="117">
        <v>21357138</v>
      </c>
      <c r="BQ92" s="117">
        <v>0</v>
      </c>
      <c r="BR92" s="117">
        <v>0</v>
      </c>
      <c r="BS92" s="138"/>
      <c r="BT92" s="86">
        <v>349477984.73000002</v>
      </c>
      <c r="BU92" s="86">
        <v>242279803</v>
      </c>
      <c r="BV92" s="87">
        <v>241950</v>
      </c>
      <c r="BX92" s="135">
        <v>2590</v>
      </c>
      <c r="BY92" s="135">
        <v>1613</v>
      </c>
      <c r="BZ92" s="135">
        <v>148</v>
      </c>
      <c r="CA92" s="135">
        <f>SUM(BX92:BZ92)</f>
        <v>4351</v>
      </c>
      <c r="CB92" s="86">
        <v>237629121</v>
      </c>
      <c r="CC92" s="82">
        <f t="shared" si="9"/>
        <v>50142898</v>
      </c>
      <c r="CD92" s="82">
        <f t="shared" si="9"/>
        <v>1200112</v>
      </c>
      <c r="CE92" s="86">
        <f t="shared" si="10"/>
        <v>4650682</v>
      </c>
      <c r="CF92" s="86">
        <f t="shared" si="11"/>
        <v>293622813</v>
      </c>
    </row>
    <row r="93" spans="1:84" x14ac:dyDescent="0.25">
      <c r="A93" s="91" t="s">
        <v>147</v>
      </c>
      <c r="B93" s="135">
        <v>415758362</v>
      </c>
      <c r="C93" s="135">
        <v>213214909</v>
      </c>
      <c r="D93" s="135">
        <v>125146481</v>
      </c>
      <c r="E93" s="135">
        <v>0</v>
      </c>
      <c r="F93" s="135">
        <v>56290455</v>
      </c>
      <c r="G93" s="135">
        <v>20868533</v>
      </c>
      <c r="H93" s="135">
        <v>19130887</v>
      </c>
      <c r="I93" s="135">
        <v>4681695</v>
      </c>
      <c r="J93" s="135">
        <v>182200</v>
      </c>
      <c r="K93" s="135">
        <v>0</v>
      </c>
      <c r="L93" s="135">
        <v>384283532</v>
      </c>
      <c r="M93" s="135">
        <v>18850038</v>
      </c>
      <c r="N93" s="135">
        <v>2132</v>
      </c>
      <c r="O93" s="135">
        <v>796</v>
      </c>
      <c r="P93" s="135">
        <v>3632100</v>
      </c>
      <c r="Q93" s="135">
        <v>3052750</v>
      </c>
      <c r="R93" s="135">
        <v>359600</v>
      </c>
      <c r="S93" s="135">
        <v>2324975</v>
      </c>
      <c r="T93" s="135">
        <v>168440</v>
      </c>
      <c r="U93" s="135">
        <v>1000604</v>
      </c>
      <c r="V93" s="135">
        <v>3632100</v>
      </c>
      <c r="W93" s="135">
        <v>429000</v>
      </c>
      <c r="X93" s="135">
        <v>359600</v>
      </c>
      <c r="Y93" s="135">
        <v>2324975</v>
      </c>
      <c r="Z93" s="135">
        <v>89150</v>
      </c>
      <c r="AA93" s="135">
        <v>1000604</v>
      </c>
      <c r="AB93" s="135">
        <v>-2449200</v>
      </c>
      <c r="AC93" s="135">
        <v>0</v>
      </c>
      <c r="AD93" s="135">
        <v>330299</v>
      </c>
      <c r="AE93" s="135">
        <v>19048</v>
      </c>
      <c r="AF93" s="135">
        <v>22226906</v>
      </c>
      <c r="AG93" s="135">
        <v>330329</v>
      </c>
      <c r="AH93" s="135">
        <v>4417643.4400000004</v>
      </c>
      <c r="AI93" s="135">
        <v>383516</v>
      </c>
      <c r="AJ93" s="139">
        <v>8000000</v>
      </c>
      <c r="AO93" s="82">
        <v>153441920</v>
      </c>
      <c r="AP93" s="82">
        <v>4651221</v>
      </c>
      <c r="AQ93" s="135">
        <v>0</v>
      </c>
      <c r="AR93" s="135">
        <v>40401129</v>
      </c>
      <c r="AS93" s="135">
        <v>7287672</v>
      </c>
      <c r="AT93" s="135">
        <v>88279465</v>
      </c>
      <c r="AU93" s="135">
        <v>21359887</v>
      </c>
      <c r="AV93" s="135">
        <v>19601247</v>
      </c>
      <c r="AW93" s="135">
        <v>5846511</v>
      </c>
      <c r="AX93" s="135">
        <f>6216118</f>
        <v>6216118</v>
      </c>
      <c r="AY93" s="135">
        <v>0</v>
      </c>
      <c r="AZ93" s="135">
        <v>10251</v>
      </c>
      <c r="BA93" s="135">
        <v>321084</v>
      </c>
      <c r="BB93" s="135">
        <v>326765</v>
      </c>
      <c r="BC93" s="135">
        <v>39500</v>
      </c>
      <c r="BH93" s="82">
        <v>11478063.609999999</v>
      </c>
      <c r="BI93" s="82">
        <v>5739031.8099999996</v>
      </c>
      <c r="BJ93" s="117">
        <v>11202072.538860103</v>
      </c>
      <c r="BK93" s="118">
        <v>2356441</v>
      </c>
      <c r="BL93" s="118">
        <v>4712882</v>
      </c>
      <c r="BM93" s="117">
        <v>51918794</v>
      </c>
      <c r="BN93" s="117">
        <v>48260579</v>
      </c>
      <c r="BO93" s="117">
        <v>73565819</v>
      </c>
      <c r="BP93" s="117">
        <v>69054797</v>
      </c>
      <c r="BQ93" s="117">
        <v>0</v>
      </c>
      <c r="BR93" s="117">
        <v>0</v>
      </c>
      <c r="BS93" s="138"/>
      <c r="BT93" s="86">
        <v>1119473589.25</v>
      </c>
      <c r="BU93" s="86">
        <v>835969599.44000006</v>
      </c>
      <c r="BV93" s="87">
        <v>916061</v>
      </c>
      <c r="BX93" s="135">
        <v>11258</v>
      </c>
      <c r="BY93" s="135">
        <v>5694</v>
      </c>
      <c r="BZ93" s="135">
        <v>571</v>
      </c>
      <c r="CA93" s="135">
        <f t="shared" ref="CA93:CA113" si="12">SUM(BX93:BZ93)</f>
        <v>17523</v>
      </c>
      <c r="CB93" s="86">
        <v>754119752</v>
      </c>
      <c r="CC93" s="82">
        <f t="shared" si="9"/>
        <v>153441920</v>
      </c>
      <c r="CD93" s="82">
        <f t="shared" si="9"/>
        <v>4651221</v>
      </c>
      <c r="CE93" s="86">
        <f t="shared" si="10"/>
        <v>74895199</v>
      </c>
      <c r="CF93" s="86">
        <f t="shared" si="11"/>
        <v>987108092</v>
      </c>
    </row>
    <row r="94" spans="1:84" x14ac:dyDescent="0.25">
      <c r="A94" s="91" t="s">
        <v>148</v>
      </c>
      <c r="B94" s="135">
        <v>5849573250</v>
      </c>
      <c r="C94" s="135">
        <v>277287525</v>
      </c>
      <c r="D94" s="135">
        <v>541123756</v>
      </c>
      <c r="E94" s="135">
        <v>0</v>
      </c>
      <c r="F94" s="135">
        <v>180442100</v>
      </c>
      <c r="G94" s="135">
        <v>10560800</v>
      </c>
      <c r="H94" s="135">
        <v>8685300</v>
      </c>
      <c r="I94" s="135">
        <v>196500</v>
      </c>
      <c r="J94" s="135">
        <v>353700</v>
      </c>
      <c r="K94" s="135">
        <v>39300</v>
      </c>
      <c r="L94" s="135">
        <v>593530360</v>
      </c>
      <c r="M94" s="135">
        <v>223113200</v>
      </c>
      <c r="N94" s="135">
        <v>4937</v>
      </c>
      <c r="O94" s="135">
        <v>279</v>
      </c>
      <c r="P94" s="135">
        <v>117113343</v>
      </c>
      <c r="Q94" s="135">
        <v>12604100</v>
      </c>
      <c r="R94" s="135">
        <v>9116500</v>
      </c>
      <c r="S94" s="135">
        <v>29751100</v>
      </c>
      <c r="T94" s="135">
        <v>5302650</v>
      </c>
      <c r="U94" s="135">
        <v>5198500</v>
      </c>
      <c r="V94" s="135">
        <v>117113343</v>
      </c>
      <c r="W94" s="135">
        <v>17692500</v>
      </c>
      <c r="X94" s="135">
        <v>9116500</v>
      </c>
      <c r="Y94" s="135">
        <v>29751100</v>
      </c>
      <c r="Z94" s="135">
        <v>10387120</v>
      </c>
      <c r="AA94" s="135">
        <v>5198500</v>
      </c>
      <c r="AB94" s="135">
        <v>-7299606</v>
      </c>
      <c r="AC94" s="135">
        <v>-593344</v>
      </c>
      <c r="AD94" s="135">
        <v>0</v>
      </c>
      <c r="AE94" s="135">
        <v>0</v>
      </c>
      <c r="AF94" s="135">
        <v>0</v>
      </c>
      <c r="AG94" s="135">
        <v>61765</v>
      </c>
      <c r="AH94" s="135">
        <v>0</v>
      </c>
      <c r="AI94" s="135">
        <v>500000</v>
      </c>
      <c r="AJ94" s="139"/>
      <c r="AO94" s="82">
        <v>605717653</v>
      </c>
      <c r="AP94" s="82">
        <v>19985664</v>
      </c>
      <c r="AQ94" s="135">
        <v>3263748</v>
      </c>
      <c r="AR94" s="135">
        <v>68020449</v>
      </c>
      <c r="AS94" s="135">
        <v>5818939</v>
      </c>
      <c r="AT94" s="135">
        <v>57132339</v>
      </c>
      <c r="AU94" s="135">
        <v>33507404</v>
      </c>
      <c r="AV94" s="135">
        <v>49649450</v>
      </c>
      <c r="AW94" s="135">
        <v>364153</v>
      </c>
      <c r="AX94" s="135">
        <v>7936729</v>
      </c>
      <c r="AY94" s="135">
        <v>0</v>
      </c>
      <c r="AZ94" s="135">
        <v>0</v>
      </c>
      <c r="BA94" s="135">
        <v>0</v>
      </c>
      <c r="BB94" s="135">
        <v>4462405</v>
      </c>
      <c r="BC94" s="135">
        <v>0</v>
      </c>
      <c r="BH94" s="82">
        <v>45310080.509999998</v>
      </c>
      <c r="BI94" s="82">
        <v>22655040.260000002</v>
      </c>
      <c r="BJ94" s="117">
        <v>19305699.481865283</v>
      </c>
      <c r="BK94" s="118">
        <v>1085289</v>
      </c>
      <c r="BL94" s="118">
        <v>2170579</v>
      </c>
      <c r="BM94" s="117">
        <v>51433763</v>
      </c>
      <c r="BN94" s="117">
        <v>51433763</v>
      </c>
      <c r="BO94" s="117">
        <v>88720822</v>
      </c>
      <c r="BP94" s="117">
        <v>87138136</v>
      </c>
      <c r="BQ94" s="117">
        <v>3059911</v>
      </c>
      <c r="BR94" s="117">
        <v>0</v>
      </c>
      <c r="BS94" s="138"/>
      <c r="BT94" s="86">
        <v>7566906779.2600002</v>
      </c>
      <c r="BU94" s="86">
        <v>6775831323</v>
      </c>
      <c r="BV94" s="87">
        <v>1812615</v>
      </c>
      <c r="BX94" s="135">
        <v>23243</v>
      </c>
      <c r="BY94" s="135">
        <v>1262</v>
      </c>
      <c r="BZ94" s="135">
        <v>873</v>
      </c>
      <c r="CA94" s="135">
        <f t="shared" si="12"/>
        <v>25378</v>
      </c>
      <c r="CB94" s="86">
        <v>6667984531</v>
      </c>
      <c r="CC94" s="82">
        <f t="shared" si="9"/>
        <v>605717653</v>
      </c>
      <c r="CD94" s="82">
        <f t="shared" si="9"/>
        <v>19985664</v>
      </c>
      <c r="CE94" s="86">
        <f t="shared" si="10"/>
        <v>107710945</v>
      </c>
      <c r="CF94" s="86">
        <f t="shared" si="11"/>
        <v>7401398793</v>
      </c>
    </row>
    <row r="95" spans="1:84" x14ac:dyDescent="0.25">
      <c r="A95" s="91" t="s">
        <v>149</v>
      </c>
      <c r="B95" s="135">
        <v>316981810</v>
      </c>
      <c r="C95" s="135">
        <v>176357350</v>
      </c>
      <c r="D95" s="135">
        <v>44187687</v>
      </c>
      <c r="E95" s="135">
        <v>0</v>
      </c>
      <c r="F95" s="135">
        <v>28039200</v>
      </c>
      <c r="G95" s="135">
        <v>3976600</v>
      </c>
      <c r="H95" s="135">
        <v>14313600</v>
      </c>
      <c r="I95" s="135">
        <v>916800</v>
      </c>
      <c r="J95" s="135">
        <v>147200</v>
      </c>
      <c r="K95" s="135">
        <v>0</v>
      </c>
      <c r="L95" s="135">
        <v>316610053</v>
      </c>
      <c r="M95" s="135">
        <v>120356550</v>
      </c>
      <c r="N95" s="135">
        <v>1135</v>
      </c>
      <c r="O95" s="135">
        <v>144</v>
      </c>
      <c r="P95" s="135">
        <v>3043500</v>
      </c>
      <c r="Q95" s="135">
        <v>2264300</v>
      </c>
      <c r="R95" s="135">
        <v>618400</v>
      </c>
      <c r="S95" s="135">
        <v>2800300</v>
      </c>
      <c r="T95" s="135">
        <v>3035670</v>
      </c>
      <c r="U95" s="135">
        <v>271421</v>
      </c>
      <c r="V95" s="135">
        <v>3043500</v>
      </c>
      <c r="W95" s="135">
        <v>2833400</v>
      </c>
      <c r="X95" s="135">
        <v>618400</v>
      </c>
      <c r="Y95" s="135">
        <v>2800300</v>
      </c>
      <c r="Z95" s="135">
        <v>2067800</v>
      </c>
      <c r="AA95" s="135">
        <v>271421</v>
      </c>
      <c r="AB95" s="135">
        <v>-1295771</v>
      </c>
      <c r="AC95" s="135">
        <v>-372371</v>
      </c>
      <c r="AD95" s="135">
        <v>0</v>
      </c>
      <c r="AE95" s="135">
        <v>0</v>
      </c>
      <c r="AF95" s="135">
        <v>0</v>
      </c>
      <c r="AG95" s="135">
        <v>0</v>
      </c>
      <c r="AI95" s="135">
        <v>0</v>
      </c>
      <c r="AJ95" s="139"/>
      <c r="AO95" s="82">
        <v>90680075</v>
      </c>
      <c r="AP95" s="82">
        <v>3227567</v>
      </c>
      <c r="AQ95" s="135">
        <v>0</v>
      </c>
      <c r="AR95" s="135">
        <v>8391423</v>
      </c>
      <c r="AS95" s="135">
        <v>103020</v>
      </c>
      <c r="AT95" s="135">
        <v>700987</v>
      </c>
      <c r="AU95" s="135">
        <v>7394478</v>
      </c>
      <c r="AV95" s="135">
        <v>953553</v>
      </c>
      <c r="AW95" s="135">
        <v>0</v>
      </c>
      <c r="AX95" s="135">
        <v>1116603</v>
      </c>
      <c r="AY95" s="135">
        <v>0</v>
      </c>
      <c r="AZ95" s="135">
        <v>42712</v>
      </c>
      <c r="BA95" s="135">
        <v>0</v>
      </c>
      <c r="BB95" s="135">
        <v>36481</v>
      </c>
      <c r="BC95" s="135">
        <v>163500</v>
      </c>
      <c r="BH95" s="82">
        <v>6783228.9199999999</v>
      </c>
      <c r="BI95" s="82">
        <v>3391614.46</v>
      </c>
      <c r="BJ95" s="117">
        <v>5898963.7305699484</v>
      </c>
      <c r="BK95" s="118">
        <v>0</v>
      </c>
      <c r="BL95" s="118">
        <v>0</v>
      </c>
      <c r="BM95" s="117">
        <v>59506140</v>
      </c>
      <c r="BN95" s="117">
        <v>59506140</v>
      </c>
      <c r="BO95" s="117">
        <v>55308341</v>
      </c>
      <c r="BP95" s="117">
        <v>55216758</v>
      </c>
      <c r="BQ95" s="117">
        <v>0</v>
      </c>
      <c r="BR95" s="117">
        <v>0</v>
      </c>
      <c r="BS95" s="138"/>
      <c r="BT95" s="86">
        <v>765437922.46000004</v>
      </c>
      <c r="BU95" s="86">
        <v>553415768</v>
      </c>
      <c r="BV95" s="87">
        <v>342204</v>
      </c>
      <c r="BX95" s="135">
        <v>6019</v>
      </c>
      <c r="BY95" s="135">
        <v>2766</v>
      </c>
      <c r="BZ95" s="135">
        <v>247</v>
      </c>
      <c r="CA95" s="135">
        <f t="shared" si="12"/>
        <v>9032</v>
      </c>
      <c r="CB95" s="86">
        <v>537526847</v>
      </c>
      <c r="CC95" s="82">
        <f t="shared" si="9"/>
        <v>90680075</v>
      </c>
      <c r="CD95" s="82">
        <f t="shared" si="9"/>
        <v>3227567</v>
      </c>
      <c r="CE95" s="86">
        <f t="shared" si="10"/>
        <v>15888921</v>
      </c>
      <c r="CF95" s="86">
        <f t="shared" si="11"/>
        <v>647323410</v>
      </c>
    </row>
    <row r="96" spans="1:84" x14ac:dyDescent="0.25">
      <c r="A96" s="91" t="s">
        <v>150</v>
      </c>
      <c r="B96" s="135">
        <v>36732056</v>
      </c>
      <c r="C96" s="135">
        <v>38594427</v>
      </c>
      <c r="D96" s="135">
        <v>12756100</v>
      </c>
      <c r="E96" s="135">
        <v>0</v>
      </c>
      <c r="F96" s="135">
        <v>7515800</v>
      </c>
      <c r="G96" s="135">
        <v>8912550</v>
      </c>
      <c r="H96" s="135">
        <v>5780340</v>
      </c>
      <c r="I96" s="135">
        <v>3913500</v>
      </c>
      <c r="J96" s="135">
        <v>0</v>
      </c>
      <c r="K96" s="135">
        <v>0</v>
      </c>
      <c r="L96" s="135">
        <v>76004288</v>
      </c>
      <c r="M96" s="135">
        <v>18204184</v>
      </c>
      <c r="N96" s="135">
        <v>375</v>
      </c>
      <c r="O96" s="135">
        <v>385</v>
      </c>
      <c r="P96" s="135">
        <v>539500</v>
      </c>
      <c r="Q96" s="135">
        <v>688800</v>
      </c>
      <c r="R96" s="135">
        <v>0</v>
      </c>
      <c r="S96" s="135">
        <v>317900</v>
      </c>
      <c r="T96" s="135">
        <v>216400</v>
      </c>
      <c r="U96" s="135">
        <v>0</v>
      </c>
      <c r="V96" s="135">
        <v>539500</v>
      </c>
      <c r="W96" s="135">
        <v>872300</v>
      </c>
      <c r="X96" s="135">
        <v>0</v>
      </c>
      <c r="Y96" s="135">
        <v>317900</v>
      </c>
      <c r="Z96" s="135">
        <v>185400</v>
      </c>
      <c r="AA96" s="135">
        <v>0</v>
      </c>
      <c r="AB96" s="135">
        <v>-1105250</v>
      </c>
      <c r="AC96" s="135">
        <v>0</v>
      </c>
      <c r="AD96" s="135">
        <v>50676</v>
      </c>
      <c r="AE96" s="135">
        <v>0</v>
      </c>
      <c r="AF96" s="135">
        <v>0</v>
      </c>
      <c r="AG96" s="135">
        <v>107292</v>
      </c>
      <c r="AH96" s="135">
        <v>0</v>
      </c>
      <c r="AI96" s="135">
        <v>88201</v>
      </c>
      <c r="AJ96" s="139">
        <v>300000</v>
      </c>
      <c r="AO96" s="82">
        <v>23903982</v>
      </c>
      <c r="AP96" s="82">
        <v>478416</v>
      </c>
      <c r="AQ96" s="135">
        <v>0</v>
      </c>
      <c r="AR96" s="135">
        <v>1768100</v>
      </c>
      <c r="AS96" s="135">
        <v>7594</v>
      </c>
      <c r="AT96" s="135">
        <v>625295</v>
      </c>
      <c r="AU96" s="135">
        <v>1423559</v>
      </c>
      <c r="AV96" s="135">
        <v>0</v>
      </c>
      <c r="AW96" s="135">
        <v>0</v>
      </c>
      <c r="AX96" s="135">
        <v>41412</v>
      </c>
      <c r="AY96" s="135">
        <v>0</v>
      </c>
      <c r="AZ96" s="135">
        <v>0</v>
      </c>
      <c r="BA96" s="135">
        <v>0</v>
      </c>
      <c r="BH96" s="82">
        <v>1788112.57</v>
      </c>
      <c r="BI96" s="82">
        <v>894056.29</v>
      </c>
      <c r="BJ96" s="117">
        <v>0</v>
      </c>
      <c r="BK96" s="118">
        <v>0</v>
      </c>
      <c r="BL96" s="118">
        <v>0</v>
      </c>
      <c r="BM96" s="117">
        <v>2390606</v>
      </c>
      <c r="BN96" s="117">
        <v>2390606</v>
      </c>
      <c r="BO96" s="117">
        <v>14039600</v>
      </c>
      <c r="BP96" s="117">
        <v>14039600</v>
      </c>
      <c r="BQ96" s="117">
        <v>0</v>
      </c>
      <c r="BR96" s="117">
        <v>0</v>
      </c>
      <c r="BS96" s="138"/>
      <c r="BT96" s="86">
        <v>133376697.29000001</v>
      </c>
      <c r="BU96" s="86">
        <v>91670037</v>
      </c>
      <c r="BV96" s="87">
        <v>327600</v>
      </c>
      <c r="BX96" s="135">
        <v>1655</v>
      </c>
      <c r="BY96" s="135">
        <v>1703</v>
      </c>
      <c r="BZ96" s="135">
        <v>82</v>
      </c>
      <c r="CA96" s="135">
        <f t="shared" si="12"/>
        <v>3440</v>
      </c>
      <c r="CB96" s="86">
        <v>88082583</v>
      </c>
      <c r="CC96" s="82">
        <f t="shared" si="9"/>
        <v>23903982</v>
      </c>
      <c r="CD96" s="82">
        <f t="shared" si="9"/>
        <v>478416</v>
      </c>
      <c r="CE96" s="86">
        <f t="shared" si="10"/>
        <v>3199253</v>
      </c>
      <c r="CF96" s="86">
        <f t="shared" si="11"/>
        <v>115664234</v>
      </c>
    </row>
    <row r="97" spans="1:84" x14ac:dyDescent="0.25">
      <c r="A97" s="91" t="s">
        <v>151</v>
      </c>
      <c r="B97" s="135">
        <v>304599595</v>
      </c>
      <c r="C97" s="135">
        <v>195522879</v>
      </c>
      <c r="D97" s="135">
        <v>65396097</v>
      </c>
      <c r="E97" s="135">
        <v>0</v>
      </c>
      <c r="F97" s="135">
        <v>32603980</v>
      </c>
      <c r="G97" s="135">
        <v>5816600</v>
      </c>
      <c r="H97" s="135">
        <v>20063300</v>
      </c>
      <c r="I97" s="135">
        <v>1827700</v>
      </c>
      <c r="J97" s="135">
        <v>78600</v>
      </c>
      <c r="K97" s="135">
        <v>0</v>
      </c>
      <c r="L97" s="135">
        <v>259098034</v>
      </c>
      <c r="M97" s="135">
        <v>152832818</v>
      </c>
      <c r="N97" s="135">
        <v>1390</v>
      </c>
      <c r="O97" s="135">
        <v>210</v>
      </c>
      <c r="P97" s="135">
        <v>6862800</v>
      </c>
      <c r="Q97" s="135">
        <v>4945950</v>
      </c>
      <c r="R97" s="135">
        <v>65000</v>
      </c>
      <c r="S97" s="135">
        <v>2853908</v>
      </c>
      <c r="T97" s="135">
        <v>3286740</v>
      </c>
      <c r="U97" s="135">
        <v>2255300</v>
      </c>
      <c r="V97" s="135">
        <v>6862800</v>
      </c>
      <c r="W97" s="135">
        <v>5434050</v>
      </c>
      <c r="X97" s="135">
        <v>65000</v>
      </c>
      <c r="Y97" s="135">
        <v>2853908</v>
      </c>
      <c r="Z97" s="135">
        <v>4829584</v>
      </c>
      <c r="AA97" s="135">
        <v>2255300</v>
      </c>
      <c r="AB97" s="135">
        <v>-1440650</v>
      </c>
      <c r="AC97" s="135">
        <v>0</v>
      </c>
      <c r="AD97" s="135">
        <v>62</v>
      </c>
      <c r="AE97" s="135">
        <v>0</v>
      </c>
      <c r="AF97" s="135">
        <v>0</v>
      </c>
      <c r="AG97" s="135">
        <v>157316</v>
      </c>
      <c r="AH97" s="135">
        <v>0</v>
      </c>
      <c r="AI97" s="135">
        <v>4186848</v>
      </c>
      <c r="AJ97" s="139"/>
      <c r="AO97" s="82">
        <v>110976648</v>
      </c>
      <c r="AP97" s="82">
        <v>3078594</v>
      </c>
      <c r="AQ97" s="135">
        <v>0</v>
      </c>
      <c r="AR97" s="135">
        <v>24091361</v>
      </c>
      <c r="AS97" s="135">
        <v>4901682</v>
      </c>
      <c r="AT97" s="135">
        <v>76533463</v>
      </c>
      <c r="AU97" s="135">
        <v>6716142</v>
      </c>
      <c r="AV97" s="135">
        <v>5680865</v>
      </c>
      <c r="AW97" s="135">
        <v>4657080</v>
      </c>
      <c r="AX97" s="135">
        <v>21000</v>
      </c>
      <c r="AY97" s="135">
        <v>0</v>
      </c>
      <c r="AZ97" s="135">
        <v>0</v>
      </c>
      <c r="BA97" s="135">
        <v>0</v>
      </c>
      <c r="BB97" s="135">
        <v>9790379</v>
      </c>
      <c r="BC97" s="135">
        <v>505285</v>
      </c>
      <c r="BH97" s="82">
        <v>8301493</v>
      </c>
      <c r="BI97" s="82">
        <v>4150746.5</v>
      </c>
      <c r="BJ97" s="117">
        <v>4051813.4715025905</v>
      </c>
      <c r="BK97" s="118">
        <v>3032105</v>
      </c>
      <c r="BL97" s="118">
        <v>6064210</v>
      </c>
      <c r="BM97" s="117">
        <v>27752056</v>
      </c>
      <c r="BN97" s="117">
        <v>27752056</v>
      </c>
      <c r="BO97" s="117">
        <v>58418087</v>
      </c>
      <c r="BP97" s="117">
        <v>52418842</v>
      </c>
      <c r="BQ97" s="117">
        <v>0</v>
      </c>
      <c r="BR97" s="117">
        <v>0</v>
      </c>
      <c r="BS97" s="138"/>
      <c r="BT97" s="86">
        <v>806823595.5</v>
      </c>
      <c r="BU97" s="86">
        <v>605414604</v>
      </c>
      <c r="BV97" s="87">
        <v>516085</v>
      </c>
      <c r="BX97" s="135">
        <v>4760</v>
      </c>
      <c r="BY97" s="135">
        <v>2686</v>
      </c>
      <c r="BZ97" s="135">
        <v>342</v>
      </c>
      <c r="CA97" s="135">
        <f t="shared" si="12"/>
        <v>7788</v>
      </c>
      <c r="CB97" s="86">
        <v>565518571</v>
      </c>
      <c r="CC97" s="82">
        <f t="shared" si="9"/>
        <v>110976648</v>
      </c>
      <c r="CD97" s="82">
        <f t="shared" si="9"/>
        <v>3078594</v>
      </c>
      <c r="CE97" s="86">
        <f t="shared" si="10"/>
        <v>40366265</v>
      </c>
      <c r="CF97" s="86">
        <f t="shared" si="11"/>
        <v>719940078</v>
      </c>
    </row>
    <row r="98" spans="1:84" x14ac:dyDescent="0.25">
      <c r="A98" s="91" t="s">
        <v>152</v>
      </c>
      <c r="B98" s="135">
        <v>460841055</v>
      </c>
      <c r="C98" s="135">
        <v>59127271</v>
      </c>
      <c r="D98" s="135">
        <v>279468808</v>
      </c>
      <c r="E98" s="135">
        <v>500</v>
      </c>
      <c r="F98" s="135">
        <v>68045600</v>
      </c>
      <c r="G98" s="135">
        <v>49171047</v>
      </c>
      <c r="H98" s="135">
        <v>11603425</v>
      </c>
      <c r="I98" s="135">
        <v>4572100</v>
      </c>
      <c r="J98" s="135">
        <v>487300</v>
      </c>
      <c r="K98" s="135">
        <v>157200</v>
      </c>
      <c r="L98" s="135">
        <v>65245567</v>
      </c>
      <c r="M98" s="135">
        <v>43952005</v>
      </c>
      <c r="N98" s="135">
        <v>2381</v>
      </c>
      <c r="O98" s="135">
        <v>1757</v>
      </c>
      <c r="P98" s="135">
        <v>840500</v>
      </c>
      <c r="Q98" s="135">
        <v>58300</v>
      </c>
      <c r="R98" s="135">
        <v>0</v>
      </c>
      <c r="S98" s="135">
        <v>2106600</v>
      </c>
      <c r="T98" s="135">
        <v>521400</v>
      </c>
      <c r="U98" s="135">
        <v>110000</v>
      </c>
      <c r="V98" s="135">
        <v>840500</v>
      </c>
      <c r="W98" s="135">
        <v>58300</v>
      </c>
      <c r="X98" s="135">
        <v>0</v>
      </c>
      <c r="Y98" s="135">
        <v>2106600</v>
      </c>
      <c r="Z98" s="135">
        <v>521400</v>
      </c>
      <c r="AA98" s="135">
        <v>110000</v>
      </c>
      <c r="AB98" s="135">
        <v>-6167480</v>
      </c>
      <c r="AC98" s="135">
        <v>-7688</v>
      </c>
      <c r="AD98" s="135">
        <v>132294</v>
      </c>
      <c r="AE98" s="135">
        <v>35</v>
      </c>
      <c r="AF98" s="135">
        <v>0</v>
      </c>
      <c r="AG98" s="135">
        <v>156822</v>
      </c>
      <c r="AH98" s="135">
        <v>8917024.5899999999</v>
      </c>
      <c r="AI98" s="135">
        <v>42213893</v>
      </c>
      <c r="AJ98" s="139">
        <v>20000000</v>
      </c>
      <c r="AO98" s="82">
        <v>204704538</v>
      </c>
      <c r="AP98" s="82">
        <v>6023587</v>
      </c>
      <c r="AQ98" s="135">
        <v>40000</v>
      </c>
      <c r="AR98" s="135">
        <v>77692435</v>
      </c>
      <c r="AS98" s="135">
        <v>1659412</v>
      </c>
      <c r="AT98" s="135">
        <v>39075550</v>
      </c>
      <c r="AU98" s="135">
        <v>46834173</v>
      </c>
      <c r="AV98" s="135">
        <v>35103807</v>
      </c>
      <c r="AW98" s="135">
        <v>0</v>
      </c>
      <c r="AX98" s="135">
        <v>238645</v>
      </c>
      <c r="AY98" s="135">
        <v>0</v>
      </c>
      <c r="AZ98" s="135">
        <v>0</v>
      </c>
      <c r="BA98" s="135">
        <v>0</v>
      </c>
      <c r="BB98" s="135">
        <v>14838</v>
      </c>
      <c r="BC98" s="135">
        <v>17898925</v>
      </c>
      <c r="BH98" s="82">
        <v>15312710.550000001</v>
      </c>
      <c r="BI98" s="82">
        <v>7656355.2800000003</v>
      </c>
      <c r="BJ98" s="117">
        <v>0</v>
      </c>
      <c r="BK98" s="118">
        <v>7707086</v>
      </c>
      <c r="BL98" s="118">
        <v>15414172</v>
      </c>
      <c r="BM98" s="117">
        <v>27019556</v>
      </c>
      <c r="BN98" s="117">
        <v>27019556</v>
      </c>
      <c r="BO98" s="117">
        <v>108908961</v>
      </c>
      <c r="BP98" s="117">
        <v>100164516</v>
      </c>
      <c r="BQ98" s="117">
        <v>0</v>
      </c>
      <c r="BR98" s="117">
        <v>0</v>
      </c>
      <c r="BS98" s="138"/>
      <c r="BT98" s="86">
        <v>1350029709.8700001</v>
      </c>
      <c r="BU98" s="86">
        <v>996754071.59000003</v>
      </c>
      <c r="BV98" s="87">
        <v>1061467</v>
      </c>
      <c r="BX98" s="135">
        <v>13608</v>
      </c>
      <c r="BY98" s="135">
        <v>2738</v>
      </c>
      <c r="BZ98" s="135">
        <v>1195</v>
      </c>
      <c r="CA98" s="135">
        <f t="shared" si="12"/>
        <v>17541</v>
      </c>
      <c r="CB98" s="86">
        <v>799437134</v>
      </c>
      <c r="CC98" s="82">
        <f t="shared" ref="CC98:CD121" si="13">AO98</f>
        <v>204704538</v>
      </c>
      <c r="CD98" s="82">
        <f t="shared" si="13"/>
        <v>6023587</v>
      </c>
      <c r="CE98" s="86">
        <f t="shared" si="10"/>
        <v>126186020</v>
      </c>
      <c r="CF98" s="86">
        <f t="shared" si="11"/>
        <v>1136351279</v>
      </c>
    </row>
    <row r="99" spans="1:84" x14ac:dyDescent="0.25">
      <c r="A99" s="91" t="s">
        <v>153</v>
      </c>
      <c r="B99" s="135">
        <v>1012044071</v>
      </c>
      <c r="C99" s="135">
        <v>142182711</v>
      </c>
      <c r="D99" s="135">
        <v>444407429</v>
      </c>
      <c r="E99" s="135">
        <v>0</v>
      </c>
      <c r="F99" s="135">
        <v>148986873</v>
      </c>
      <c r="G99" s="135">
        <v>152861250</v>
      </c>
      <c r="H99" s="135">
        <v>30440100</v>
      </c>
      <c r="I99" s="135">
        <v>22769900</v>
      </c>
      <c r="J99" s="135">
        <v>697800</v>
      </c>
      <c r="K99" s="135">
        <v>332800</v>
      </c>
      <c r="L99" s="135">
        <v>164383203</v>
      </c>
      <c r="M99" s="135">
        <v>149673417</v>
      </c>
      <c r="N99" s="135">
        <v>5525</v>
      </c>
      <c r="O99" s="135">
        <v>5926</v>
      </c>
      <c r="P99" s="135">
        <v>12426292</v>
      </c>
      <c r="Q99" s="135">
        <v>355000</v>
      </c>
      <c r="R99" s="135">
        <v>8002800</v>
      </c>
      <c r="S99" s="135">
        <v>29468563</v>
      </c>
      <c r="T99" s="135">
        <v>256900</v>
      </c>
      <c r="U99" s="135">
        <v>6057900</v>
      </c>
      <c r="V99" s="135">
        <v>12426292</v>
      </c>
      <c r="W99" s="135">
        <v>355000</v>
      </c>
      <c r="X99" s="135">
        <v>8002800</v>
      </c>
      <c r="Y99" s="135">
        <v>26468563</v>
      </c>
      <c r="Z99" s="135">
        <v>286900</v>
      </c>
      <c r="AA99" s="135">
        <v>6057900</v>
      </c>
      <c r="AB99" s="135">
        <v>-5141000</v>
      </c>
      <c r="AC99" s="135">
        <v>-1022521</v>
      </c>
      <c r="AD99" s="135">
        <v>377915</v>
      </c>
      <c r="AE99" s="135">
        <v>0</v>
      </c>
      <c r="AF99" s="135">
        <v>0</v>
      </c>
      <c r="AG99" s="135">
        <v>494811</v>
      </c>
      <c r="AH99" s="135">
        <v>6460532.79</v>
      </c>
      <c r="AI99" s="135">
        <v>118851689.01639345</v>
      </c>
      <c r="AJ99" s="139">
        <v>54000000</v>
      </c>
      <c r="AO99" s="82">
        <v>471597439</v>
      </c>
      <c r="AP99" s="82">
        <v>10918718</v>
      </c>
      <c r="AQ99" s="135">
        <v>19630</v>
      </c>
      <c r="AR99" s="135">
        <v>137650683</v>
      </c>
      <c r="AS99" s="135">
        <v>8138770</v>
      </c>
      <c r="AT99" s="135">
        <v>159582690</v>
      </c>
      <c r="AU99" s="135">
        <v>103678594</v>
      </c>
      <c r="AV99" s="135">
        <v>64272605</v>
      </c>
      <c r="AW99" s="135">
        <v>841622</v>
      </c>
      <c r="AX99" s="135">
        <f>14319+2</f>
        <v>14321</v>
      </c>
      <c r="AY99" s="135">
        <v>0</v>
      </c>
      <c r="AZ99" s="135">
        <v>373660</v>
      </c>
      <c r="BA99" s="135">
        <v>0</v>
      </c>
      <c r="BB99" s="135">
        <v>231661</v>
      </c>
      <c r="BC99" s="135">
        <v>1444285</v>
      </c>
      <c r="BH99" s="82">
        <v>35277357.07</v>
      </c>
      <c r="BI99" s="82">
        <v>17638678.539999999</v>
      </c>
      <c r="BJ99" s="117">
        <v>0</v>
      </c>
      <c r="BK99" s="118">
        <v>8658263</v>
      </c>
      <c r="BL99" s="118">
        <v>17316526</v>
      </c>
      <c r="BM99" s="117">
        <v>83631433</v>
      </c>
      <c r="BN99" s="117">
        <v>83631433</v>
      </c>
      <c r="BO99" s="117">
        <v>198425285</v>
      </c>
      <c r="BP99" s="117">
        <v>187573213</v>
      </c>
      <c r="BQ99" s="117">
        <v>0</v>
      </c>
      <c r="BR99" s="117">
        <v>0</v>
      </c>
      <c r="BS99" s="138"/>
      <c r="BT99" s="86">
        <v>2807432224.3463936</v>
      </c>
      <c r="BU99" s="86">
        <v>2027414479.8063934</v>
      </c>
      <c r="BV99" s="87">
        <v>10676881</v>
      </c>
      <c r="BX99" s="135">
        <v>33903</v>
      </c>
      <c r="BY99" s="135">
        <v>7852</v>
      </c>
      <c r="BZ99" s="135">
        <v>1846</v>
      </c>
      <c r="CA99" s="135">
        <f t="shared" si="12"/>
        <v>43601</v>
      </c>
      <c r="CB99" s="86">
        <v>1598634211</v>
      </c>
      <c r="CC99" s="82">
        <f t="shared" si="13"/>
        <v>471597439</v>
      </c>
      <c r="CD99" s="82">
        <f t="shared" si="13"/>
        <v>10918718</v>
      </c>
      <c r="CE99" s="86">
        <f t="shared" si="10"/>
        <v>250309669</v>
      </c>
      <c r="CF99" s="86">
        <f t="shared" si="11"/>
        <v>2331460037</v>
      </c>
    </row>
    <row r="100" spans="1:84" x14ac:dyDescent="0.25">
      <c r="A100" s="91" t="s">
        <v>154</v>
      </c>
      <c r="B100" s="135">
        <v>273373735</v>
      </c>
      <c r="C100" s="135">
        <v>64892519</v>
      </c>
      <c r="D100" s="135">
        <v>83956073</v>
      </c>
      <c r="E100" s="135">
        <v>0</v>
      </c>
      <c r="F100" s="135">
        <v>30139453</v>
      </c>
      <c r="G100" s="135">
        <v>14023675</v>
      </c>
      <c r="H100" s="135">
        <v>5793011</v>
      </c>
      <c r="I100" s="135">
        <v>1550285</v>
      </c>
      <c r="J100" s="135">
        <v>135600</v>
      </c>
      <c r="K100" s="135">
        <v>61800</v>
      </c>
      <c r="L100" s="135">
        <v>32332378</v>
      </c>
      <c r="M100" s="135">
        <v>33868052</v>
      </c>
      <c r="N100" s="135">
        <v>1037</v>
      </c>
      <c r="O100" s="135">
        <v>505</v>
      </c>
      <c r="P100" s="135">
        <v>5316099</v>
      </c>
      <c r="Q100" s="135">
        <v>535420</v>
      </c>
      <c r="R100" s="135">
        <v>570024</v>
      </c>
      <c r="S100" s="135">
        <v>1274868</v>
      </c>
      <c r="T100" s="135">
        <v>978818</v>
      </c>
      <c r="U100" s="135">
        <v>1386714</v>
      </c>
      <c r="V100" s="135">
        <v>5316099</v>
      </c>
      <c r="W100" s="135">
        <v>535420</v>
      </c>
      <c r="X100" s="135">
        <v>570024</v>
      </c>
      <c r="Y100" s="135">
        <v>1274868</v>
      </c>
      <c r="Z100" s="135">
        <v>978818</v>
      </c>
      <c r="AA100" s="135">
        <v>1386714</v>
      </c>
      <c r="AB100" s="135">
        <v>-3350154</v>
      </c>
      <c r="AC100" s="135">
        <v>-77012</v>
      </c>
      <c r="AD100" s="135">
        <v>63575</v>
      </c>
      <c r="AE100" s="135">
        <v>0</v>
      </c>
      <c r="AF100" s="135">
        <v>0</v>
      </c>
      <c r="AG100" s="135">
        <v>77742</v>
      </c>
      <c r="AH100" s="135">
        <v>296631.15000000002</v>
      </c>
      <c r="AI100" s="135">
        <v>1045803.72</v>
      </c>
      <c r="AJ100" s="139"/>
      <c r="AO100" s="82">
        <v>82578953</v>
      </c>
      <c r="AP100" s="82">
        <v>2044689</v>
      </c>
      <c r="AQ100" s="135">
        <v>0</v>
      </c>
      <c r="AR100" s="135">
        <v>9276580</v>
      </c>
      <c r="AS100" s="135">
        <v>201532</v>
      </c>
      <c r="AT100" s="135">
        <v>9434906</v>
      </c>
      <c r="AU100" s="135">
        <v>11236286</v>
      </c>
      <c r="AV100" s="135">
        <v>3852504</v>
      </c>
      <c r="AW100" s="135">
        <v>0</v>
      </c>
      <c r="AX100" s="135">
        <v>0</v>
      </c>
      <c r="AY100" s="135">
        <v>0</v>
      </c>
      <c r="AZ100" s="135">
        <v>0</v>
      </c>
      <c r="BA100" s="135">
        <v>0</v>
      </c>
      <c r="BB100" s="135">
        <v>5794682</v>
      </c>
      <c r="BC100" s="135">
        <v>108200</v>
      </c>
      <c r="BH100" s="82">
        <v>6177232.8899999997</v>
      </c>
      <c r="BI100" s="82">
        <v>3088616.45</v>
      </c>
      <c r="BJ100" s="117">
        <v>0</v>
      </c>
      <c r="BK100" s="118">
        <v>0</v>
      </c>
      <c r="BL100" s="118">
        <v>0</v>
      </c>
      <c r="BM100" s="117">
        <v>12692227</v>
      </c>
      <c r="BN100" s="117">
        <v>12692227</v>
      </c>
      <c r="BO100" s="117">
        <v>203258160</v>
      </c>
      <c r="BP100" s="117">
        <v>203243755</v>
      </c>
      <c r="BQ100" s="117">
        <v>0</v>
      </c>
      <c r="BR100" s="117">
        <v>0</v>
      </c>
      <c r="BS100" s="138"/>
      <c r="BT100" s="86">
        <v>747927400.31999993</v>
      </c>
      <c r="BU100" s="86">
        <v>444279159.87</v>
      </c>
      <c r="BV100" s="87">
        <v>984476</v>
      </c>
      <c r="BX100" s="135">
        <v>7279</v>
      </c>
      <c r="BY100" s="135">
        <v>1246</v>
      </c>
      <c r="BZ100" s="135">
        <v>439</v>
      </c>
      <c r="CA100" s="135">
        <f t="shared" si="12"/>
        <v>8964</v>
      </c>
      <c r="CB100" s="86">
        <v>422222327</v>
      </c>
      <c r="CC100" s="82">
        <f t="shared" si="13"/>
        <v>82578953</v>
      </c>
      <c r="CD100" s="82">
        <f t="shared" si="13"/>
        <v>2044689</v>
      </c>
      <c r="CE100" s="86">
        <f t="shared" si="10"/>
        <v>20714398</v>
      </c>
      <c r="CF100" s="86">
        <f t="shared" si="11"/>
        <v>527560367</v>
      </c>
    </row>
    <row r="101" spans="1:84" x14ac:dyDescent="0.25">
      <c r="A101" s="91" t="s">
        <v>155</v>
      </c>
      <c r="B101" s="135">
        <v>2379412948</v>
      </c>
      <c r="C101" s="135">
        <v>366180101</v>
      </c>
      <c r="D101" s="135">
        <v>885203669</v>
      </c>
      <c r="E101" s="135">
        <v>0</v>
      </c>
      <c r="F101" s="135">
        <v>203816104</v>
      </c>
      <c r="G101" s="135">
        <v>34263065</v>
      </c>
      <c r="H101" s="135">
        <v>34069860</v>
      </c>
      <c r="I101" s="135">
        <v>3723050</v>
      </c>
      <c r="J101" s="135">
        <v>275100</v>
      </c>
      <c r="K101" s="135">
        <v>0</v>
      </c>
      <c r="L101" s="135">
        <v>621234135</v>
      </c>
      <c r="M101" s="135">
        <v>250956900</v>
      </c>
      <c r="N101" s="135">
        <v>6425</v>
      </c>
      <c r="O101" s="135">
        <v>1123</v>
      </c>
      <c r="P101" s="135">
        <v>24873200</v>
      </c>
      <c r="Q101" s="135">
        <v>4283000</v>
      </c>
      <c r="R101" s="135">
        <v>16375000</v>
      </c>
      <c r="S101" s="135">
        <v>3290300</v>
      </c>
      <c r="T101" s="135">
        <v>419000</v>
      </c>
      <c r="U101" s="135">
        <v>46000</v>
      </c>
      <c r="V101" s="135">
        <v>24873200</v>
      </c>
      <c r="W101" s="135">
        <v>4283000</v>
      </c>
      <c r="X101" s="135">
        <v>16375000</v>
      </c>
      <c r="Y101" s="135">
        <v>3285300</v>
      </c>
      <c r="Z101" s="135">
        <v>419000</v>
      </c>
      <c r="AA101" s="135">
        <v>46000</v>
      </c>
      <c r="AB101" s="135">
        <v>-8964750</v>
      </c>
      <c r="AC101" s="135">
        <v>-145827</v>
      </c>
      <c r="AD101" s="135">
        <v>43631</v>
      </c>
      <c r="AE101" s="135">
        <v>0</v>
      </c>
      <c r="AF101" s="135">
        <v>0</v>
      </c>
      <c r="AG101" s="135">
        <v>300322</v>
      </c>
      <c r="AH101" s="135">
        <v>12196.72131147541</v>
      </c>
      <c r="AI101" s="135">
        <v>641516</v>
      </c>
      <c r="AJ101" s="139"/>
      <c r="AO101" s="82">
        <v>494253885</v>
      </c>
      <c r="AP101" s="82">
        <v>37416829</v>
      </c>
      <c r="AQ101" s="135">
        <v>6981405</v>
      </c>
      <c r="AR101" s="135">
        <v>137288036</v>
      </c>
      <c r="AS101" s="135">
        <v>18230535</v>
      </c>
      <c r="AT101" s="135">
        <v>340152825</v>
      </c>
      <c r="AU101" s="135">
        <v>130762063</v>
      </c>
      <c r="AV101" s="135">
        <v>168130692</v>
      </c>
      <c r="AW101" s="135">
        <v>25751576</v>
      </c>
      <c r="AX101" s="135">
        <v>23847892</v>
      </c>
      <c r="AY101" s="135">
        <v>0</v>
      </c>
      <c r="AZ101" s="135">
        <v>119717</v>
      </c>
      <c r="BA101" s="135">
        <v>87163</v>
      </c>
      <c r="BB101" s="135">
        <v>1738787</v>
      </c>
      <c r="BC101" s="135">
        <v>3201950</v>
      </c>
      <c r="BH101" s="82">
        <v>36972149</v>
      </c>
      <c r="BI101" s="82">
        <v>18486074.5</v>
      </c>
      <c r="BJ101" s="117">
        <v>0</v>
      </c>
      <c r="BK101" s="118">
        <v>5516099</v>
      </c>
      <c r="BL101" s="118">
        <v>11032197</v>
      </c>
      <c r="BM101" s="117">
        <v>108519791</v>
      </c>
      <c r="BN101" s="117">
        <v>108519791</v>
      </c>
      <c r="BO101" s="117">
        <v>159708297</v>
      </c>
      <c r="BP101" s="117">
        <v>147154766</v>
      </c>
      <c r="BQ101" s="117">
        <v>0</v>
      </c>
      <c r="BR101" s="117">
        <v>0</v>
      </c>
      <c r="BS101" s="138"/>
      <c r="BT101" s="86">
        <v>4729078509.2213116</v>
      </c>
      <c r="BU101" s="86">
        <v>3917731064.7213116</v>
      </c>
      <c r="BV101" s="87">
        <v>4387500</v>
      </c>
      <c r="BX101" s="135">
        <v>38786</v>
      </c>
      <c r="BY101" s="135">
        <v>6383</v>
      </c>
      <c r="BZ101" s="135">
        <v>2554</v>
      </c>
      <c r="CA101" s="135">
        <f t="shared" si="12"/>
        <v>47723</v>
      </c>
      <c r="CB101" s="86">
        <v>3630796718</v>
      </c>
      <c r="CC101" s="82">
        <f t="shared" si="13"/>
        <v>494253885</v>
      </c>
      <c r="CD101" s="82">
        <f t="shared" si="13"/>
        <v>37416829</v>
      </c>
      <c r="CE101" s="86">
        <f t="shared" si="10"/>
        <v>312032210</v>
      </c>
      <c r="CF101" s="86">
        <f t="shared" si="11"/>
        <v>4474499642</v>
      </c>
    </row>
    <row r="102" spans="1:84" x14ac:dyDescent="0.25">
      <c r="A102" s="91" t="s">
        <v>156</v>
      </c>
      <c r="B102" s="135">
        <v>22931621</v>
      </c>
      <c r="C102" s="135">
        <v>41166179</v>
      </c>
      <c r="D102" s="135">
        <v>4283822</v>
      </c>
      <c r="E102" s="135">
        <v>0</v>
      </c>
      <c r="F102" s="135">
        <v>4270325</v>
      </c>
      <c r="G102" s="135">
        <v>1256350</v>
      </c>
      <c r="H102" s="135">
        <v>3725813</v>
      </c>
      <c r="I102" s="135">
        <v>1332632</v>
      </c>
      <c r="J102" s="135">
        <v>0</v>
      </c>
      <c r="K102" s="135">
        <v>0</v>
      </c>
      <c r="L102" s="135">
        <v>61368041</v>
      </c>
      <c r="M102" s="135">
        <v>24067294</v>
      </c>
      <c r="N102" s="135">
        <v>215</v>
      </c>
      <c r="O102" s="135">
        <v>74</v>
      </c>
      <c r="P102" s="135">
        <v>456060</v>
      </c>
      <c r="Q102" s="135">
        <v>959176</v>
      </c>
      <c r="R102" s="135">
        <v>162000</v>
      </c>
      <c r="S102" s="135">
        <v>130080</v>
      </c>
      <c r="T102" s="135">
        <v>160961</v>
      </c>
      <c r="U102" s="135">
        <v>148500</v>
      </c>
      <c r="V102" s="135">
        <v>456060</v>
      </c>
      <c r="W102" s="135">
        <v>973445</v>
      </c>
      <c r="X102" s="135">
        <v>162000</v>
      </c>
      <c r="Y102" s="135">
        <v>130080</v>
      </c>
      <c r="Z102" s="135">
        <v>247864</v>
      </c>
      <c r="AA102" s="135">
        <v>148500</v>
      </c>
      <c r="AB102" s="135">
        <v>-327167</v>
      </c>
      <c r="AC102" s="135">
        <v>319</v>
      </c>
      <c r="AD102" s="135">
        <v>0</v>
      </c>
      <c r="AE102" s="135">
        <v>0</v>
      </c>
      <c r="AF102" s="135">
        <v>0</v>
      </c>
      <c r="AG102" s="135">
        <v>0</v>
      </c>
      <c r="AI102" s="135">
        <v>0</v>
      </c>
      <c r="AJ102" s="139"/>
      <c r="AO102" s="82">
        <v>16280693</v>
      </c>
      <c r="AP102" s="82">
        <v>224138</v>
      </c>
      <c r="AQ102" s="135">
        <v>0</v>
      </c>
      <c r="AR102" s="135">
        <v>1057546</v>
      </c>
      <c r="AS102" s="135">
        <v>21618</v>
      </c>
      <c r="AT102" s="135">
        <v>0</v>
      </c>
      <c r="AU102" s="135">
        <v>1565287</v>
      </c>
      <c r="AV102" s="135">
        <v>8409</v>
      </c>
      <c r="AW102" s="135">
        <v>0</v>
      </c>
      <c r="AX102" s="135">
        <v>46997</v>
      </c>
      <c r="AY102" s="135">
        <v>0</v>
      </c>
      <c r="AZ102" s="135">
        <v>0</v>
      </c>
      <c r="BA102" s="135">
        <v>0</v>
      </c>
      <c r="BB102" s="135">
        <v>0</v>
      </c>
      <c r="BC102" s="135">
        <v>0</v>
      </c>
      <c r="BH102" s="82">
        <v>1217860.3500000001</v>
      </c>
      <c r="BI102" s="82">
        <v>608930.18000000005</v>
      </c>
      <c r="BJ102" s="117">
        <v>0</v>
      </c>
      <c r="BK102" s="118">
        <v>0</v>
      </c>
      <c r="BL102" s="118">
        <v>0</v>
      </c>
      <c r="BM102" s="117">
        <v>13774932</v>
      </c>
      <c r="BN102" s="117">
        <v>13774932</v>
      </c>
      <c r="BO102" s="117">
        <v>9984003</v>
      </c>
      <c r="BP102" s="117">
        <v>9978240</v>
      </c>
      <c r="BQ102" s="117">
        <v>0</v>
      </c>
      <c r="BR102" s="117">
        <v>0</v>
      </c>
      <c r="BS102" s="138"/>
      <c r="BT102" s="86">
        <v>111893006.18000001</v>
      </c>
      <c r="BU102" s="86">
        <v>71026073</v>
      </c>
      <c r="BV102" s="87">
        <v>86453</v>
      </c>
      <c r="BX102" s="135">
        <v>689</v>
      </c>
      <c r="BY102" s="135">
        <v>823</v>
      </c>
      <c r="BZ102" s="135">
        <v>51</v>
      </c>
      <c r="CA102" s="135">
        <f t="shared" si="12"/>
        <v>1563</v>
      </c>
      <c r="CB102" s="86">
        <v>68381622</v>
      </c>
      <c r="CC102" s="82">
        <f t="shared" si="13"/>
        <v>16280693</v>
      </c>
      <c r="CD102" s="82">
        <f t="shared" si="13"/>
        <v>224138</v>
      </c>
      <c r="CE102" s="86">
        <f t="shared" si="10"/>
        <v>2644451</v>
      </c>
      <c r="CF102" s="86">
        <f t="shared" si="11"/>
        <v>87530904</v>
      </c>
    </row>
    <row r="103" spans="1:84" x14ac:dyDescent="0.25">
      <c r="A103" s="91" t="s">
        <v>157</v>
      </c>
      <c r="B103" s="135">
        <v>283999781</v>
      </c>
      <c r="C103" s="135">
        <v>103907151</v>
      </c>
      <c r="D103" s="135">
        <v>81670976</v>
      </c>
      <c r="E103" s="135">
        <v>0</v>
      </c>
      <c r="F103" s="135">
        <v>45826600</v>
      </c>
      <c r="G103" s="135">
        <v>14775700</v>
      </c>
      <c r="H103" s="135">
        <v>14125800</v>
      </c>
      <c r="I103" s="135">
        <v>2187500</v>
      </c>
      <c r="J103" s="135">
        <v>0</v>
      </c>
      <c r="K103" s="135">
        <v>0</v>
      </c>
      <c r="L103" s="135">
        <v>156693879</v>
      </c>
      <c r="M103" s="135">
        <v>79095200</v>
      </c>
      <c r="N103" s="135">
        <v>1634</v>
      </c>
      <c r="O103" s="135">
        <v>499</v>
      </c>
      <c r="P103" s="135">
        <v>2291800</v>
      </c>
      <c r="Q103" s="135">
        <v>200000</v>
      </c>
      <c r="R103" s="135">
        <v>4499000</v>
      </c>
      <c r="S103" s="135">
        <v>1680375</v>
      </c>
      <c r="T103" s="135">
        <v>95900</v>
      </c>
      <c r="U103" s="135">
        <v>70700</v>
      </c>
      <c r="V103" s="135">
        <v>2291800</v>
      </c>
      <c r="W103" s="135">
        <v>200000</v>
      </c>
      <c r="X103" s="135">
        <v>4499000</v>
      </c>
      <c r="Y103" s="135">
        <v>1680375</v>
      </c>
      <c r="Z103" s="135">
        <v>90000</v>
      </c>
      <c r="AA103" s="135">
        <v>70700</v>
      </c>
      <c r="AB103" s="135">
        <v>-3212800</v>
      </c>
      <c r="AC103" s="135">
        <v>0</v>
      </c>
      <c r="AD103" s="135">
        <v>0</v>
      </c>
      <c r="AE103" s="135">
        <v>0</v>
      </c>
      <c r="AF103" s="135">
        <v>0</v>
      </c>
      <c r="AG103" s="135">
        <v>0</v>
      </c>
      <c r="AH103" s="135">
        <v>28196.721311475409</v>
      </c>
      <c r="AI103" s="135">
        <v>542828</v>
      </c>
      <c r="AJ103" s="139"/>
      <c r="AO103" s="82">
        <v>98027590</v>
      </c>
      <c r="AP103" s="82">
        <v>3156804</v>
      </c>
      <c r="AQ103" s="135">
        <v>0</v>
      </c>
      <c r="AR103" s="135">
        <v>15110281</v>
      </c>
      <c r="AS103" s="135">
        <v>135103</v>
      </c>
      <c r="AT103" s="135">
        <v>10742519</v>
      </c>
      <c r="AU103" s="135">
        <v>6727459</v>
      </c>
      <c r="AV103" s="135">
        <v>3896755</v>
      </c>
      <c r="AW103" s="135">
        <v>0</v>
      </c>
      <c r="AX103" s="135">
        <v>81194</v>
      </c>
      <c r="AY103" s="135">
        <v>0</v>
      </c>
      <c r="AZ103" s="135">
        <v>0</v>
      </c>
      <c r="BA103" s="135">
        <v>0</v>
      </c>
      <c r="BB103" s="135">
        <v>167053</v>
      </c>
      <c r="BC103" s="135">
        <v>0</v>
      </c>
      <c r="BH103" s="82">
        <v>7332852.1500000004</v>
      </c>
      <c r="BI103" s="82">
        <v>3666426.08</v>
      </c>
      <c r="BJ103" s="117">
        <v>0</v>
      </c>
      <c r="BK103" s="118">
        <v>2938809</v>
      </c>
      <c r="BL103" s="118">
        <v>5877619</v>
      </c>
      <c r="BM103" s="117">
        <v>11818671</v>
      </c>
      <c r="BN103" s="117">
        <v>11818671</v>
      </c>
      <c r="BO103" s="117">
        <v>42789496</v>
      </c>
      <c r="BP103" s="117">
        <v>38958474</v>
      </c>
      <c r="BQ103" s="117">
        <v>0</v>
      </c>
      <c r="BR103" s="117">
        <v>0</v>
      </c>
      <c r="BS103" s="138"/>
      <c r="BT103" s="86">
        <v>650688549.80131149</v>
      </c>
      <c r="BU103" s="86">
        <v>492121775.72131145</v>
      </c>
      <c r="BV103" s="87">
        <v>1486901</v>
      </c>
      <c r="BX103" s="135">
        <v>7506</v>
      </c>
      <c r="BY103" s="135">
        <v>2828</v>
      </c>
      <c r="BZ103" s="135">
        <v>405</v>
      </c>
      <c r="CA103" s="135">
        <f t="shared" si="12"/>
        <v>10739</v>
      </c>
      <c r="CB103" s="86">
        <v>469577908</v>
      </c>
      <c r="CC103" s="82">
        <f t="shared" si="13"/>
        <v>98027590</v>
      </c>
      <c r="CD103" s="82">
        <f t="shared" si="13"/>
        <v>3156804</v>
      </c>
      <c r="CE103" s="86">
        <f t="shared" si="10"/>
        <v>21972843</v>
      </c>
      <c r="CF103" s="86">
        <f t="shared" si="11"/>
        <v>592735145</v>
      </c>
    </row>
    <row r="104" spans="1:84" x14ac:dyDescent="0.25">
      <c r="A104" s="91" t="s">
        <v>158</v>
      </c>
      <c r="B104" s="135">
        <v>593190467</v>
      </c>
      <c r="C104" s="135">
        <v>129130739</v>
      </c>
      <c r="D104" s="135">
        <v>334109938</v>
      </c>
      <c r="E104" s="135">
        <v>0</v>
      </c>
      <c r="F104" s="135">
        <v>57383014</v>
      </c>
      <c r="G104" s="135">
        <v>10838451</v>
      </c>
      <c r="H104" s="135">
        <v>15730592</v>
      </c>
      <c r="I104" s="135">
        <v>1279150</v>
      </c>
      <c r="J104" s="135">
        <v>39300</v>
      </c>
      <c r="K104" s="135">
        <v>0</v>
      </c>
      <c r="L104" s="135">
        <v>108108460</v>
      </c>
      <c r="M104" s="135">
        <v>78032993</v>
      </c>
      <c r="N104" s="135">
        <v>1997</v>
      </c>
      <c r="O104" s="135">
        <v>378</v>
      </c>
      <c r="P104" s="135">
        <v>3710000</v>
      </c>
      <c r="Q104" s="135">
        <v>17754234</v>
      </c>
      <c r="R104" s="135">
        <v>4653865</v>
      </c>
      <c r="S104" s="135">
        <v>1867505</v>
      </c>
      <c r="T104" s="135">
        <v>316745</v>
      </c>
      <c r="U104" s="135">
        <v>1160000</v>
      </c>
      <c r="V104" s="135">
        <v>3710000</v>
      </c>
      <c r="W104" s="135">
        <v>51500</v>
      </c>
      <c r="X104" s="135">
        <v>4653865</v>
      </c>
      <c r="Y104" s="135">
        <v>1867505</v>
      </c>
      <c r="Z104" s="135">
        <v>507319</v>
      </c>
      <c r="AA104" s="135">
        <v>1160000</v>
      </c>
      <c r="AB104" s="135">
        <v>-5516895</v>
      </c>
      <c r="AC104" s="135">
        <v>-1672305</v>
      </c>
      <c r="AD104" s="135">
        <v>54507</v>
      </c>
      <c r="AE104" s="135">
        <v>0</v>
      </c>
      <c r="AF104" s="135">
        <v>0</v>
      </c>
      <c r="AG104" s="135">
        <v>88838.16</v>
      </c>
      <c r="AI104" s="135">
        <v>70803.28</v>
      </c>
      <c r="AJ104" s="139"/>
      <c r="AO104" s="82">
        <v>138829525</v>
      </c>
      <c r="AP104" s="82">
        <v>6527268</v>
      </c>
      <c r="AQ104" s="135">
        <v>1032166</v>
      </c>
      <c r="AR104" s="135">
        <v>37636499</v>
      </c>
      <c r="AS104" s="135">
        <v>1609657</v>
      </c>
      <c r="AT104" s="135">
        <v>88598924</v>
      </c>
      <c r="AU104" s="135">
        <v>65768931</v>
      </c>
      <c r="AV104" s="135">
        <v>58622284</v>
      </c>
      <c r="AW104" s="135">
        <v>72388</v>
      </c>
      <c r="AX104" s="135">
        <f>741049+5740</f>
        <v>746789</v>
      </c>
      <c r="AY104" s="135">
        <v>0</v>
      </c>
      <c r="AZ104" s="135">
        <v>0</v>
      </c>
      <c r="BA104" s="135">
        <v>11045</v>
      </c>
      <c r="BB104" s="135">
        <v>19433</v>
      </c>
      <c r="BC104" s="135">
        <v>69500</v>
      </c>
      <c r="BH104" s="82">
        <v>10384998.560000001</v>
      </c>
      <c r="BI104" s="82">
        <v>5192499.28</v>
      </c>
      <c r="BJ104" s="117">
        <v>0</v>
      </c>
      <c r="BK104" s="118">
        <v>0</v>
      </c>
      <c r="BL104" s="118">
        <v>0</v>
      </c>
      <c r="BM104" s="117">
        <v>28025424</v>
      </c>
      <c r="BN104" s="117">
        <v>28025424</v>
      </c>
      <c r="BO104" s="117">
        <v>140952271</v>
      </c>
      <c r="BP104" s="117">
        <v>139185528</v>
      </c>
      <c r="BQ104" s="117">
        <v>0</v>
      </c>
      <c r="BR104" s="117">
        <v>0</v>
      </c>
      <c r="BS104" s="138"/>
      <c r="BT104" s="86">
        <v>1479277278.5599999</v>
      </c>
      <c r="BU104" s="86">
        <v>1161517034.28</v>
      </c>
      <c r="BV104" s="87">
        <v>645162</v>
      </c>
      <c r="BX104" s="135">
        <v>8775</v>
      </c>
      <c r="BY104" s="135">
        <v>1983</v>
      </c>
      <c r="BZ104" s="135">
        <v>703</v>
      </c>
      <c r="CA104" s="135">
        <f t="shared" si="12"/>
        <v>11461</v>
      </c>
      <c r="CB104" s="86">
        <v>1056431144</v>
      </c>
      <c r="CC104" s="82">
        <f t="shared" si="13"/>
        <v>138829525</v>
      </c>
      <c r="CD104" s="82">
        <f t="shared" si="13"/>
        <v>6527268</v>
      </c>
      <c r="CE104" s="86">
        <f t="shared" si="10"/>
        <v>105087475</v>
      </c>
      <c r="CF104" s="86">
        <f t="shared" si="11"/>
        <v>1306875412</v>
      </c>
    </row>
    <row r="105" spans="1:84" x14ac:dyDescent="0.25">
      <c r="A105" s="91" t="s">
        <v>159</v>
      </c>
      <c r="B105" s="135">
        <v>581297361</v>
      </c>
      <c r="C105" s="135">
        <v>133769719</v>
      </c>
      <c r="D105" s="135">
        <v>201778516</v>
      </c>
      <c r="E105" s="135">
        <v>0</v>
      </c>
      <c r="F105" s="135">
        <v>61002300</v>
      </c>
      <c r="G105" s="135">
        <v>11729650</v>
      </c>
      <c r="H105" s="135">
        <v>17457850</v>
      </c>
      <c r="I105" s="135">
        <v>1288100</v>
      </c>
      <c r="J105" s="135">
        <v>235800</v>
      </c>
      <c r="K105" s="135">
        <v>0</v>
      </c>
      <c r="L105" s="135">
        <v>264770828</v>
      </c>
      <c r="M105" s="135">
        <v>105305355</v>
      </c>
      <c r="N105" s="135">
        <v>2141</v>
      </c>
      <c r="O105" s="135">
        <v>407</v>
      </c>
      <c r="P105" s="135">
        <v>7593400</v>
      </c>
      <c r="Q105" s="135">
        <v>4620165</v>
      </c>
      <c r="R105" s="135">
        <v>4538580</v>
      </c>
      <c r="S105" s="135">
        <v>5951548</v>
      </c>
      <c r="T105" s="135">
        <v>1254525</v>
      </c>
      <c r="U105" s="135">
        <v>1255100</v>
      </c>
      <c r="V105" s="135">
        <v>7593400</v>
      </c>
      <c r="W105" s="135">
        <v>4448700</v>
      </c>
      <c r="X105" s="135">
        <v>4538580</v>
      </c>
      <c r="Y105" s="135">
        <v>5951548</v>
      </c>
      <c r="Z105" s="135">
        <v>2293150</v>
      </c>
      <c r="AA105" s="135">
        <v>1255100</v>
      </c>
      <c r="AB105" s="135">
        <v>-3706335</v>
      </c>
      <c r="AC105" s="135">
        <v>-14253</v>
      </c>
      <c r="AD105" s="135">
        <v>0</v>
      </c>
      <c r="AE105" s="135">
        <v>0</v>
      </c>
      <c r="AF105" s="135">
        <v>0</v>
      </c>
      <c r="AG105" s="135">
        <v>0</v>
      </c>
      <c r="AH105" s="135">
        <v>97237.704918032789</v>
      </c>
      <c r="AI105" s="135">
        <v>0</v>
      </c>
      <c r="AJ105" s="139"/>
      <c r="AO105" s="82">
        <v>109102981</v>
      </c>
      <c r="AP105" s="82">
        <v>30414359</v>
      </c>
      <c r="AQ105" s="135">
        <v>25970720</v>
      </c>
      <c r="AR105" s="135">
        <v>23664880</v>
      </c>
      <c r="AS105" s="135">
        <v>4279239</v>
      </c>
      <c r="AT105" s="135">
        <v>114701794</v>
      </c>
      <c r="AU105" s="135">
        <v>27832629</v>
      </c>
      <c r="AV105" s="135">
        <v>56961133</v>
      </c>
      <c r="AW105" s="135">
        <v>44380176</v>
      </c>
      <c r="AX105" s="135">
        <f>1034859+450</f>
        <v>1035309</v>
      </c>
      <c r="AY105" s="135">
        <v>0</v>
      </c>
      <c r="AZ105" s="135">
        <v>0</v>
      </c>
      <c r="BA105" s="135">
        <v>0</v>
      </c>
      <c r="BB105" s="135">
        <v>0</v>
      </c>
      <c r="BC105" s="135">
        <v>1567000</v>
      </c>
      <c r="BH105" s="82">
        <v>8161335.2800000003</v>
      </c>
      <c r="BI105" s="82">
        <v>4080667.64</v>
      </c>
      <c r="BJ105" s="117">
        <v>0</v>
      </c>
      <c r="BK105" s="118">
        <v>0</v>
      </c>
      <c r="BL105" s="118">
        <v>0</v>
      </c>
      <c r="BM105" s="117">
        <v>2404890</v>
      </c>
      <c r="BN105" s="117">
        <v>2404890</v>
      </c>
      <c r="BO105" s="117">
        <v>68756201</v>
      </c>
      <c r="BP105" s="117">
        <v>68642182</v>
      </c>
      <c r="BQ105" s="117">
        <v>0</v>
      </c>
      <c r="BR105" s="117">
        <v>0</v>
      </c>
      <c r="BS105" s="138"/>
      <c r="BT105" s="86">
        <v>1187364661.344918</v>
      </c>
      <c r="BU105" s="86">
        <v>972719581.70491803</v>
      </c>
      <c r="BV105" s="87">
        <v>5024100</v>
      </c>
      <c r="BX105" s="135">
        <v>11924</v>
      </c>
      <c r="BY105" s="135">
        <v>3132</v>
      </c>
      <c r="BZ105" s="135">
        <v>801</v>
      </c>
      <c r="CA105" s="135">
        <f t="shared" si="12"/>
        <v>15857</v>
      </c>
      <c r="CB105" s="86">
        <v>916845596</v>
      </c>
      <c r="CC105" s="82">
        <f t="shared" si="13"/>
        <v>109102981</v>
      </c>
      <c r="CD105" s="82">
        <f t="shared" si="13"/>
        <v>30414359</v>
      </c>
      <c r="CE105" s="86">
        <f t="shared" si="10"/>
        <v>100156924</v>
      </c>
      <c r="CF105" s="86">
        <f t="shared" si="11"/>
        <v>1156519860</v>
      </c>
    </row>
    <row r="106" spans="1:84" x14ac:dyDescent="0.25">
      <c r="A106" s="91" t="s">
        <v>160</v>
      </c>
      <c r="B106" s="135">
        <v>3150482757</v>
      </c>
      <c r="C106" s="135">
        <v>395563457</v>
      </c>
      <c r="D106" s="135">
        <v>1307456905</v>
      </c>
      <c r="E106" s="135">
        <v>0</v>
      </c>
      <c r="F106" s="135">
        <v>124161530</v>
      </c>
      <c r="G106" s="135">
        <v>7366410</v>
      </c>
      <c r="H106" s="135">
        <v>18980995</v>
      </c>
      <c r="I106" s="135">
        <v>842020</v>
      </c>
      <c r="J106" s="135">
        <v>0</v>
      </c>
      <c r="K106" s="135">
        <v>0</v>
      </c>
      <c r="L106" s="135">
        <v>689961334</v>
      </c>
      <c r="M106" s="135">
        <v>304674495</v>
      </c>
      <c r="N106" s="135">
        <v>3672</v>
      </c>
      <c r="O106" s="135">
        <v>217</v>
      </c>
      <c r="P106" s="135">
        <v>97789151</v>
      </c>
      <c r="Q106" s="135">
        <v>1316330</v>
      </c>
      <c r="R106" s="135">
        <v>49360702</v>
      </c>
      <c r="S106" s="135">
        <v>1594865</v>
      </c>
      <c r="T106" s="135">
        <v>519827</v>
      </c>
      <c r="U106" s="135">
        <v>11766812</v>
      </c>
      <c r="V106" s="135">
        <v>97881804</v>
      </c>
      <c r="W106" s="135">
        <v>11055887</v>
      </c>
      <c r="X106" s="135">
        <v>49360702</v>
      </c>
      <c r="Y106" s="135">
        <v>1594865</v>
      </c>
      <c r="Z106" s="135">
        <v>6610883</v>
      </c>
      <c r="AA106" s="135">
        <v>11766812</v>
      </c>
      <c r="AB106" s="135">
        <v>-551253</v>
      </c>
      <c r="AC106" s="135">
        <v>-358004</v>
      </c>
      <c r="AD106" s="135">
        <v>0</v>
      </c>
      <c r="AE106" s="135">
        <v>0</v>
      </c>
      <c r="AF106" s="135">
        <v>0</v>
      </c>
      <c r="AG106" s="135">
        <v>146750.7205</v>
      </c>
      <c r="AH106" s="135">
        <v>0</v>
      </c>
      <c r="AI106" s="135">
        <v>638557</v>
      </c>
      <c r="AJ106" s="139"/>
      <c r="AO106" s="82">
        <v>519582331</v>
      </c>
      <c r="AP106" s="82">
        <v>10654729</v>
      </c>
      <c r="AQ106" s="135">
        <v>0</v>
      </c>
      <c r="AR106" s="135">
        <v>108220981</v>
      </c>
      <c r="AS106" s="135">
        <v>18954516</v>
      </c>
      <c r="AT106" s="135">
        <v>507178765</v>
      </c>
      <c r="AU106" s="135">
        <v>126335253</v>
      </c>
      <c r="AV106" s="135">
        <v>144097338</v>
      </c>
      <c r="AW106" s="135">
        <v>25064793</v>
      </c>
      <c r="AX106" s="135">
        <f>44883297+2049679047</f>
        <v>2094562344</v>
      </c>
      <c r="AY106" s="135">
        <v>0</v>
      </c>
      <c r="AZ106" s="135">
        <v>135366</v>
      </c>
      <c r="BA106" s="135">
        <v>12500</v>
      </c>
      <c r="BB106" s="135">
        <v>4091378</v>
      </c>
      <c r="BC106" s="135">
        <v>12445824</v>
      </c>
      <c r="BH106" s="82">
        <v>38866817.130000003</v>
      </c>
      <c r="BI106" s="82">
        <v>19433408.57</v>
      </c>
      <c r="BJ106" s="117">
        <v>0</v>
      </c>
      <c r="BK106" s="118">
        <v>4662590</v>
      </c>
      <c r="BL106" s="118">
        <v>9325180</v>
      </c>
      <c r="BM106" s="117">
        <v>105281664</v>
      </c>
      <c r="BN106" s="117">
        <v>105213758</v>
      </c>
      <c r="BO106" s="117">
        <v>106460812</v>
      </c>
      <c r="BP106" s="117">
        <v>99538333</v>
      </c>
      <c r="BQ106" s="117">
        <v>0</v>
      </c>
      <c r="BR106" s="117">
        <v>0</v>
      </c>
      <c r="BS106" s="138"/>
      <c r="BT106" s="86">
        <v>5866737575.5699997</v>
      </c>
      <c r="BU106" s="86">
        <v>5107652426</v>
      </c>
      <c r="BV106" s="87">
        <v>5854350</v>
      </c>
      <c r="BX106" s="135">
        <v>18439</v>
      </c>
      <c r="BY106" s="135">
        <v>3429</v>
      </c>
      <c r="BZ106" s="135">
        <v>939</v>
      </c>
      <c r="CA106" s="135">
        <f t="shared" si="12"/>
        <v>22807</v>
      </c>
      <c r="CB106" s="86">
        <v>4853503119</v>
      </c>
      <c r="CC106" s="82">
        <f t="shared" si="13"/>
        <v>519582331</v>
      </c>
      <c r="CD106" s="82">
        <f t="shared" si="13"/>
        <v>10654729</v>
      </c>
      <c r="CE106" s="86">
        <f t="shared" si="10"/>
        <v>278575543</v>
      </c>
      <c r="CF106" s="86">
        <f t="shared" si="11"/>
        <v>5662315722</v>
      </c>
    </row>
    <row r="107" spans="1:84" x14ac:dyDescent="0.25">
      <c r="A107" s="91" t="s">
        <v>161</v>
      </c>
      <c r="B107" s="135">
        <v>2375482529</v>
      </c>
      <c r="C107" s="135">
        <v>669560348</v>
      </c>
      <c r="D107" s="135">
        <v>641136597</v>
      </c>
      <c r="E107" s="135">
        <v>57303100</v>
      </c>
      <c r="F107" s="135">
        <v>112605360</v>
      </c>
      <c r="G107" s="135">
        <v>13203750</v>
      </c>
      <c r="H107" s="135">
        <v>26414150</v>
      </c>
      <c r="I107" s="135">
        <v>2161500</v>
      </c>
      <c r="J107" s="135">
        <v>78600</v>
      </c>
      <c r="K107" s="135">
        <v>0</v>
      </c>
      <c r="L107" s="135">
        <v>855198889</v>
      </c>
      <c r="M107" s="135">
        <v>469819157</v>
      </c>
      <c r="N107" s="135">
        <v>3551</v>
      </c>
      <c r="O107" s="135">
        <v>393</v>
      </c>
      <c r="P107" s="135">
        <v>76137186</v>
      </c>
      <c r="Q107" s="135">
        <v>36752104</v>
      </c>
      <c r="R107" s="135">
        <v>6039250</v>
      </c>
      <c r="S107" s="135">
        <v>6585868</v>
      </c>
      <c r="T107" s="135">
        <v>8686413</v>
      </c>
      <c r="U107" s="135">
        <v>12120950</v>
      </c>
      <c r="V107" s="135">
        <v>76137186</v>
      </c>
      <c r="W107" s="135">
        <v>39873504</v>
      </c>
      <c r="X107" s="135">
        <v>6039250</v>
      </c>
      <c r="Y107" s="135">
        <v>6585868</v>
      </c>
      <c r="Z107" s="135">
        <v>14495129</v>
      </c>
      <c r="AA107" s="135">
        <v>12120950</v>
      </c>
      <c r="AB107" s="135">
        <v>-17799169</v>
      </c>
      <c r="AC107" s="135">
        <v>-1346791</v>
      </c>
      <c r="AD107" s="135">
        <v>0</v>
      </c>
      <c r="AE107" s="135">
        <v>0</v>
      </c>
      <c r="AF107" s="135">
        <v>33861216</v>
      </c>
      <c r="AG107" s="135">
        <v>232293</v>
      </c>
      <c r="AI107" s="135">
        <v>0</v>
      </c>
      <c r="AJ107" s="139"/>
      <c r="AO107" s="82">
        <v>415728522</v>
      </c>
      <c r="AP107" s="82">
        <v>10382666</v>
      </c>
      <c r="AQ107" s="135">
        <v>130000</v>
      </c>
      <c r="AR107" s="135">
        <v>175522751</v>
      </c>
      <c r="AS107" s="135">
        <v>10858326</v>
      </c>
      <c r="AT107" s="135">
        <v>414553062</v>
      </c>
      <c r="AU107" s="135">
        <v>113546299</v>
      </c>
      <c r="AV107" s="135">
        <v>145811461</v>
      </c>
      <c r="AW107" s="135">
        <v>51476563</v>
      </c>
      <c r="AX107" s="135">
        <v>11181278</v>
      </c>
      <c r="AY107" s="135">
        <v>0</v>
      </c>
      <c r="AZ107" s="135">
        <v>48153</v>
      </c>
      <c r="BA107" s="135">
        <v>21223379</v>
      </c>
      <c r="BB107" s="135">
        <v>913872</v>
      </c>
      <c r="BC107" s="135">
        <v>336020</v>
      </c>
      <c r="BH107" s="82">
        <v>31098140.710000001</v>
      </c>
      <c r="BI107" s="82">
        <v>15549070.359999999</v>
      </c>
      <c r="BJ107" s="117">
        <v>0</v>
      </c>
      <c r="BK107" s="118">
        <v>5452687</v>
      </c>
      <c r="BL107" s="118">
        <v>10905374</v>
      </c>
      <c r="BM107" s="117">
        <v>106080208</v>
      </c>
      <c r="BN107" s="117">
        <v>105327176</v>
      </c>
      <c r="BO107" s="117">
        <v>110517241</v>
      </c>
      <c r="BP107" s="117">
        <v>104363556</v>
      </c>
      <c r="BQ107" s="117">
        <v>66411909</v>
      </c>
      <c r="BR107" s="117">
        <v>0</v>
      </c>
      <c r="BS107" s="138"/>
      <c r="BT107" s="86">
        <v>4709322436.3599997</v>
      </c>
      <c r="BU107" s="86">
        <v>3986106850</v>
      </c>
      <c r="BV107" s="87">
        <v>2340564</v>
      </c>
      <c r="BX107" s="135">
        <v>15835</v>
      </c>
      <c r="BY107" s="135">
        <v>4488</v>
      </c>
      <c r="BZ107" s="135">
        <v>1034</v>
      </c>
      <c r="CA107" s="135">
        <f t="shared" si="12"/>
        <v>21357</v>
      </c>
      <c r="CB107" s="86">
        <v>3686179474</v>
      </c>
      <c r="CC107" s="82">
        <f t="shared" si="13"/>
        <v>415728522</v>
      </c>
      <c r="CD107" s="82">
        <f t="shared" si="13"/>
        <v>10382666</v>
      </c>
      <c r="CE107" s="86">
        <f t="shared" si="10"/>
        <v>351403939</v>
      </c>
      <c r="CF107" s="86">
        <f t="shared" si="11"/>
        <v>4463694601</v>
      </c>
    </row>
    <row r="108" spans="1:84" x14ac:dyDescent="0.25">
      <c r="A108" s="91" t="s">
        <v>162</v>
      </c>
      <c r="B108" s="135">
        <v>703307877</v>
      </c>
      <c r="C108" s="135">
        <v>212676105</v>
      </c>
      <c r="D108" s="135">
        <v>376556906</v>
      </c>
      <c r="E108" s="135">
        <v>4234820</v>
      </c>
      <c r="F108" s="135">
        <v>55104000</v>
      </c>
      <c r="G108" s="135">
        <v>4166400</v>
      </c>
      <c r="H108" s="135">
        <v>8697900</v>
      </c>
      <c r="I108" s="135">
        <v>314400</v>
      </c>
      <c r="J108" s="135">
        <v>157200</v>
      </c>
      <c r="K108" s="135">
        <v>0</v>
      </c>
      <c r="L108" s="135">
        <v>570056969</v>
      </c>
      <c r="M108" s="135">
        <v>97665550</v>
      </c>
      <c r="N108" s="135">
        <v>1649</v>
      </c>
      <c r="O108" s="135">
        <v>118</v>
      </c>
      <c r="P108" s="135">
        <v>23616723</v>
      </c>
      <c r="Q108" s="135">
        <v>1728650</v>
      </c>
      <c r="R108" s="135">
        <v>9968806</v>
      </c>
      <c r="S108" s="135">
        <v>3272652</v>
      </c>
      <c r="T108" s="135">
        <v>2640445</v>
      </c>
      <c r="U108" s="135">
        <v>2281104</v>
      </c>
      <c r="V108" s="135">
        <v>23616723</v>
      </c>
      <c r="W108" s="135">
        <v>1989010</v>
      </c>
      <c r="X108" s="135">
        <v>9968806</v>
      </c>
      <c r="Y108" s="135">
        <v>3272652</v>
      </c>
      <c r="Z108" s="135">
        <v>3471350</v>
      </c>
      <c r="AA108" s="135">
        <v>2281104</v>
      </c>
      <c r="AB108" s="135">
        <v>-4712100</v>
      </c>
      <c r="AC108" s="135">
        <v>0</v>
      </c>
      <c r="AD108" s="135">
        <v>0</v>
      </c>
      <c r="AE108" s="135">
        <v>0</v>
      </c>
      <c r="AF108" s="135">
        <v>0</v>
      </c>
      <c r="AG108" s="135">
        <v>0</v>
      </c>
      <c r="AH108" s="135">
        <v>48057.37704918033</v>
      </c>
      <c r="AI108" s="135">
        <v>439893</v>
      </c>
      <c r="AJ108" s="139"/>
      <c r="AO108" s="82">
        <v>140010992</v>
      </c>
      <c r="AP108" s="82">
        <v>5141713</v>
      </c>
      <c r="AQ108" s="135">
        <v>0</v>
      </c>
      <c r="AR108" s="135">
        <v>80283168</v>
      </c>
      <c r="AS108" s="135">
        <v>9384253</v>
      </c>
      <c r="AT108" s="135">
        <v>311566710</v>
      </c>
      <c r="AU108" s="135">
        <v>111580744</v>
      </c>
      <c r="AV108" s="135">
        <v>81862510</v>
      </c>
      <c r="AW108" s="135">
        <v>27070865</v>
      </c>
      <c r="AX108" s="135">
        <v>23857335</v>
      </c>
      <c r="AY108" s="135">
        <v>0</v>
      </c>
      <c r="AZ108" s="135">
        <v>537066</v>
      </c>
      <c r="BA108" s="135">
        <v>19181435</v>
      </c>
      <c r="BB108" s="135">
        <v>173385</v>
      </c>
      <c r="BC108" s="135">
        <v>70000</v>
      </c>
      <c r="BH108" s="82">
        <v>10473376.970000001</v>
      </c>
      <c r="BI108" s="82">
        <v>5236688.49</v>
      </c>
      <c r="BJ108" s="117">
        <v>0</v>
      </c>
      <c r="BK108" s="118">
        <v>1055406</v>
      </c>
      <c r="BL108" s="118">
        <v>2110812</v>
      </c>
      <c r="BM108" s="117">
        <v>21526141</v>
      </c>
      <c r="BN108" s="117">
        <v>21526141</v>
      </c>
      <c r="BO108" s="117">
        <v>29977171</v>
      </c>
      <c r="BP108" s="117">
        <v>27707086</v>
      </c>
      <c r="BQ108" s="117">
        <v>22967</v>
      </c>
      <c r="BR108" s="117">
        <v>9864640</v>
      </c>
      <c r="BS108" s="138"/>
      <c r="BT108" s="86">
        <v>1704842636.8670492</v>
      </c>
      <c r="BU108" s="86">
        <v>1494277003.3770492</v>
      </c>
      <c r="BV108" s="87">
        <v>4234820</v>
      </c>
      <c r="BX108" s="135">
        <v>7293</v>
      </c>
      <c r="BY108" s="135">
        <v>1810</v>
      </c>
      <c r="BZ108" s="135">
        <v>662</v>
      </c>
      <c r="CA108" s="135">
        <f t="shared" si="12"/>
        <v>9765</v>
      </c>
      <c r="CB108" s="86">
        <v>1292540888</v>
      </c>
      <c r="CC108" s="82">
        <f t="shared" si="13"/>
        <v>140010992</v>
      </c>
      <c r="CD108" s="82">
        <f t="shared" si="13"/>
        <v>5141713</v>
      </c>
      <c r="CE108" s="86">
        <f t="shared" si="10"/>
        <v>228319030</v>
      </c>
      <c r="CF108" s="86">
        <f t="shared" si="11"/>
        <v>1666012623</v>
      </c>
    </row>
    <row r="109" spans="1:84" x14ac:dyDescent="0.25">
      <c r="A109" s="91" t="s">
        <v>163</v>
      </c>
      <c r="B109" s="135">
        <v>1106512073</v>
      </c>
      <c r="C109" s="135">
        <v>207155530</v>
      </c>
      <c r="D109" s="135">
        <v>65114197</v>
      </c>
      <c r="E109" s="135">
        <v>0</v>
      </c>
      <c r="F109" s="135">
        <v>49629925</v>
      </c>
      <c r="G109" s="135">
        <v>6860200</v>
      </c>
      <c r="H109" s="135">
        <v>13500350</v>
      </c>
      <c r="I109" s="135">
        <v>1455000</v>
      </c>
      <c r="J109" s="135">
        <v>142900</v>
      </c>
      <c r="K109" s="135">
        <v>0</v>
      </c>
      <c r="L109" s="135">
        <v>321453053</v>
      </c>
      <c r="M109" s="135">
        <v>161464571</v>
      </c>
      <c r="N109" s="135">
        <v>1630</v>
      </c>
      <c r="O109" s="135">
        <v>218</v>
      </c>
      <c r="P109" s="135">
        <v>35837954</v>
      </c>
      <c r="Q109" s="135">
        <v>5571435</v>
      </c>
      <c r="R109" s="135">
        <v>2275000</v>
      </c>
      <c r="S109" s="135">
        <v>2691200</v>
      </c>
      <c r="T109" s="135">
        <v>1150445</v>
      </c>
      <c r="U109" s="135">
        <v>276500</v>
      </c>
      <c r="V109" s="135">
        <v>35837954</v>
      </c>
      <c r="W109" s="135">
        <v>6550641</v>
      </c>
      <c r="X109" s="135">
        <v>2275000</v>
      </c>
      <c r="Y109" s="135">
        <v>2691200</v>
      </c>
      <c r="Z109" s="135">
        <v>3362517</v>
      </c>
      <c r="AA109" s="135">
        <v>276500</v>
      </c>
      <c r="AB109" s="135">
        <v>-2635518</v>
      </c>
      <c r="AC109" s="135">
        <v>453767</v>
      </c>
      <c r="AD109" s="135">
        <v>6489</v>
      </c>
      <c r="AE109" s="135">
        <v>0</v>
      </c>
      <c r="AF109" s="135">
        <v>345462609</v>
      </c>
      <c r="AG109" s="135">
        <v>134201</v>
      </c>
      <c r="AH109" s="135">
        <v>0</v>
      </c>
      <c r="AI109" s="135">
        <v>0</v>
      </c>
      <c r="AJ109" s="139">
        <v>0</v>
      </c>
      <c r="AO109" s="82">
        <v>165797322</v>
      </c>
      <c r="AP109" s="82">
        <v>11025595</v>
      </c>
      <c r="AQ109" s="135">
        <v>473550</v>
      </c>
      <c r="AR109" s="135">
        <v>8475402</v>
      </c>
      <c r="AS109" s="135">
        <v>137422</v>
      </c>
      <c r="AT109" s="135">
        <v>90033</v>
      </c>
      <c r="AU109" s="135">
        <v>4517982</v>
      </c>
      <c r="AV109" s="135">
        <v>422548</v>
      </c>
      <c r="AW109" s="135">
        <v>0</v>
      </c>
      <c r="AX109" s="135">
        <v>851556</v>
      </c>
      <c r="AY109" s="135">
        <v>0</v>
      </c>
      <c r="AZ109" s="135">
        <v>0</v>
      </c>
      <c r="BA109" s="135">
        <v>0</v>
      </c>
      <c r="BB109" s="135">
        <v>11270</v>
      </c>
      <c r="BC109" s="135">
        <v>165000</v>
      </c>
      <c r="BH109" s="82">
        <v>12402296.630000001</v>
      </c>
      <c r="BI109" s="82">
        <v>6201148.3200000003</v>
      </c>
      <c r="BJ109" s="117">
        <v>0</v>
      </c>
      <c r="BK109" s="118">
        <v>0</v>
      </c>
      <c r="BL109" s="118">
        <v>0</v>
      </c>
      <c r="BM109" s="117">
        <v>5392481</v>
      </c>
      <c r="BN109" s="117">
        <v>5392481</v>
      </c>
      <c r="BO109" s="117">
        <v>19725045</v>
      </c>
      <c r="BP109" s="117">
        <v>19710640</v>
      </c>
      <c r="BQ109" s="117">
        <v>0</v>
      </c>
      <c r="BR109" s="117">
        <v>0</v>
      </c>
      <c r="BS109" s="138"/>
      <c r="BT109" s="86">
        <v>1600039792.3199999</v>
      </c>
      <c r="BU109" s="86">
        <v>1391912606</v>
      </c>
      <c r="BV109" s="87">
        <v>1080439</v>
      </c>
      <c r="BX109" s="135">
        <v>7009</v>
      </c>
      <c r="BY109" s="135">
        <v>2017</v>
      </c>
      <c r="BZ109" s="135">
        <v>229</v>
      </c>
      <c r="CA109" s="135">
        <f t="shared" si="12"/>
        <v>9255</v>
      </c>
      <c r="CB109" s="86">
        <v>1378781800</v>
      </c>
      <c r="CC109" s="82">
        <f t="shared" si="13"/>
        <v>165797322</v>
      </c>
      <c r="CD109" s="82">
        <f t="shared" si="13"/>
        <v>11025595</v>
      </c>
      <c r="CE109" s="86">
        <f t="shared" si="10"/>
        <v>13130806</v>
      </c>
      <c r="CF109" s="86">
        <f t="shared" si="11"/>
        <v>1568735523</v>
      </c>
    </row>
    <row r="110" spans="1:84" x14ac:dyDescent="0.25">
      <c r="A110" s="91" t="s">
        <v>164</v>
      </c>
      <c r="B110" s="135">
        <v>683312675</v>
      </c>
      <c r="C110" s="135">
        <v>145618528</v>
      </c>
      <c r="D110" s="135">
        <v>297077281</v>
      </c>
      <c r="E110" s="135">
        <v>0</v>
      </c>
      <c r="F110" s="135">
        <v>84998098</v>
      </c>
      <c r="G110" s="135">
        <v>12740820</v>
      </c>
      <c r="H110" s="135">
        <v>16683945</v>
      </c>
      <c r="I110" s="135">
        <v>1189761</v>
      </c>
      <c r="J110" s="135">
        <v>182200</v>
      </c>
      <c r="K110" s="135">
        <v>0</v>
      </c>
      <c r="L110" s="135">
        <v>287752011</v>
      </c>
      <c r="M110" s="135">
        <v>106860993</v>
      </c>
      <c r="N110" s="135">
        <v>2681</v>
      </c>
      <c r="O110" s="135">
        <v>390</v>
      </c>
      <c r="P110" s="135">
        <v>11754833</v>
      </c>
      <c r="Q110" s="135">
        <v>2531050</v>
      </c>
      <c r="R110" s="135">
        <v>1755560</v>
      </c>
      <c r="S110" s="135">
        <v>3245190</v>
      </c>
      <c r="T110" s="135">
        <v>551929</v>
      </c>
      <c r="U110" s="135">
        <v>5081935</v>
      </c>
      <c r="V110" s="135">
        <v>11754833</v>
      </c>
      <c r="W110" s="135">
        <v>2736060</v>
      </c>
      <c r="X110" s="135">
        <v>1755560</v>
      </c>
      <c r="Y110" s="135">
        <v>3245190</v>
      </c>
      <c r="Z110" s="135">
        <v>719960</v>
      </c>
      <c r="AA110" s="135">
        <v>5081935</v>
      </c>
      <c r="AB110" s="135">
        <v>-3013120</v>
      </c>
      <c r="AC110" s="135">
        <v>132709</v>
      </c>
      <c r="AD110" s="135">
        <v>52805</v>
      </c>
      <c r="AE110" s="135">
        <v>0</v>
      </c>
      <c r="AF110" s="135">
        <v>0</v>
      </c>
      <c r="AG110" s="135">
        <v>180659</v>
      </c>
      <c r="AI110" s="135">
        <v>0</v>
      </c>
      <c r="AJ110" s="139"/>
      <c r="AO110" s="82">
        <v>169105203</v>
      </c>
      <c r="AP110" s="82">
        <v>8327822</v>
      </c>
      <c r="AQ110" s="135">
        <v>5000256</v>
      </c>
      <c r="AR110" s="135">
        <v>62835114</v>
      </c>
      <c r="AS110" s="135">
        <v>2686010</v>
      </c>
      <c r="AT110" s="135">
        <v>30767561</v>
      </c>
      <c r="AU110" s="135">
        <v>43503527</v>
      </c>
      <c r="AV110" s="135">
        <v>42096766</v>
      </c>
      <c r="AW110" s="135">
        <v>62459540</v>
      </c>
      <c r="AX110" s="135">
        <v>720945</v>
      </c>
      <c r="AY110" s="135">
        <v>0</v>
      </c>
      <c r="AZ110" s="135">
        <v>0</v>
      </c>
      <c r="BA110" s="135">
        <v>15011</v>
      </c>
      <c r="BB110" s="135">
        <v>109412</v>
      </c>
      <c r="BC110" s="135">
        <v>203500</v>
      </c>
      <c r="BH110" s="82">
        <v>12649739.24</v>
      </c>
      <c r="BI110" s="82">
        <v>6324869.6200000001</v>
      </c>
      <c r="BJ110" s="117">
        <v>0</v>
      </c>
      <c r="BK110" s="118">
        <v>0</v>
      </c>
      <c r="BL110" s="118">
        <v>0</v>
      </c>
      <c r="BM110" s="117">
        <v>27715483</v>
      </c>
      <c r="BN110" s="117">
        <v>27715483</v>
      </c>
      <c r="BO110" s="117">
        <v>95767371</v>
      </c>
      <c r="BP110" s="117">
        <v>94375619</v>
      </c>
      <c r="BQ110" s="117">
        <v>0</v>
      </c>
      <c r="BR110" s="117">
        <v>0</v>
      </c>
      <c r="BS110" s="138"/>
      <c r="BT110" s="86">
        <v>1540882131.6199999</v>
      </c>
      <c r="BU110" s="86">
        <v>1235033135</v>
      </c>
      <c r="BV110" s="87">
        <v>1491000</v>
      </c>
      <c r="BX110" s="135">
        <v>9566</v>
      </c>
      <c r="BY110" s="135">
        <v>2557</v>
      </c>
      <c r="BZ110" s="135">
        <v>902</v>
      </c>
      <c r="CA110" s="135">
        <f t="shared" si="12"/>
        <v>13025</v>
      </c>
      <c r="CB110" s="86">
        <v>1126008484</v>
      </c>
      <c r="CC110" s="82">
        <f t="shared" si="13"/>
        <v>169105203</v>
      </c>
      <c r="CD110" s="82">
        <f t="shared" si="13"/>
        <v>8327822</v>
      </c>
      <c r="CE110" s="86">
        <f t="shared" si="10"/>
        <v>171484191</v>
      </c>
      <c r="CF110" s="86">
        <f t="shared" si="11"/>
        <v>1474925700</v>
      </c>
    </row>
    <row r="111" spans="1:84" x14ac:dyDescent="0.25">
      <c r="A111" s="91" t="s">
        <v>165</v>
      </c>
      <c r="B111" s="135">
        <v>248048809</v>
      </c>
      <c r="C111" s="135">
        <v>172173687</v>
      </c>
      <c r="D111" s="135">
        <v>153354089</v>
      </c>
      <c r="E111" s="135">
        <v>0</v>
      </c>
      <c r="F111" s="135">
        <v>31931993</v>
      </c>
      <c r="G111" s="135">
        <v>4364964</v>
      </c>
      <c r="H111" s="135">
        <v>8411296</v>
      </c>
      <c r="I111" s="135">
        <v>522900</v>
      </c>
      <c r="J111" s="135">
        <v>0</v>
      </c>
      <c r="K111" s="135">
        <v>0</v>
      </c>
      <c r="L111" s="135">
        <v>617865089</v>
      </c>
      <c r="M111" s="135">
        <v>66929171</v>
      </c>
      <c r="N111" s="135">
        <v>1106</v>
      </c>
      <c r="O111" s="135">
        <v>147</v>
      </c>
      <c r="P111" s="135">
        <v>4499510</v>
      </c>
      <c r="Q111" s="135">
        <v>1746060</v>
      </c>
      <c r="R111" s="135">
        <v>53637316</v>
      </c>
      <c r="S111" s="135">
        <v>765382</v>
      </c>
      <c r="T111" s="135">
        <v>221020</v>
      </c>
      <c r="U111" s="135">
        <v>38300</v>
      </c>
      <c r="V111" s="135">
        <v>4499510</v>
      </c>
      <c r="W111" s="135">
        <v>1653560</v>
      </c>
      <c r="X111" s="135">
        <v>53637316</v>
      </c>
      <c r="Y111" s="135">
        <v>765382</v>
      </c>
      <c r="Z111" s="135">
        <v>39245</v>
      </c>
      <c r="AA111" s="135">
        <v>38300</v>
      </c>
      <c r="AB111" s="135">
        <v>-1281760</v>
      </c>
      <c r="AC111" s="135">
        <v>-146240</v>
      </c>
      <c r="AD111" s="135">
        <v>70216</v>
      </c>
      <c r="AE111" s="135">
        <v>49251</v>
      </c>
      <c r="AF111" s="135">
        <v>101529243</v>
      </c>
      <c r="AG111" s="135">
        <v>226392</v>
      </c>
      <c r="AH111" s="135">
        <v>50627.05</v>
      </c>
      <c r="AI111" s="135">
        <v>5189</v>
      </c>
      <c r="AJ111" s="139"/>
      <c r="AO111" s="82">
        <v>84785989</v>
      </c>
      <c r="AP111" s="82">
        <v>1793663</v>
      </c>
      <c r="AQ111" s="135">
        <v>0</v>
      </c>
      <c r="AR111" s="135">
        <v>21348081</v>
      </c>
      <c r="AS111" s="135">
        <v>2436979</v>
      </c>
      <c r="AT111" s="135">
        <v>164216780</v>
      </c>
      <c r="AU111" s="135">
        <v>22198375</v>
      </c>
      <c r="AV111" s="135">
        <v>35469041</v>
      </c>
      <c r="AW111" s="135">
        <v>4582822</v>
      </c>
      <c r="AX111" s="135">
        <v>5030727</v>
      </c>
      <c r="AY111" s="135">
        <v>0</v>
      </c>
      <c r="AZ111" s="135">
        <v>4268580</v>
      </c>
      <c r="BA111" s="135">
        <v>10453195</v>
      </c>
      <c r="BB111" s="135">
        <v>33719</v>
      </c>
      <c r="BC111" s="135">
        <v>93000</v>
      </c>
      <c r="BH111" s="82">
        <v>6342327.9299999997</v>
      </c>
      <c r="BI111" s="82">
        <v>3171163.97</v>
      </c>
      <c r="BJ111" s="117">
        <v>0</v>
      </c>
      <c r="BK111" s="118">
        <v>1620281</v>
      </c>
      <c r="BL111" s="118">
        <v>3240562</v>
      </c>
      <c r="BM111" s="117">
        <v>13746011</v>
      </c>
      <c r="BN111" s="117">
        <v>13746011</v>
      </c>
      <c r="BO111" s="117">
        <v>41589697</v>
      </c>
      <c r="BP111" s="117">
        <v>34225660</v>
      </c>
      <c r="BQ111" s="117">
        <v>0</v>
      </c>
      <c r="BR111" s="117">
        <v>0</v>
      </c>
      <c r="BS111" s="138"/>
      <c r="BT111" s="86">
        <v>758958604.01999998</v>
      </c>
      <c r="BU111" s="86">
        <v>619615836.04999995</v>
      </c>
      <c r="BV111" s="87">
        <v>915372</v>
      </c>
      <c r="BX111" s="135">
        <v>4895</v>
      </c>
      <c r="BY111" s="135">
        <v>2438</v>
      </c>
      <c r="BZ111" s="135">
        <v>448</v>
      </c>
      <c r="CA111" s="135">
        <f t="shared" si="12"/>
        <v>7781</v>
      </c>
      <c r="CB111" s="86">
        <v>573576585</v>
      </c>
      <c r="CC111" s="82">
        <f t="shared" si="13"/>
        <v>84785989</v>
      </c>
      <c r="CD111" s="82">
        <f t="shared" si="13"/>
        <v>1793663</v>
      </c>
      <c r="CE111" s="86">
        <f t="shared" si="10"/>
        <v>50566257</v>
      </c>
      <c r="CF111" s="86">
        <f t="shared" si="11"/>
        <v>710722494</v>
      </c>
    </row>
    <row r="112" spans="1:84" x14ac:dyDescent="0.25">
      <c r="A112" s="91" t="s">
        <v>166</v>
      </c>
      <c r="B112" s="135">
        <v>684900218</v>
      </c>
      <c r="C112" s="135">
        <v>108527078</v>
      </c>
      <c r="D112" s="135">
        <v>90547144</v>
      </c>
      <c r="E112" s="135">
        <v>0</v>
      </c>
      <c r="F112" s="135">
        <v>56981484</v>
      </c>
      <c r="G112" s="135">
        <v>9681588</v>
      </c>
      <c r="H112" s="135">
        <v>6450199</v>
      </c>
      <c r="I112" s="135">
        <v>842676</v>
      </c>
      <c r="J112" s="135">
        <v>196500</v>
      </c>
      <c r="K112" s="135">
        <v>39300</v>
      </c>
      <c r="L112" s="135">
        <v>640418594</v>
      </c>
      <c r="M112" s="135">
        <v>62955916</v>
      </c>
      <c r="N112" s="135">
        <v>1716</v>
      </c>
      <c r="O112" s="135">
        <v>305</v>
      </c>
      <c r="P112" s="135">
        <v>7240289</v>
      </c>
      <c r="Q112" s="135">
        <v>2894575</v>
      </c>
      <c r="R112" s="135">
        <v>731663</v>
      </c>
      <c r="S112" s="135">
        <v>724853</v>
      </c>
      <c r="T112" s="135">
        <v>603709</v>
      </c>
      <c r="U112" s="135">
        <v>0</v>
      </c>
      <c r="V112" s="135">
        <v>7240289</v>
      </c>
      <c r="W112" s="135">
        <v>5635825</v>
      </c>
      <c r="X112" s="135">
        <v>731663</v>
      </c>
      <c r="Y112" s="135">
        <v>724853</v>
      </c>
      <c r="Z112" s="135">
        <v>14804220</v>
      </c>
      <c r="AA112" s="135">
        <v>0</v>
      </c>
      <c r="AB112" s="135">
        <v>-3659971</v>
      </c>
      <c r="AC112" s="135">
        <v>0</v>
      </c>
      <c r="AD112" s="135">
        <v>64700</v>
      </c>
      <c r="AE112" s="135">
        <v>0</v>
      </c>
      <c r="AF112" s="135">
        <v>0</v>
      </c>
      <c r="AG112" s="135">
        <v>0</v>
      </c>
      <c r="AH112" s="135">
        <v>0</v>
      </c>
      <c r="AI112" s="135">
        <v>233041</v>
      </c>
      <c r="AJ112" s="139"/>
      <c r="AO112" s="82">
        <v>117393244</v>
      </c>
      <c r="AP112" s="82">
        <v>16715829</v>
      </c>
      <c r="AQ112" s="135">
        <v>641971</v>
      </c>
      <c r="AR112" s="135">
        <v>13671860</v>
      </c>
      <c r="AS112" s="135">
        <v>703537</v>
      </c>
      <c r="AT112" s="135">
        <v>13932335</v>
      </c>
      <c r="AU112" s="135">
        <v>9363087</v>
      </c>
      <c r="AV112" s="135">
        <v>6622016</v>
      </c>
      <c r="AW112" s="135">
        <v>1163439</v>
      </c>
      <c r="AX112" s="135">
        <v>2871128</v>
      </c>
      <c r="AY112" s="135">
        <v>0</v>
      </c>
      <c r="AZ112" s="135">
        <v>75171</v>
      </c>
      <c r="BA112" s="135">
        <v>154917624</v>
      </c>
      <c r="BB112" s="135">
        <v>0</v>
      </c>
      <c r="BC112" s="135">
        <v>0</v>
      </c>
      <c r="BH112" s="82">
        <v>8781479.8000000007</v>
      </c>
      <c r="BI112" s="82">
        <v>4390739.9000000004</v>
      </c>
      <c r="BJ112" s="117">
        <v>32354922.279792741</v>
      </c>
      <c r="BK112" s="118">
        <v>0</v>
      </c>
      <c r="BL112" s="118">
        <v>0</v>
      </c>
      <c r="BM112" s="117">
        <v>4403176</v>
      </c>
      <c r="BN112" s="117">
        <v>4403176</v>
      </c>
      <c r="BO112" s="117">
        <v>25390422</v>
      </c>
      <c r="BP112" s="117">
        <v>25066087</v>
      </c>
      <c r="BQ112" s="117">
        <v>0</v>
      </c>
      <c r="BR112" s="117">
        <v>0</v>
      </c>
      <c r="BS112" s="138"/>
      <c r="BT112" s="86">
        <v>1075915040.9000001</v>
      </c>
      <c r="BU112" s="86">
        <v>907945965</v>
      </c>
      <c r="BV112" s="87">
        <v>699813</v>
      </c>
      <c r="BX112" s="135">
        <v>16101</v>
      </c>
      <c r="BY112" s="135">
        <v>1956</v>
      </c>
      <c r="BZ112" s="135">
        <v>498</v>
      </c>
      <c r="CA112" s="135">
        <f t="shared" si="12"/>
        <v>18555</v>
      </c>
      <c r="CB112" s="86">
        <v>883974440</v>
      </c>
      <c r="CC112" s="82">
        <f t="shared" si="13"/>
        <v>117393244</v>
      </c>
      <c r="CD112" s="82">
        <f t="shared" si="13"/>
        <v>16715829</v>
      </c>
      <c r="CE112" s="86">
        <f t="shared" si="10"/>
        <v>24901923</v>
      </c>
      <c r="CF112" s="86">
        <f t="shared" si="11"/>
        <v>1042985436</v>
      </c>
    </row>
    <row r="113" spans="1:110" x14ac:dyDescent="0.25">
      <c r="A113" s="91" t="s">
        <v>167</v>
      </c>
      <c r="B113" s="135">
        <v>222343655</v>
      </c>
      <c r="C113" s="135">
        <v>92155750</v>
      </c>
      <c r="D113" s="135">
        <v>24696300</v>
      </c>
      <c r="E113" s="135">
        <v>0</v>
      </c>
      <c r="F113" s="135">
        <v>25332000</v>
      </c>
      <c r="G113" s="135">
        <v>3667800</v>
      </c>
      <c r="H113" s="135">
        <v>8252900</v>
      </c>
      <c r="I113" s="135">
        <v>445200</v>
      </c>
      <c r="J113" s="135">
        <v>39000</v>
      </c>
      <c r="K113" s="135">
        <v>0</v>
      </c>
      <c r="L113" s="135">
        <v>158296050</v>
      </c>
      <c r="M113" s="135">
        <v>70695400</v>
      </c>
      <c r="N113" s="135">
        <v>890</v>
      </c>
      <c r="O113" s="135">
        <v>115</v>
      </c>
      <c r="P113" s="135">
        <v>3340100</v>
      </c>
      <c r="Q113" s="135">
        <v>1981600</v>
      </c>
      <c r="R113" s="135">
        <v>295400</v>
      </c>
      <c r="S113" s="135">
        <v>2191300</v>
      </c>
      <c r="T113" s="135">
        <v>1046830</v>
      </c>
      <c r="U113" s="135">
        <v>686900</v>
      </c>
      <c r="V113" s="135">
        <v>3340100</v>
      </c>
      <c r="W113" s="135">
        <v>2147400</v>
      </c>
      <c r="X113" s="135">
        <v>295400</v>
      </c>
      <c r="Y113" s="135">
        <v>2191300</v>
      </c>
      <c r="Z113" s="135">
        <v>2521000</v>
      </c>
      <c r="AA113" s="135">
        <v>686900</v>
      </c>
      <c r="AB113" s="135">
        <v>-1251400</v>
      </c>
      <c r="AC113" s="135">
        <v>-25739</v>
      </c>
      <c r="AD113" s="135">
        <v>50871</v>
      </c>
      <c r="AE113" s="135">
        <v>8984</v>
      </c>
      <c r="AF113" s="135">
        <v>48405800</v>
      </c>
      <c r="AG113" s="135">
        <v>81671</v>
      </c>
      <c r="AH113" s="135">
        <v>0</v>
      </c>
      <c r="AI113" s="135">
        <v>0</v>
      </c>
      <c r="AJ113" s="139">
        <v>0</v>
      </c>
      <c r="AO113" s="82">
        <v>63265327</v>
      </c>
      <c r="AP113" s="82">
        <v>1902626</v>
      </c>
      <c r="AQ113" s="135">
        <v>18000</v>
      </c>
      <c r="AR113" s="135">
        <v>15458382</v>
      </c>
      <c r="AS113" s="135">
        <v>331065</v>
      </c>
      <c r="AT113" s="135">
        <v>3992270</v>
      </c>
      <c r="AU113" s="135">
        <v>2056454</v>
      </c>
      <c r="AV113" s="135">
        <v>3351051</v>
      </c>
      <c r="AW113" s="135">
        <v>0</v>
      </c>
      <c r="AX113" s="135">
        <v>192008</v>
      </c>
      <c r="AY113" s="135">
        <v>0</v>
      </c>
      <c r="AZ113" s="135">
        <v>0</v>
      </c>
      <c r="BA113" s="135">
        <v>0</v>
      </c>
      <c r="BB113" s="135">
        <v>0</v>
      </c>
      <c r="BC113" s="135">
        <v>0</v>
      </c>
      <c r="BH113" s="82">
        <v>4732497.1399999997</v>
      </c>
      <c r="BI113" s="82">
        <v>2366248.5699999998</v>
      </c>
      <c r="BJ113" s="117">
        <v>25025906.735751297</v>
      </c>
      <c r="BK113" s="118">
        <v>0</v>
      </c>
      <c r="BL113" s="118">
        <v>0</v>
      </c>
      <c r="BM113" s="117">
        <v>164617397</v>
      </c>
      <c r="BN113" s="117">
        <v>164617397</v>
      </c>
      <c r="BO113" s="117">
        <v>59675093</v>
      </c>
      <c r="BP113" s="117">
        <v>58496640</v>
      </c>
      <c r="BQ113" s="117">
        <v>0</v>
      </c>
      <c r="BR113" s="117">
        <v>0</v>
      </c>
      <c r="BS113" s="138"/>
      <c r="BT113" s="86">
        <v>647689844.56999993</v>
      </c>
      <c r="BU113" s="86">
        <v>357041606</v>
      </c>
      <c r="BV113" s="87">
        <v>807300</v>
      </c>
      <c r="BX113" s="135">
        <v>3941</v>
      </c>
      <c r="BY113" s="135">
        <v>1639</v>
      </c>
      <c r="BZ113" s="135">
        <v>170</v>
      </c>
      <c r="CA113" s="135">
        <f t="shared" si="12"/>
        <v>5750</v>
      </c>
      <c r="CB113" s="86">
        <v>339195705</v>
      </c>
      <c r="CC113" s="82">
        <f t="shared" si="13"/>
        <v>63265327</v>
      </c>
      <c r="CD113" s="82">
        <f t="shared" si="13"/>
        <v>1902626</v>
      </c>
      <c r="CE113" s="86">
        <f t="shared" si="10"/>
        <v>17845901</v>
      </c>
      <c r="CF113" s="86">
        <f t="shared" si="11"/>
        <v>422209559</v>
      </c>
    </row>
    <row r="114" spans="1:110" x14ac:dyDescent="0.25">
      <c r="A114" s="91" t="s">
        <v>168</v>
      </c>
      <c r="B114" s="135">
        <v>296023485</v>
      </c>
      <c r="C114" s="135">
        <v>165172377</v>
      </c>
      <c r="D114" s="135">
        <v>110154814</v>
      </c>
      <c r="E114" s="135">
        <v>1310000</v>
      </c>
      <c r="F114" s="135">
        <v>46807701</v>
      </c>
      <c r="G114" s="135">
        <v>6470344</v>
      </c>
      <c r="H114" s="135">
        <v>5980202</v>
      </c>
      <c r="I114" s="135">
        <v>406588</v>
      </c>
      <c r="J114" s="135">
        <v>188700</v>
      </c>
      <c r="K114" s="135">
        <v>78600</v>
      </c>
      <c r="L114" s="135">
        <v>758897296</v>
      </c>
      <c r="M114" s="135">
        <v>51757518</v>
      </c>
      <c r="N114" s="135">
        <v>1422</v>
      </c>
      <c r="O114" s="135">
        <v>198</v>
      </c>
      <c r="P114" s="135">
        <v>1292070</v>
      </c>
      <c r="Q114" s="135">
        <v>1159700</v>
      </c>
      <c r="R114" s="135">
        <v>829635</v>
      </c>
      <c r="S114" s="135">
        <v>418407</v>
      </c>
      <c r="T114" s="135">
        <v>116015</v>
      </c>
      <c r="U114" s="135">
        <v>54175</v>
      </c>
      <c r="V114" s="135">
        <v>1292070</v>
      </c>
      <c r="W114" s="135">
        <v>1159700</v>
      </c>
      <c r="X114" s="135">
        <v>829635</v>
      </c>
      <c r="Y114" s="135">
        <v>418407</v>
      </c>
      <c r="Z114" s="135">
        <v>116015</v>
      </c>
      <c r="AA114" s="135">
        <v>54175</v>
      </c>
      <c r="AB114" s="135">
        <v>-941970</v>
      </c>
      <c r="AC114" s="135">
        <v>-994666</v>
      </c>
      <c r="AD114" s="135">
        <v>7919</v>
      </c>
      <c r="AE114" s="135">
        <v>13294</v>
      </c>
      <c r="AF114" s="135">
        <v>43907398</v>
      </c>
      <c r="AG114" s="135">
        <v>195277</v>
      </c>
      <c r="AH114" s="135">
        <v>20423565.57</v>
      </c>
      <c r="AI114" s="135">
        <v>0</v>
      </c>
      <c r="AJ114" s="139">
        <v>48000000</v>
      </c>
      <c r="AO114" s="82">
        <v>128147132</v>
      </c>
      <c r="AP114" s="82">
        <v>5011283</v>
      </c>
      <c r="AQ114" s="135">
        <v>48000</v>
      </c>
      <c r="AR114" s="135">
        <v>152619638</v>
      </c>
      <c r="AS114" s="135">
        <v>11073245</v>
      </c>
      <c r="AT114" s="135">
        <v>97742137</v>
      </c>
      <c r="AU114" s="135">
        <v>49394436</v>
      </c>
      <c r="AV114" s="135">
        <v>28753554</v>
      </c>
      <c r="AW114" s="135">
        <v>29526104</v>
      </c>
      <c r="AX114" s="135">
        <v>5827340</v>
      </c>
      <c r="AY114" s="135">
        <v>0</v>
      </c>
      <c r="AZ114" s="135">
        <v>370049</v>
      </c>
      <c r="BA114" s="135">
        <v>18392567</v>
      </c>
      <c r="BB114" s="135">
        <v>0</v>
      </c>
      <c r="BC114" s="135">
        <v>1390419</v>
      </c>
      <c r="BH114" s="82">
        <v>9585913.2400000002</v>
      </c>
      <c r="BI114" s="82">
        <v>4792956.62</v>
      </c>
      <c r="BJ114" s="117">
        <v>49694300.518134713</v>
      </c>
      <c r="BK114" s="118">
        <v>0</v>
      </c>
      <c r="BL114" s="118">
        <v>0</v>
      </c>
      <c r="BM114" s="117">
        <v>6448815</v>
      </c>
      <c r="BN114" s="117">
        <v>6448815</v>
      </c>
      <c r="BO114" s="117">
        <v>38035784</v>
      </c>
      <c r="BP114" s="117">
        <v>37941804</v>
      </c>
      <c r="BQ114" s="117">
        <v>0</v>
      </c>
      <c r="BR114" s="117">
        <v>0</v>
      </c>
      <c r="BS114" s="138"/>
      <c r="BT114" s="86">
        <v>1035203551.1900001</v>
      </c>
      <c r="BU114" s="86">
        <v>852861560.57000005</v>
      </c>
      <c r="BV114" s="87">
        <v>839794</v>
      </c>
      <c r="BX114" s="135">
        <v>5776</v>
      </c>
      <c r="BY114" s="135">
        <v>1833</v>
      </c>
      <c r="BZ114" s="135">
        <v>576</v>
      </c>
      <c r="CA114" s="135">
        <f>SUM(BX114:BZ114)</f>
        <v>8185</v>
      </c>
      <c r="CB114" s="86">
        <v>571350676</v>
      </c>
      <c r="CC114" s="82">
        <f t="shared" si="13"/>
        <v>128147132</v>
      </c>
      <c r="CD114" s="82">
        <f t="shared" si="13"/>
        <v>5011283</v>
      </c>
      <c r="CE114" s="86">
        <f t="shared" si="10"/>
        <v>242613423</v>
      </c>
      <c r="CF114" s="86">
        <f t="shared" si="11"/>
        <v>947122514</v>
      </c>
    </row>
    <row r="115" spans="1:110" x14ac:dyDescent="0.25">
      <c r="A115" s="91" t="s">
        <v>169</v>
      </c>
      <c r="B115" s="135">
        <v>5952563401</v>
      </c>
      <c r="C115" s="135">
        <v>544959340</v>
      </c>
      <c r="D115" s="135">
        <v>3609500744</v>
      </c>
      <c r="E115" s="135">
        <v>110277286</v>
      </c>
      <c r="F115" s="135">
        <v>260875220</v>
      </c>
      <c r="G115" s="135">
        <v>19482440</v>
      </c>
      <c r="H115" s="135">
        <v>27958780</v>
      </c>
      <c r="I115" s="135">
        <v>1334840</v>
      </c>
      <c r="J115" s="135">
        <v>353700</v>
      </c>
      <c r="K115" s="135">
        <v>0</v>
      </c>
      <c r="L115" s="135">
        <v>1101508740</v>
      </c>
      <c r="M115" s="135">
        <v>0</v>
      </c>
      <c r="N115" s="135">
        <v>7449</v>
      </c>
      <c r="O115" s="135">
        <v>575</v>
      </c>
      <c r="P115" s="135">
        <v>136293070</v>
      </c>
      <c r="Q115" s="135">
        <v>12243360</v>
      </c>
      <c r="R115" s="135">
        <v>248883860</v>
      </c>
      <c r="S115" s="135">
        <v>3945650</v>
      </c>
      <c r="T115" s="135">
        <v>6294050</v>
      </c>
      <c r="U115" s="135">
        <v>3199000</v>
      </c>
      <c r="V115" s="135">
        <v>136293070</v>
      </c>
      <c r="W115" s="135">
        <v>12243360</v>
      </c>
      <c r="X115" s="135">
        <v>248883860</v>
      </c>
      <c r="Y115" s="135">
        <v>3945650</v>
      </c>
      <c r="Z115" s="135">
        <v>6294050</v>
      </c>
      <c r="AA115" s="135">
        <v>3199000</v>
      </c>
      <c r="AB115" s="135">
        <v>-20903650</v>
      </c>
      <c r="AC115" s="135">
        <v>-3739578</v>
      </c>
      <c r="AD115" s="135">
        <v>70867</v>
      </c>
      <c r="AE115" s="135">
        <v>0</v>
      </c>
      <c r="AF115" s="135">
        <v>0</v>
      </c>
      <c r="AG115" s="135">
        <v>0</v>
      </c>
      <c r="AH115" s="135">
        <v>1611799.18</v>
      </c>
      <c r="AI115" s="135">
        <v>1173422</v>
      </c>
      <c r="AJ115" s="139"/>
      <c r="AO115" s="82">
        <v>945078993</v>
      </c>
      <c r="AP115" s="82">
        <v>23454945</v>
      </c>
      <c r="AQ115" s="135">
        <v>0</v>
      </c>
      <c r="AR115" s="135">
        <v>467624050</v>
      </c>
      <c r="AS115" s="135">
        <v>116251064</v>
      </c>
      <c r="AT115" s="135">
        <v>1531758148</v>
      </c>
      <c r="AU115" s="135">
        <v>387267397</v>
      </c>
      <c r="AV115" s="135">
        <v>430186064</v>
      </c>
      <c r="AW115" s="135">
        <v>277379231</v>
      </c>
      <c r="AX115" s="135">
        <v>7273394</v>
      </c>
      <c r="AY115" s="135">
        <v>0</v>
      </c>
      <c r="AZ115" s="135">
        <v>80054</v>
      </c>
      <c r="BA115" s="135">
        <v>202505284</v>
      </c>
      <c r="BB115" s="135">
        <v>7999741</v>
      </c>
      <c r="BC115" s="135">
        <v>10930540</v>
      </c>
      <c r="BH115" s="82">
        <v>70695653.409999996</v>
      </c>
      <c r="BI115" s="82">
        <v>35347826.710000001</v>
      </c>
      <c r="BJ115" s="117">
        <v>0</v>
      </c>
      <c r="BK115" s="118">
        <v>3371030</v>
      </c>
      <c r="BL115" s="118">
        <v>6742060</v>
      </c>
      <c r="BM115" s="117">
        <v>78206635</v>
      </c>
      <c r="BN115" s="117">
        <v>78206635</v>
      </c>
      <c r="BO115" s="117">
        <v>124891959</v>
      </c>
      <c r="BP115" s="117">
        <v>118023580</v>
      </c>
      <c r="BQ115" s="117">
        <v>306259</v>
      </c>
      <c r="BR115" s="117">
        <v>39476008</v>
      </c>
      <c r="BS115" s="138"/>
      <c r="BT115" s="86">
        <v>12324216493.889999</v>
      </c>
      <c r="BU115" s="86">
        <v>11080951217.18</v>
      </c>
      <c r="BV115" s="87">
        <v>10797170</v>
      </c>
      <c r="BX115" s="135">
        <v>40289</v>
      </c>
      <c r="BY115" s="135">
        <v>4849</v>
      </c>
      <c r="BZ115" s="135">
        <v>3925</v>
      </c>
      <c r="CA115" s="135">
        <f t="shared" ref="CA115:CA121" si="14">SUM(BX115:BZ115)</f>
        <v>49063</v>
      </c>
      <c r="CB115" s="86">
        <v>10107023485</v>
      </c>
      <c r="CC115" s="82">
        <f t="shared" si="13"/>
        <v>945078993</v>
      </c>
      <c r="CD115" s="82">
        <f t="shared" si="13"/>
        <v>23454945</v>
      </c>
      <c r="CE115" s="86">
        <f t="shared" si="10"/>
        <v>1248521742</v>
      </c>
      <c r="CF115" s="86">
        <f t="shared" si="11"/>
        <v>12324079165</v>
      </c>
    </row>
    <row r="116" spans="1:110" x14ac:dyDescent="0.25">
      <c r="A116" s="91" t="s">
        <v>170</v>
      </c>
      <c r="B116" s="135">
        <v>293033375</v>
      </c>
      <c r="C116" s="135">
        <v>195901943</v>
      </c>
      <c r="D116" s="135">
        <v>92277898</v>
      </c>
      <c r="E116" s="135">
        <v>0</v>
      </c>
      <c r="F116" s="135">
        <v>36137900</v>
      </c>
      <c r="G116" s="135">
        <v>5197000</v>
      </c>
      <c r="H116" s="135">
        <v>17128600</v>
      </c>
      <c r="I116" s="135">
        <v>2115200</v>
      </c>
      <c r="J116" s="135">
        <v>39300</v>
      </c>
      <c r="K116" s="135">
        <v>0</v>
      </c>
      <c r="L116" s="135">
        <v>310532250</v>
      </c>
      <c r="M116" s="135">
        <v>144059506</v>
      </c>
      <c r="N116" s="135">
        <v>1390</v>
      </c>
      <c r="O116" s="135">
        <v>206</v>
      </c>
      <c r="P116" s="135">
        <v>4684308</v>
      </c>
      <c r="Q116" s="135">
        <v>11887347</v>
      </c>
      <c r="R116" s="135">
        <v>728303</v>
      </c>
      <c r="S116" s="135">
        <v>2763500</v>
      </c>
      <c r="T116" s="135">
        <v>1002443</v>
      </c>
      <c r="U116" s="135">
        <v>6358865</v>
      </c>
      <c r="V116" s="135">
        <v>4455013</v>
      </c>
      <c r="W116" s="135">
        <v>12230503</v>
      </c>
      <c r="X116" s="135">
        <v>728303</v>
      </c>
      <c r="Y116" s="135">
        <v>2734300</v>
      </c>
      <c r="Z116" s="135">
        <v>1691421</v>
      </c>
      <c r="AA116" s="135">
        <v>6358865</v>
      </c>
      <c r="AB116" s="135">
        <v>-4591065</v>
      </c>
      <c r="AC116" s="135">
        <v>627653</v>
      </c>
      <c r="AD116" s="135">
        <v>4477</v>
      </c>
      <c r="AE116" s="135">
        <v>0</v>
      </c>
      <c r="AF116" s="135">
        <v>0</v>
      </c>
      <c r="AG116" s="135">
        <v>178363</v>
      </c>
      <c r="AI116" s="135">
        <v>0</v>
      </c>
      <c r="AJ116" s="139"/>
      <c r="AO116" s="82">
        <v>86302788</v>
      </c>
      <c r="AP116" s="82">
        <v>2026311</v>
      </c>
      <c r="AQ116" s="135">
        <v>0</v>
      </c>
      <c r="AR116" s="135">
        <v>23152101</v>
      </c>
      <c r="AS116" s="135">
        <v>1273718</v>
      </c>
      <c r="AT116" s="135">
        <v>139206729</v>
      </c>
      <c r="AU116" s="135">
        <v>22277478</v>
      </c>
      <c r="AV116" s="135">
        <v>24288491</v>
      </c>
      <c r="AW116" s="135">
        <v>7725518</v>
      </c>
      <c r="AX116" s="135">
        <v>299966</v>
      </c>
      <c r="AY116" s="135">
        <v>0</v>
      </c>
      <c r="AZ116" s="135">
        <v>250863</v>
      </c>
      <c r="BA116" s="135">
        <v>12989</v>
      </c>
      <c r="BB116" s="135">
        <v>1249</v>
      </c>
      <c r="BC116" s="135">
        <v>128900</v>
      </c>
      <c r="BH116" s="82">
        <v>6455790.5</v>
      </c>
      <c r="BI116" s="82">
        <v>3227895.25</v>
      </c>
      <c r="BJ116" s="117">
        <v>0</v>
      </c>
      <c r="BK116" s="118">
        <v>0</v>
      </c>
      <c r="BL116" s="118">
        <v>0</v>
      </c>
      <c r="BM116" s="117">
        <v>3366907</v>
      </c>
      <c r="BN116" s="117">
        <v>3366907</v>
      </c>
      <c r="BO116" s="117">
        <v>27315159</v>
      </c>
      <c r="BP116" s="117">
        <v>26424402</v>
      </c>
      <c r="BQ116" s="117">
        <v>0</v>
      </c>
      <c r="BR116" s="117">
        <v>0</v>
      </c>
      <c r="BS116" s="138"/>
      <c r="BT116" s="86">
        <v>749264816.25</v>
      </c>
      <c r="BU116" s="86">
        <v>627916513</v>
      </c>
      <c r="BV116" s="87">
        <v>639500</v>
      </c>
      <c r="BX116" s="135">
        <v>3926</v>
      </c>
      <c r="BY116" s="135">
        <v>2659</v>
      </c>
      <c r="BZ116" s="135">
        <v>288</v>
      </c>
      <c r="CA116" s="135">
        <f t="shared" si="14"/>
        <v>6873</v>
      </c>
      <c r="CB116" s="86">
        <v>581213216</v>
      </c>
      <c r="CC116" s="82">
        <f t="shared" si="13"/>
        <v>86302788</v>
      </c>
      <c r="CD116" s="82">
        <f t="shared" si="13"/>
        <v>2026311</v>
      </c>
      <c r="CE116" s="86">
        <f t="shared" si="10"/>
        <v>54428815</v>
      </c>
      <c r="CF116" s="86">
        <f t="shared" si="11"/>
        <v>723971130</v>
      </c>
    </row>
    <row r="117" spans="1:110" x14ac:dyDescent="0.25">
      <c r="A117" s="91" t="s">
        <v>171</v>
      </c>
      <c r="B117" s="135">
        <v>500867196</v>
      </c>
      <c r="C117" s="135">
        <v>136252604</v>
      </c>
      <c r="D117" s="135">
        <v>125931037</v>
      </c>
      <c r="E117" s="135">
        <v>0</v>
      </c>
      <c r="F117" s="135">
        <v>67901967</v>
      </c>
      <c r="G117" s="135">
        <v>14593540</v>
      </c>
      <c r="H117" s="135">
        <v>17130745</v>
      </c>
      <c r="I117" s="135">
        <v>1885747</v>
      </c>
      <c r="J117" s="135">
        <v>117900</v>
      </c>
      <c r="K117" s="135">
        <v>25000</v>
      </c>
      <c r="L117" s="135">
        <v>292872731</v>
      </c>
      <c r="M117" s="135">
        <v>85099383</v>
      </c>
      <c r="N117" s="135">
        <v>2441</v>
      </c>
      <c r="O117" s="135">
        <v>533</v>
      </c>
      <c r="P117" s="135">
        <v>6161696</v>
      </c>
      <c r="Q117" s="135">
        <v>2732100</v>
      </c>
      <c r="R117" s="135">
        <v>4423626</v>
      </c>
      <c r="S117" s="135">
        <v>3783568</v>
      </c>
      <c r="T117" s="135">
        <v>312159</v>
      </c>
      <c r="U117" s="135">
        <v>1260928</v>
      </c>
      <c r="V117" s="135">
        <v>6161696</v>
      </c>
      <c r="W117" s="135">
        <v>2732100</v>
      </c>
      <c r="X117" s="135">
        <v>4423626</v>
      </c>
      <c r="Y117" s="135">
        <v>3783568</v>
      </c>
      <c r="Z117" s="135">
        <v>359788</v>
      </c>
      <c r="AA117" s="135">
        <v>1260928</v>
      </c>
      <c r="AB117" s="135">
        <v>-1348628</v>
      </c>
      <c r="AC117" s="135">
        <v>-456872</v>
      </c>
      <c r="AD117" s="135">
        <v>174681</v>
      </c>
      <c r="AE117" s="135">
        <v>8210</v>
      </c>
      <c r="AF117" s="135">
        <v>10725011</v>
      </c>
      <c r="AG117" s="135">
        <v>243678</v>
      </c>
      <c r="AH117" s="135">
        <v>208738</v>
      </c>
      <c r="AI117" s="135">
        <v>103525</v>
      </c>
      <c r="AJ117" s="139"/>
      <c r="AO117" s="82">
        <v>110608369</v>
      </c>
      <c r="AP117" s="82">
        <v>15514267</v>
      </c>
      <c r="AQ117" s="135">
        <v>11507197</v>
      </c>
      <c r="AR117" s="135">
        <v>20447676</v>
      </c>
      <c r="AS117" s="135">
        <v>470034</v>
      </c>
      <c r="AT117" s="135">
        <v>19237443</v>
      </c>
      <c r="AU117" s="135">
        <v>21341180</v>
      </c>
      <c r="AV117" s="135">
        <v>19744060</v>
      </c>
      <c r="AW117" s="135">
        <v>0</v>
      </c>
      <c r="AX117" s="135">
        <v>10752072</v>
      </c>
      <c r="AY117" s="135">
        <v>0</v>
      </c>
      <c r="AZ117" s="135">
        <v>115938</v>
      </c>
      <c r="BA117" s="135">
        <v>0</v>
      </c>
      <c r="BB117" s="135">
        <v>0</v>
      </c>
      <c r="BC117" s="135">
        <v>207738</v>
      </c>
      <c r="BH117" s="82">
        <v>8273944.2699999996</v>
      </c>
      <c r="BI117" s="82">
        <v>4136972.14</v>
      </c>
      <c r="BJ117" s="117">
        <v>0</v>
      </c>
      <c r="BK117" s="118">
        <v>0</v>
      </c>
      <c r="BL117" s="118">
        <v>0</v>
      </c>
      <c r="BM117" s="117">
        <v>1338615</v>
      </c>
      <c r="BN117" s="117">
        <v>1338615</v>
      </c>
      <c r="BO117" s="117">
        <v>36413814</v>
      </c>
      <c r="BP117" s="117">
        <v>35150568</v>
      </c>
      <c r="BQ117" s="117">
        <v>0</v>
      </c>
      <c r="BR117" s="117">
        <v>0</v>
      </c>
      <c r="BS117" s="138"/>
      <c r="BT117" s="86">
        <v>972370781.13999999</v>
      </c>
      <c r="BU117" s="86">
        <v>805621990</v>
      </c>
      <c r="BV117" s="87">
        <v>798000</v>
      </c>
      <c r="BX117" s="135">
        <v>11332</v>
      </c>
      <c r="BY117" s="135">
        <v>3162</v>
      </c>
      <c r="BZ117" s="135">
        <v>591</v>
      </c>
      <c r="CA117" s="135">
        <f t="shared" si="14"/>
        <v>15085</v>
      </c>
      <c r="CB117" s="86">
        <v>763050837</v>
      </c>
      <c r="CC117" s="82">
        <f t="shared" si="13"/>
        <v>110608369</v>
      </c>
      <c r="CD117" s="82">
        <f t="shared" si="13"/>
        <v>15514267</v>
      </c>
      <c r="CE117" s="86">
        <f t="shared" si="10"/>
        <v>42258890</v>
      </c>
      <c r="CF117" s="86">
        <f t="shared" si="11"/>
        <v>931432363</v>
      </c>
    </row>
    <row r="118" spans="1:110" x14ac:dyDescent="0.25">
      <c r="A118" s="91" t="s">
        <v>172</v>
      </c>
      <c r="B118" s="135">
        <v>231776709</v>
      </c>
      <c r="C118" s="135">
        <v>173008142</v>
      </c>
      <c r="D118" s="135">
        <v>60761032</v>
      </c>
      <c r="E118" s="135">
        <v>17280000</v>
      </c>
      <c r="F118" s="135">
        <v>40470329</v>
      </c>
      <c r="G118" s="135">
        <v>6125900</v>
      </c>
      <c r="H118" s="135">
        <v>9042323</v>
      </c>
      <c r="I118" s="135">
        <v>817675</v>
      </c>
      <c r="J118" s="135">
        <v>48433</v>
      </c>
      <c r="K118" s="135">
        <v>0</v>
      </c>
      <c r="L118" s="135">
        <v>586350938</v>
      </c>
      <c r="M118" s="135">
        <v>70476890</v>
      </c>
      <c r="N118" s="135">
        <v>1428</v>
      </c>
      <c r="O118" s="135">
        <v>238</v>
      </c>
      <c r="P118" s="135">
        <v>1264900</v>
      </c>
      <c r="Q118" s="135">
        <v>839800</v>
      </c>
      <c r="R118" s="135">
        <v>0</v>
      </c>
      <c r="S118" s="135">
        <v>260800</v>
      </c>
      <c r="T118" s="135">
        <v>55400</v>
      </c>
      <c r="U118" s="135">
        <v>2500</v>
      </c>
      <c r="V118" s="135">
        <v>1264900</v>
      </c>
      <c r="W118" s="135">
        <v>839800</v>
      </c>
      <c r="X118" s="135">
        <v>0</v>
      </c>
      <c r="Y118" s="135">
        <v>260800</v>
      </c>
      <c r="Z118" s="135">
        <v>55400</v>
      </c>
      <c r="AA118" s="135">
        <v>2500</v>
      </c>
      <c r="AB118" s="135">
        <v>-715442</v>
      </c>
      <c r="AC118" s="135">
        <v>-8244</v>
      </c>
      <c r="AD118" s="135">
        <v>60023</v>
      </c>
      <c r="AE118" s="135">
        <v>12024</v>
      </c>
      <c r="AF118" s="135">
        <v>5750642</v>
      </c>
      <c r="AG118" s="135">
        <v>197739</v>
      </c>
      <c r="AH118" s="135">
        <v>12332040.98</v>
      </c>
      <c r="AI118" s="135">
        <v>0</v>
      </c>
      <c r="AJ118" s="139">
        <v>25000</v>
      </c>
      <c r="AO118" s="82">
        <v>110062073</v>
      </c>
      <c r="AP118" s="82">
        <v>4424174</v>
      </c>
      <c r="AQ118" s="135">
        <v>18771</v>
      </c>
      <c r="AR118" s="135">
        <v>25007102</v>
      </c>
      <c r="AS118" s="135">
        <v>421605</v>
      </c>
      <c r="AT118" s="135">
        <v>8321671</v>
      </c>
      <c r="AU118" s="135">
        <v>12088798</v>
      </c>
      <c r="AV118" s="135">
        <v>9716701</v>
      </c>
      <c r="AW118" s="135">
        <v>0</v>
      </c>
      <c r="AX118" s="135">
        <v>4471919</v>
      </c>
      <c r="AY118" s="135">
        <v>0</v>
      </c>
      <c r="AZ118" s="135">
        <v>0</v>
      </c>
      <c r="BA118" s="135">
        <v>3428972</v>
      </c>
      <c r="BB118" s="135">
        <v>796604</v>
      </c>
      <c r="BC118" s="135">
        <v>22500</v>
      </c>
      <c r="BH118" s="82">
        <v>8233079.1600000001</v>
      </c>
      <c r="BI118" s="82">
        <v>4116539.58</v>
      </c>
      <c r="BJ118" s="117">
        <v>3068652.8497409332</v>
      </c>
      <c r="BK118" s="118">
        <v>1492729</v>
      </c>
      <c r="BL118" s="118">
        <v>2985457</v>
      </c>
      <c r="BM118" s="117">
        <v>34585942</v>
      </c>
      <c r="BN118" s="117">
        <v>34417873</v>
      </c>
      <c r="BO118" s="117">
        <v>83232625</v>
      </c>
      <c r="BP118" s="117">
        <v>81107351</v>
      </c>
      <c r="BQ118" s="117">
        <v>0</v>
      </c>
      <c r="BR118" s="117">
        <v>0</v>
      </c>
      <c r="BS118" s="138"/>
      <c r="BT118" s="86">
        <v>751041168.56000006</v>
      </c>
      <c r="BU118" s="86">
        <v>515420428.98000002</v>
      </c>
      <c r="BV118" s="87">
        <v>1821250</v>
      </c>
      <c r="BX118" s="135">
        <v>7389</v>
      </c>
      <c r="BY118" s="135">
        <v>2932</v>
      </c>
      <c r="BZ118" s="135">
        <v>592</v>
      </c>
      <c r="CA118" s="135">
        <f t="shared" si="14"/>
        <v>10913</v>
      </c>
      <c r="CB118" s="86">
        <v>465545883</v>
      </c>
      <c r="CC118" s="82">
        <f t="shared" si="13"/>
        <v>110062073</v>
      </c>
      <c r="CD118" s="82">
        <f t="shared" si="13"/>
        <v>4424174</v>
      </c>
      <c r="CE118" s="86">
        <f t="shared" si="10"/>
        <v>37517505</v>
      </c>
      <c r="CF118" s="86">
        <f t="shared" si="11"/>
        <v>617549635</v>
      </c>
    </row>
    <row r="119" spans="1:110" x14ac:dyDescent="0.25">
      <c r="A119" s="91" t="s">
        <v>173</v>
      </c>
      <c r="B119" s="135">
        <v>756409044</v>
      </c>
      <c r="C119" s="135">
        <v>149358924</v>
      </c>
      <c r="D119" s="135">
        <v>230795610</v>
      </c>
      <c r="E119" s="135">
        <v>2100000</v>
      </c>
      <c r="F119" s="135">
        <v>95455935</v>
      </c>
      <c r="G119" s="135">
        <v>33915447</v>
      </c>
      <c r="H119" s="135">
        <v>16962420</v>
      </c>
      <c r="I119" s="135">
        <v>3350337</v>
      </c>
      <c r="J119" s="135">
        <v>127900</v>
      </c>
      <c r="K119" s="135">
        <v>39300</v>
      </c>
      <c r="L119" s="135">
        <v>564549024</v>
      </c>
      <c r="M119" s="135">
        <v>65319455</v>
      </c>
      <c r="N119" s="135">
        <v>3382</v>
      </c>
      <c r="O119" s="135">
        <v>1213</v>
      </c>
      <c r="P119" s="135">
        <v>2519320</v>
      </c>
      <c r="Q119" s="135">
        <v>131100</v>
      </c>
      <c r="R119" s="135">
        <v>0</v>
      </c>
      <c r="S119" s="135">
        <v>6280547</v>
      </c>
      <c r="T119" s="135">
        <v>2071635</v>
      </c>
      <c r="U119" s="135">
        <v>8122386</v>
      </c>
      <c r="V119" s="135">
        <v>2519320</v>
      </c>
      <c r="W119" s="135">
        <v>334300</v>
      </c>
      <c r="X119" s="135">
        <v>0</v>
      </c>
      <c r="Y119" s="135">
        <v>6280547</v>
      </c>
      <c r="Z119" s="135">
        <v>8407800</v>
      </c>
      <c r="AA119" s="135">
        <v>8122386</v>
      </c>
      <c r="AB119" s="135">
        <v>-7169764</v>
      </c>
      <c r="AC119" s="135">
        <v>4040145</v>
      </c>
      <c r="AD119" s="135">
        <v>201015</v>
      </c>
      <c r="AE119" s="135">
        <v>0</v>
      </c>
      <c r="AF119" s="135">
        <v>0</v>
      </c>
      <c r="AG119" s="135">
        <v>203311</v>
      </c>
      <c r="AH119" s="135">
        <v>1349381.15</v>
      </c>
      <c r="AI119" s="135">
        <v>6615172</v>
      </c>
      <c r="AJ119" s="139">
        <v>3000000</v>
      </c>
      <c r="AO119" s="82">
        <v>227637080</v>
      </c>
      <c r="AP119" s="82">
        <v>8729397</v>
      </c>
      <c r="AQ119" s="135">
        <v>2477427</v>
      </c>
      <c r="AR119" s="135">
        <v>53754140</v>
      </c>
      <c r="AS119" s="135">
        <v>2127617</v>
      </c>
      <c r="AT119" s="135">
        <v>62045962</v>
      </c>
      <c r="AU119" s="135">
        <v>67278625</v>
      </c>
      <c r="AV119" s="135">
        <v>24282660</v>
      </c>
      <c r="AW119" s="135">
        <v>6163704</v>
      </c>
      <c r="AX119" s="135">
        <v>408780</v>
      </c>
      <c r="AY119" s="135">
        <v>0</v>
      </c>
      <c r="AZ119" s="135">
        <v>0</v>
      </c>
      <c r="BA119" s="135">
        <v>0</v>
      </c>
      <c r="BB119" s="135">
        <v>14885</v>
      </c>
      <c r="BC119" s="135">
        <v>5500</v>
      </c>
      <c r="BH119" s="82">
        <v>17028155.559999999</v>
      </c>
      <c r="BI119" s="82">
        <v>8514077.7799999993</v>
      </c>
      <c r="BJ119" s="117">
        <v>0</v>
      </c>
      <c r="BK119" s="118">
        <v>14578885</v>
      </c>
      <c r="BL119" s="118">
        <v>29157771</v>
      </c>
      <c r="BM119" s="117">
        <v>55632409</v>
      </c>
      <c r="BN119" s="117">
        <v>55632409</v>
      </c>
      <c r="BO119" s="117">
        <v>72541430</v>
      </c>
      <c r="BP119" s="117">
        <v>64179483</v>
      </c>
      <c r="BQ119" s="117">
        <v>0</v>
      </c>
      <c r="BR119" s="117">
        <v>0</v>
      </c>
      <c r="BS119" s="138"/>
      <c r="BT119" s="86">
        <v>1649959844.9300001</v>
      </c>
      <c r="BU119" s="86">
        <v>1270688513.1500001</v>
      </c>
      <c r="BV119" s="87">
        <v>1362180</v>
      </c>
      <c r="BX119" s="135">
        <v>18769</v>
      </c>
      <c r="BY119" s="135">
        <v>3568</v>
      </c>
      <c r="BZ119" s="135">
        <v>932</v>
      </c>
      <c r="CA119" s="135">
        <f t="shared" si="14"/>
        <v>23269</v>
      </c>
      <c r="CB119" s="86">
        <v>1136563578</v>
      </c>
      <c r="CC119" s="82">
        <f t="shared" si="13"/>
        <v>227637080</v>
      </c>
      <c r="CD119" s="82">
        <f t="shared" si="13"/>
        <v>8729397</v>
      </c>
      <c r="CE119" s="86">
        <f t="shared" si="10"/>
        <v>129324086</v>
      </c>
      <c r="CF119" s="86">
        <f t="shared" si="11"/>
        <v>1502254141</v>
      </c>
    </row>
    <row r="120" spans="1:110" x14ac:dyDescent="0.25">
      <c r="A120" s="111" t="s">
        <v>174</v>
      </c>
      <c r="B120" s="135">
        <v>67412150</v>
      </c>
      <c r="C120" s="135">
        <v>65908850</v>
      </c>
      <c r="D120" s="135">
        <v>37143700</v>
      </c>
      <c r="E120" s="135">
        <v>0</v>
      </c>
      <c r="F120" s="135">
        <v>14027300</v>
      </c>
      <c r="G120" s="135">
        <v>7215600</v>
      </c>
      <c r="H120" s="135">
        <v>11223400</v>
      </c>
      <c r="I120" s="135">
        <v>3297200</v>
      </c>
      <c r="J120" s="135">
        <v>39300</v>
      </c>
      <c r="K120" s="135">
        <v>0</v>
      </c>
      <c r="L120" s="135">
        <v>71322607</v>
      </c>
      <c r="M120" s="135">
        <v>0</v>
      </c>
      <c r="N120" s="135">
        <v>768</v>
      </c>
      <c r="O120" s="135">
        <v>367</v>
      </c>
      <c r="P120" s="135">
        <v>765500</v>
      </c>
      <c r="Q120" s="135">
        <v>654000</v>
      </c>
      <c r="R120" s="135">
        <v>75000</v>
      </c>
      <c r="S120" s="135">
        <v>633000</v>
      </c>
      <c r="T120" s="135">
        <v>365000</v>
      </c>
      <c r="U120" s="135">
        <v>175000</v>
      </c>
      <c r="V120" s="135">
        <v>765500</v>
      </c>
      <c r="W120" s="135">
        <v>780000</v>
      </c>
      <c r="X120" s="135">
        <v>75000</v>
      </c>
      <c r="Y120" s="135">
        <v>633000</v>
      </c>
      <c r="Z120" s="135">
        <v>425000</v>
      </c>
      <c r="AA120" s="135">
        <v>175000</v>
      </c>
      <c r="AB120" s="135">
        <v>-1343900</v>
      </c>
      <c r="AC120" s="135">
        <v>0</v>
      </c>
      <c r="AD120" s="135">
        <v>87500</v>
      </c>
      <c r="AE120" s="135">
        <v>0</v>
      </c>
      <c r="AF120" s="135">
        <v>0</v>
      </c>
      <c r="AG120" s="135">
        <v>115755</v>
      </c>
      <c r="AH120" s="135">
        <v>7012000</v>
      </c>
      <c r="AI120" s="135">
        <v>178434.42622950822</v>
      </c>
      <c r="AJ120" s="139">
        <v>0</v>
      </c>
      <c r="AO120" s="82">
        <v>45536440</v>
      </c>
      <c r="AP120" s="82">
        <v>644904</v>
      </c>
      <c r="AQ120" s="135">
        <v>0</v>
      </c>
      <c r="AR120" s="135">
        <v>3774620</v>
      </c>
      <c r="AS120" s="135">
        <v>161696</v>
      </c>
      <c r="AT120" s="135">
        <v>355774</v>
      </c>
      <c r="AU120" s="135">
        <v>10377037</v>
      </c>
      <c r="AV120" s="135">
        <v>8150389</v>
      </c>
      <c r="AW120" s="135">
        <v>0</v>
      </c>
      <c r="AX120" s="135">
        <v>0</v>
      </c>
      <c r="AY120" s="135">
        <v>0</v>
      </c>
      <c r="AZ120" s="135">
        <v>0</v>
      </c>
      <c r="BA120" s="135">
        <v>0</v>
      </c>
      <c r="BB120" s="135">
        <v>0</v>
      </c>
      <c r="BC120" s="135">
        <v>0</v>
      </c>
      <c r="BH120" s="82">
        <v>3406306.14</v>
      </c>
      <c r="BI120" s="82">
        <v>1703153.07</v>
      </c>
      <c r="BJ120" s="117">
        <v>0</v>
      </c>
      <c r="BK120" s="118">
        <v>0</v>
      </c>
      <c r="BL120" s="118">
        <v>0</v>
      </c>
      <c r="BM120" s="117">
        <v>520824</v>
      </c>
      <c r="BN120" s="117">
        <v>520824</v>
      </c>
      <c r="BO120" s="117">
        <v>26468302</v>
      </c>
      <c r="BP120" s="117">
        <v>26465421</v>
      </c>
      <c r="BQ120" s="117">
        <v>0</v>
      </c>
      <c r="BR120" s="117">
        <v>0</v>
      </c>
      <c r="BS120" s="138"/>
      <c r="BT120" s="86">
        <v>266839229.4962295</v>
      </c>
      <c r="BU120" s="86">
        <v>191968487.42622951</v>
      </c>
      <c r="BV120" s="87">
        <v>362000</v>
      </c>
      <c r="BX120" s="135">
        <v>2554</v>
      </c>
      <c r="BY120" s="135">
        <v>1816</v>
      </c>
      <c r="BZ120" s="135">
        <v>200</v>
      </c>
      <c r="CA120" s="135">
        <f t="shared" si="14"/>
        <v>4570</v>
      </c>
      <c r="CB120" s="86">
        <v>170464700</v>
      </c>
      <c r="CC120" s="82">
        <f t="shared" si="13"/>
        <v>45536440</v>
      </c>
      <c r="CD120" s="82">
        <f t="shared" si="13"/>
        <v>644904</v>
      </c>
      <c r="CE120" s="86">
        <f t="shared" si="10"/>
        <v>14313353</v>
      </c>
      <c r="CF120" s="86">
        <f t="shared" si="11"/>
        <v>230959397</v>
      </c>
    </row>
    <row r="121" spans="1:110" ht="15.75" thickBot="1" x14ac:dyDescent="0.3">
      <c r="A121" s="104" t="s">
        <v>175</v>
      </c>
      <c r="B121" s="142">
        <v>1602829575</v>
      </c>
      <c r="C121" s="142">
        <v>540982430</v>
      </c>
      <c r="D121" s="142">
        <v>333460595</v>
      </c>
      <c r="E121" s="142">
        <v>15829900</v>
      </c>
      <c r="F121" s="142">
        <v>91446600</v>
      </c>
      <c r="G121" s="142">
        <v>7795500</v>
      </c>
      <c r="H121" s="142">
        <v>11076200</v>
      </c>
      <c r="I121" s="142">
        <v>314400</v>
      </c>
      <c r="J121" s="142">
        <v>78600</v>
      </c>
      <c r="K121" s="142">
        <v>39300</v>
      </c>
      <c r="L121" s="142">
        <v>845975280</v>
      </c>
      <c r="M121" s="142">
        <v>277922500</v>
      </c>
      <c r="N121" s="142">
        <v>2626</v>
      </c>
      <c r="O121" s="142">
        <v>210</v>
      </c>
      <c r="P121" s="142">
        <v>20350600</v>
      </c>
      <c r="Q121" s="142">
        <v>4799900</v>
      </c>
      <c r="R121" s="142">
        <v>1414000</v>
      </c>
      <c r="S121" s="142">
        <v>65000</v>
      </c>
      <c r="T121" s="142">
        <v>227000</v>
      </c>
      <c r="U121" s="142">
        <v>160000</v>
      </c>
      <c r="V121" s="142">
        <v>20350600</v>
      </c>
      <c r="W121" s="142">
        <v>4799900</v>
      </c>
      <c r="X121" s="142">
        <v>1414000</v>
      </c>
      <c r="Y121" s="142">
        <v>65000</v>
      </c>
      <c r="Z121" s="142">
        <v>227000</v>
      </c>
      <c r="AA121" s="142">
        <v>160000</v>
      </c>
      <c r="AB121" s="142">
        <v>-2130200</v>
      </c>
      <c r="AC121" s="142">
        <v>-9988339</v>
      </c>
      <c r="AD121" s="142">
        <v>0</v>
      </c>
      <c r="AE121" s="142">
        <v>0</v>
      </c>
      <c r="AF121" s="142">
        <v>0</v>
      </c>
      <c r="AG121" s="142">
        <v>105491</v>
      </c>
      <c r="AH121" s="142"/>
      <c r="AI121" s="142">
        <v>0</v>
      </c>
      <c r="AJ121" s="142">
        <v>0</v>
      </c>
      <c r="AK121" s="142"/>
      <c r="AL121" s="142"/>
      <c r="AM121" s="142"/>
      <c r="AN121" s="142"/>
      <c r="AO121" s="101">
        <v>241397685</v>
      </c>
      <c r="AP121" s="101">
        <v>7171408</v>
      </c>
      <c r="AQ121" s="142">
        <v>0</v>
      </c>
      <c r="AR121" s="142">
        <v>46029470</v>
      </c>
      <c r="AS121" s="142">
        <v>9243881</v>
      </c>
      <c r="AT121" s="142">
        <v>247378795</v>
      </c>
      <c r="AU121" s="142">
        <v>30244498</v>
      </c>
      <c r="AV121" s="142">
        <v>46964003</v>
      </c>
      <c r="AW121" s="142">
        <v>72390181</v>
      </c>
      <c r="AX121" s="142">
        <f>159920836+250</f>
        <v>159921086</v>
      </c>
      <c r="AY121" s="142">
        <v>0</v>
      </c>
      <c r="AZ121" s="142">
        <v>0</v>
      </c>
      <c r="BA121" s="142">
        <v>4058243</v>
      </c>
      <c r="BB121" s="142">
        <v>823213</v>
      </c>
      <c r="BC121" s="142">
        <v>23400</v>
      </c>
      <c r="BD121" s="142"/>
      <c r="BE121" s="142"/>
      <c r="BF121" s="142"/>
      <c r="BG121" s="142"/>
      <c r="BH121" s="101">
        <v>18057503.34</v>
      </c>
      <c r="BI121" s="101">
        <v>9028751.6699999999</v>
      </c>
      <c r="BJ121" s="125">
        <v>0</v>
      </c>
      <c r="BK121" s="126">
        <v>1191705</v>
      </c>
      <c r="BL121" s="126">
        <v>2383409</v>
      </c>
      <c r="BM121" s="127">
        <v>21017319</v>
      </c>
      <c r="BN121" s="125">
        <v>20637696</v>
      </c>
      <c r="BO121" s="125">
        <v>56969996</v>
      </c>
      <c r="BP121" s="125">
        <v>55495254</v>
      </c>
      <c r="BQ121" s="125">
        <v>160760839</v>
      </c>
      <c r="BR121" s="125">
        <v>0</v>
      </c>
      <c r="BS121" s="143"/>
      <c r="BT121" s="106">
        <v>3058473787.6700001</v>
      </c>
      <c r="BU121" s="106">
        <v>2562790449</v>
      </c>
      <c r="BV121" s="107">
        <v>1934445</v>
      </c>
      <c r="BW121" s="108"/>
      <c r="BX121" s="142">
        <v>9514</v>
      </c>
      <c r="BY121" s="142">
        <v>1513</v>
      </c>
      <c r="BZ121" s="142">
        <v>562</v>
      </c>
      <c r="CA121" s="135">
        <f t="shared" si="14"/>
        <v>11589</v>
      </c>
      <c r="CB121" s="86">
        <v>2477272600</v>
      </c>
      <c r="CC121" s="82">
        <f t="shared" si="13"/>
        <v>241397685</v>
      </c>
      <c r="CD121" s="82">
        <f t="shared" si="13"/>
        <v>7171408</v>
      </c>
      <c r="CE121" s="86">
        <f t="shared" si="10"/>
        <v>157908030</v>
      </c>
      <c r="CF121" s="86">
        <f t="shared" si="11"/>
        <v>2883749723</v>
      </c>
    </row>
    <row r="122" spans="1:110" ht="15.75" thickTop="1" x14ac:dyDescent="0.25">
      <c r="A122" s="129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K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109"/>
      <c r="BI122" s="109"/>
      <c r="BJ122" s="140"/>
      <c r="BM122" s="110"/>
      <c r="BN122" s="110"/>
      <c r="BO122" s="110"/>
      <c r="BP122" s="110"/>
      <c r="BQ122" s="140"/>
      <c r="BR122" s="140"/>
    </row>
    <row r="123" spans="1:110" x14ac:dyDescent="0.25">
      <c r="A123" s="129" t="s">
        <v>332</v>
      </c>
      <c r="B123" s="144">
        <v>181449557406</v>
      </c>
      <c r="C123" s="135">
        <v>22284146790</v>
      </c>
      <c r="D123" s="144">
        <v>76482474263</v>
      </c>
      <c r="E123" s="144"/>
      <c r="F123" s="144">
        <f t="shared" ref="F123:BG123" si="15">SUM(F2:F121)</f>
        <v>12630950487</v>
      </c>
      <c r="G123" s="144">
        <f t="shared" si="15"/>
        <v>2335194313</v>
      </c>
      <c r="H123" s="144">
        <f t="shared" si="15"/>
        <v>1755180513</v>
      </c>
      <c r="I123" s="144">
        <f t="shared" si="15"/>
        <v>302142264</v>
      </c>
      <c r="J123" s="144">
        <f t="shared" si="15"/>
        <v>26694075</v>
      </c>
      <c r="K123" s="144">
        <f t="shared" si="15"/>
        <v>3824030</v>
      </c>
      <c r="L123" s="144">
        <f t="shared" si="15"/>
        <v>42044405021</v>
      </c>
      <c r="M123" s="144">
        <f t="shared" si="15"/>
        <v>14999539210</v>
      </c>
      <c r="N123" s="144">
        <f t="shared" si="15"/>
        <v>383912</v>
      </c>
      <c r="O123" s="144">
        <f t="shared" si="15"/>
        <v>79347</v>
      </c>
      <c r="P123" s="144">
        <f t="shared" si="15"/>
        <v>2859329457</v>
      </c>
      <c r="Q123" s="144">
        <f t="shared" si="15"/>
        <v>472563971</v>
      </c>
      <c r="R123" s="144">
        <f t="shared" si="15"/>
        <v>2630864701</v>
      </c>
      <c r="S123" s="144">
        <f t="shared" si="15"/>
        <v>789211664</v>
      </c>
      <c r="T123" s="144">
        <f t="shared" si="15"/>
        <v>241514931</v>
      </c>
      <c r="U123" s="144">
        <f t="shared" si="15"/>
        <v>748858234</v>
      </c>
      <c r="V123" s="144">
        <f t="shared" si="15"/>
        <v>2859419414</v>
      </c>
      <c r="W123" s="144">
        <f t="shared" si="15"/>
        <v>547624106</v>
      </c>
      <c r="X123" s="144">
        <f t="shared" si="15"/>
        <v>2630814701</v>
      </c>
      <c r="Y123" s="144">
        <f t="shared" si="15"/>
        <v>785392684</v>
      </c>
      <c r="Z123" s="144">
        <f t="shared" si="15"/>
        <v>477304847</v>
      </c>
      <c r="AA123" s="144">
        <f t="shared" si="15"/>
        <v>748898534</v>
      </c>
      <c r="AB123" s="144">
        <f t="shared" si="15"/>
        <v>-449537214</v>
      </c>
      <c r="AC123" s="144">
        <f t="shared" si="15"/>
        <v>-484074868</v>
      </c>
      <c r="AD123" s="144">
        <f t="shared" si="15"/>
        <v>7918209</v>
      </c>
      <c r="AE123" s="144">
        <f t="shared" si="15"/>
        <v>8367970</v>
      </c>
      <c r="AF123" s="144">
        <f t="shared" si="15"/>
        <v>2473293395</v>
      </c>
      <c r="AG123" s="144">
        <f t="shared" si="15"/>
        <v>97839268.575000018</v>
      </c>
      <c r="AH123" s="144">
        <f t="shared" si="15"/>
        <v>237334603.01295081</v>
      </c>
      <c r="AI123" s="144">
        <f t="shared" si="15"/>
        <v>489673268.87196726</v>
      </c>
      <c r="AJ123" s="144">
        <f t="shared" si="15"/>
        <v>255560500</v>
      </c>
      <c r="AK123" s="144">
        <f t="shared" si="15"/>
        <v>0</v>
      </c>
      <c r="AL123" s="144">
        <f t="shared" si="15"/>
        <v>0</v>
      </c>
      <c r="AM123" s="144">
        <f t="shared" si="15"/>
        <v>0</v>
      </c>
      <c r="AN123" s="144">
        <f t="shared" si="15"/>
        <v>0</v>
      </c>
      <c r="AO123" s="144">
        <f t="shared" si="15"/>
        <v>32837292238</v>
      </c>
      <c r="AP123" s="144">
        <f t="shared" si="15"/>
        <v>1084429987</v>
      </c>
      <c r="AQ123" s="144">
        <f t="shared" si="15"/>
        <v>95317849</v>
      </c>
      <c r="AR123" s="144">
        <f t="shared" si="15"/>
        <v>11748294953</v>
      </c>
      <c r="AS123" s="144">
        <f t="shared" si="15"/>
        <v>1197369066</v>
      </c>
      <c r="AT123" s="144">
        <f t="shared" si="15"/>
        <v>23841970726</v>
      </c>
      <c r="AU123" s="144">
        <f t="shared" si="15"/>
        <v>10412487746</v>
      </c>
      <c r="AV123" s="144">
        <f t="shared" si="15"/>
        <v>10420981326</v>
      </c>
      <c r="AW123" s="144">
        <f t="shared" si="15"/>
        <v>16240533250</v>
      </c>
      <c r="AX123" s="144">
        <f t="shared" si="15"/>
        <v>9990728447</v>
      </c>
      <c r="AY123" s="144">
        <f t="shared" si="15"/>
        <v>45239277</v>
      </c>
      <c r="AZ123" s="144">
        <f t="shared" si="15"/>
        <v>21951411</v>
      </c>
      <c r="BA123" s="144">
        <f t="shared" si="15"/>
        <v>1093202442</v>
      </c>
      <c r="BB123" s="144">
        <f t="shared" si="15"/>
        <v>204942048</v>
      </c>
      <c r="BC123" s="144">
        <f t="shared" si="15"/>
        <v>322573627</v>
      </c>
      <c r="BD123" s="144">
        <f t="shared" si="15"/>
        <v>0</v>
      </c>
      <c r="BE123" s="144">
        <f t="shared" si="15"/>
        <v>0</v>
      </c>
      <c r="BF123" s="144">
        <f t="shared" si="15"/>
        <v>0</v>
      </c>
      <c r="BG123" s="144">
        <f t="shared" si="15"/>
        <v>0</v>
      </c>
      <c r="BH123" s="144">
        <f>SUM(BH2:BH121)</f>
        <v>2456344355.2099981</v>
      </c>
      <c r="BI123" s="144">
        <f>SUM(BI2:BI121)</f>
        <v>1228172177.9099994</v>
      </c>
      <c r="BJ123" s="145">
        <f>SUM(BJ2:BJ122)</f>
        <v>1150000000.0000005</v>
      </c>
      <c r="BK123" s="145">
        <f>SUM(BK2:BK121)</f>
        <v>320888543</v>
      </c>
      <c r="BL123" s="145">
        <f>SUM(BL2:BL121)</f>
        <v>641777083</v>
      </c>
      <c r="BM123" s="111">
        <f t="shared" ref="BM123:BS123" si="16">SUM(BM2:BM122)</f>
        <v>6699137484</v>
      </c>
      <c r="BN123" s="111">
        <f t="shared" si="16"/>
        <v>6645149450</v>
      </c>
      <c r="BO123" s="111">
        <f t="shared" si="16"/>
        <v>12933183946</v>
      </c>
      <c r="BP123" s="111">
        <f t="shared" si="16"/>
        <v>11858263363</v>
      </c>
      <c r="BQ123" s="145">
        <f t="shared" si="16"/>
        <v>2253724932</v>
      </c>
      <c r="BR123" s="145">
        <f t="shared" si="16"/>
        <v>215926649</v>
      </c>
      <c r="BS123" s="145">
        <f t="shared" si="16"/>
        <v>0</v>
      </c>
      <c r="BT123" s="112">
        <v>361000745935.79498</v>
      </c>
      <c r="BU123" s="112">
        <v>304556898595.88489</v>
      </c>
      <c r="BV123" s="112">
        <f>SUM(BV2:BV121)</f>
        <v>414705882</v>
      </c>
      <c r="BW123" s="113"/>
      <c r="BX123" s="144">
        <f>SUM(BX2:BX122)</f>
        <v>1810022</v>
      </c>
      <c r="BY123" s="144">
        <f>SUM(BY2:BY122)</f>
        <v>345506</v>
      </c>
      <c r="BZ123" s="144">
        <f>SUM(BZ2:BZ122)</f>
        <v>132525</v>
      </c>
      <c r="CA123" s="144">
        <f>SUM(CA2:CA121)</f>
        <v>2288053</v>
      </c>
    </row>
    <row r="124" spans="1:110" x14ac:dyDescent="0.25">
      <c r="BH124" s="131"/>
    </row>
    <row r="125" spans="1:110" x14ac:dyDescent="0.25">
      <c r="BH125" s="131"/>
    </row>
    <row r="126" spans="1:110" x14ac:dyDescent="0.25">
      <c r="BH126" s="131"/>
    </row>
    <row r="127" spans="1:110" s="135" customFormat="1" x14ac:dyDescent="0.25">
      <c r="A127" s="113"/>
      <c r="BT127" s="88"/>
      <c r="BU127" s="88"/>
      <c r="BV127" s="88"/>
      <c r="BW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</row>
    <row r="128" spans="1:110" s="135" customFormat="1" x14ac:dyDescent="0.25">
      <c r="A128" s="113"/>
      <c r="B128" s="135">
        <v>287843896280.88489</v>
      </c>
      <c r="BT128" s="88"/>
      <c r="BU128" s="88"/>
      <c r="BV128" s="88"/>
      <c r="BW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</row>
    <row r="129" spans="1:110" s="135" customFormat="1" x14ac:dyDescent="0.25">
      <c r="A129" s="113"/>
      <c r="B129" s="135">
        <v>102662567832.91</v>
      </c>
      <c r="P129" s="135">
        <f>P123+Q123+R123-S123-T123-U123</f>
        <v>4183173300</v>
      </c>
      <c r="AI129" s="135">
        <f>AH123+AI123</f>
        <v>727007871.88491809</v>
      </c>
      <c r="BT129" s="88"/>
      <c r="BU129" s="88"/>
      <c r="BV129" s="88"/>
      <c r="BW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  <c r="CZ129" s="88"/>
      <c r="DA129" s="88"/>
      <c r="DB129" s="88"/>
      <c r="DC129" s="88"/>
      <c r="DD129" s="88"/>
      <c r="DE129" s="88"/>
      <c r="DF129" s="88"/>
    </row>
    <row r="130" spans="1:110" s="135" customFormat="1" x14ac:dyDescent="0.25">
      <c r="A130" s="113"/>
      <c r="B130" s="135">
        <v>33921722225</v>
      </c>
      <c r="BT130" s="88"/>
      <c r="BU130" s="88"/>
      <c r="BV130" s="88"/>
      <c r="BW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</row>
    <row r="131" spans="1:110" s="135" customFormat="1" x14ac:dyDescent="0.25">
      <c r="A131" s="113"/>
      <c r="BT131" s="88"/>
      <c r="BU131" s="88"/>
      <c r="BV131" s="88"/>
      <c r="BW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88"/>
      <c r="CV131" s="88"/>
      <c r="CW131" s="88"/>
      <c r="CX131" s="88"/>
      <c r="CY131" s="88"/>
      <c r="CZ131" s="88"/>
      <c r="DA131" s="88"/>
      <c r="DB131" s="88"/>
      <c r="DC131" s="88"/>
      <c r="DD131" s="88"/>
      <c r="DE131" s="88"/>
      <c r="DF131" s="88"/>
    </row>
    <row r="132" spans="1:110" s="135" customFormat="1" x14ac:dyDescent="0.25">
      <c r="A132" s="113"/>
      <c r="BT132" s="88"/>
      <c r="BU132" s="88"/>
      <c r="BV132" s="88"/>
      <c r="BW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88"/>
      <c r="CV132" s="88"/>
      <c r="CW132" s="88"/>
      <c r="CX132" s="88"/>
      <c r="CY132" s="88"/>
      <c r="CZ132" s="88"/>
      <c r="DA132" s="88"/>
      <c r="DB132" s="88"/>
      <c r="DC132" s="88"/>
      <c r="DD132" s="88"/>
      <c r="DE132" s="88"/>
      <c r="DF132" s="88"/>
    </row>
    <row r="133" spans="1:110" s="135" customFormat="1" x14ac:dyDescent="0.25">
      <c r="A133" s="113"/>
      <c r="BT133" s="88"/>
      <c r="BU133" s="88"/>
      <c r="BV133" s="88"/>
      <c r="BW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/>
      <c r="DD133" s="88"/>
      <c r="DE133" s="88"/>
      <c r="DF133" s="88"/>
    </row>
    <row r="134" spans="1:110" s="135" customFormat="1" x14ac:dyDescent="0.25">
      <c r="A134" s="113"/>
      <c r="BT134" s="88"/>
      <c r="BU134" s="88"/>
      <c r="BV134" s="88"/>
      <c r="BW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/>
      <c r="DD134" s="88"/>
      <c r="DE134" s="88"/>
      <c r="DF134" s="88"/>
    </row>
    <row r="135" spans="1:110" s="135" customFormat="1" x14ac:dyDescent="0.25">
      <c r="A135" s="113"/>
      <c r="BT135" s="88"/>
      <c r="BU135" s="88"/>
      <c r="BV135" s="88"/>
      <c r="BW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/>
      <c r="DD135" s="88"/>
      <c r="DE135" s="88"/>
      <c r="DF135" s="88"/>
    </row>
    <row r="136" spans="1:110" s="135" customFormat="1" x14ac:dyDescent="0.25">
      <c r="A136" s="113"/>
      <c r="BT136" s="88"/>
      <c r="BU136" s="88"/>
      <c r="BV136" s="88"/>
      <c r="BW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/>
      <c r="CM136" s="88"/>
      <c r="CN136" s="88"/>
      <c r="CO136" s="88"/>
      <c r="CP136" s="88"/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  <c r="DC136" s="88"/>
      <c r="DD136" s="88"/>
      <c r="DE136" s="88"/>
      <c r="DF136" s="88"/>
    </row>
    <row r="137" spans="1:110" s="135" customFormat="1" x14ac:dyDescent="0.25">
      <c r="A137" s="113"/>
      <c r="BT137" s="88"/>
      <c r="BU137" s="88"/>
      <c r="BV137" s="88"/>
      <c r="BW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CX137" s="88"/>
      <c r="CY137" s="88"/>
      <c r="CZ137" s="88"/>
      <c r="DA137" s="88"/>
      <c r="DB137" s="88"/>
      <c r="DC137" s="88"/>
      <c r="DD137" s="88"/>
      <c r="DE137" s="88"/>
      <c r="DF137" s="88"/>
    </row>
    <row r="138" spans="1:110" s="135" customFormat="1" x14ac:dyDescent="0.25">
      <c r="A138" s="113"/>
      <c r="BT138" s="88"/>
      <c r="BU138" s="88"/>
      <c r="BV138" s="88"/>
      <c r="BW138" s="88"/>
      <c r="CB138" s="88"/>
      <c r="CC138" s="88"/>
      <c r="CD138" s="88"/>
      <c r="CE138" s="88"/>
      <c r="CF138" s="88"/>
      <c r="CG138" s="88"/>
      <c r="CH138" s="88"/>
      <c r="CI138" s="88"/>
      <c r="CJ138" s="88"/>
      <c r="CK138" s="88"/>
      <c r="CL138" s="88"/>
      <c r="CM138" s="88"/>
      <c r="CN138" s="88"/>
      <c r="CO138" s="88"/>
      <c r="CP138" s="88"/>
      <c r="CQ138" s="88"/>
      <c r="CR138" s="88"/>
      <c r="CS138" s="88"/>
      <c r="CT138" s="88"/>
      <c r="CU138" s="88"/>
      <c r="CV138" s="88"/>
      <c r="CW138" s="88"/>
      <c r="CX138" s="88"/>
      <c r="CY138" s="88"/>
      <c r="CZ138" s="88"/>
      <c r="DA138" s="88"/>
      <c r="DB138" s="88"/>
      <c r="DC138" s="88"/>
      <c r="DD138" s="88"/>
      <c r="DE138" s="88"/>
      <c r="DF138" s="88"/>
    </row>
    <row r="139" spans="1:110" s="135" customFormat="1" x14ac:dyDescent="0.25">
      <c r="A139" s="113"/>
      <c r="BT139" s="88"/>
      <c r="BU139" s="88"/>
      <c r="BV139" s="88"/>
      <c r="BW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  <c r="CZ139" s="88"/>
      <c r="DA139" s="88"/>
      <c r="DB139" s="88"/>
      <c r="DC139" s="88"/>
      <c r="DD139" s="88"/>
      <c r="DE139" s="88"/>
      <c r="DF139" s="88"/>
    </row>
    <row r="140" spans="1:110" s="135" customFormat="1" x14ac:dyDescent="0.25">
      <c r="A140" s="113"/>
      <c r="BT140" s="88"/>
      <c r="BU140" s="88"/>
      <c r="BV140" s="88"/>
      <c r="BW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/>
      <c r="CM140" s="88"/>
      <c r="CN140" s="88"/>
      <c r="CO140" s="88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/>
      <c r="DC140" s="88"/>
      <c r="DD140" s="88"/>
      <c r="DE140" s="88"/>
      <c r="DF140" s="88"/>
    </row>
    <row r="141" spans="1:110" s="135" customFormat="1" x14ac:dyDescent="0.25">
      <c r="A141" s="113"/>
      <c r="BT141" s="88"/>
      <c r="BU141" s="88"/>
      <c r="BV141" s="88"/>
      <c r="BW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  <c r="CM141" s="88"/>
      <c r="CN141" s="88"/>
      <c r="CO141" s="88"/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  <c r="CZ141" s="88"/>
      <c r="DA141" s="88"/>
      <c r="DB141" s="88"/>
      <c r="DC141" s="88"/>
      <c r="DD141" s="88"/>
      <c r="DE141" s="88"/>
      <c r="DF141" s="88"/>
    </row>
    <row r="142" spans="1:110" s="135" customFormat="1" x14ac:dyDescent="0.25">
      <c r="A142" s="113"/>
      <c r="BT142" s="88"/>
      <c r="BU142" s="88"/>
      <c r="BV142" s="88"/>
      <c r="BW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88"/>
      <c r="CN142" s="88"/>
      <c r="CO142" s="88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  <c r="CZ142" s="88"/>
      <c r="DA142" s="88"/>
      <c r="DB142" s="88"/>
      <c r="DC142" s="88"/>
      <c r="DD142" s="88"/>
      <c r="DE142" s="88"/>
      <c r="DF142" s="88"/>
    </row>
    <row r="143" spans="1:110" s="135" customFormat="1" x14ac:dyDescent="0.25">
      <c r="A143" s="113"/>
      <c r="BT143" s="88"/>
      <c r="BU143" s="88"/>
      <c r="BV143" s="88"/>
      <c r="BW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/>
      <c r="CM143" s="88"/>
      <c r="CN143" s="88"/>
      <c r="CO143" s="88"/>
      <c r="CP143" s="88"/>
      <c r="CQ143" s="88"/>
      <c r="CR143" s="88"/>
      <c r="CS143" s="88"/>
      <c r="CT143" s="88"/>
      <c r="CU143" s="88"/>
      <c r="CV143" s="88"/>
      <c r="CW143" s="88"/>
      <c r="CX143" s="88"/>
      <c r="CY143" s="88"/>
      <c r="CZ143" s="88"/>
      <c r="DA143" s="88"/>
      <c r="DB143" s="88"/>
      <c r="DC143" s="88"/>
      <c r="DD143" s="88"/>
      <c r="DE143" s="88"/>
      <c r="DF143" s="88"/>
    </row>
    <row r="144" spans="1:110" s="135" customFormat="1" x14ac:dyDescent="0.25">
      <c r="A144" s="113"/>
      <c r="BT144" s="88"/>
      <c r="BU144" s="88"/>
      <c r="BV144" s="88"/>
      <c r="BW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  <c r="CZ144" s="88"/>
      <c r="DA144" s="88"/>
      <c r="DB144" s="88"/>
      <c r="DC144" s="88"/>
      <c r="DD144" s="88"/>
      <c r="DE144" s="88"/>
      <c r="DF144" s="88"/>
    </row>
  </sheetData>
  <pageMargins left="0.75" right="0.75" top="1" bottom="1" header="0.5" footer="0.5"/>
  <pageSetup orientation="landscape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AF6A6-684B-4019-8707-F0E8BC48E615}">
  <dimension ref="A1:DC144"/>
  <sheetViews>
    <sheetView zoomScaleNormal="100" workbookViewId="0">
      <pane xSplit="1" ySplit="1" topLeftCell="BE2" activePane="bottomRight" state="frozen"/>
      <selection pane="topRight" activeCell="B1" sqref="B1"/>
      <selection pane="bottomLeft" activeCell="A4" sqref="A4"/>
      <selection pane="bottomRight" activeCell="BM13" sqref="BM13"/>
    </sheetView>
  </sheetViews>
  <sheetFormatPr defaultColWidth="8.7109375" defaultRowHeight="15" x14ac:dyDescent="0.25"/>
  <cols>
    <col min="1" max="1" width="15.42578125" style="113" customWidth="1"/>
    <col min="2" max="2" width="17.42578125" style="135" customWidth="1"/>
    <col min="3" max="3" width="16" style="135" customWidth="1"/>
    <col min="4" max="4" width="16.42578125" style="135" customWidth="1"/>
    <col min="5" max="5" width="14.85546875" style="135" customWidth="1"/>
    <col min="6" max="6" width="16.42578125" style="135" customWidth="1"/>
    <col min="7" max="8" width="13.85546875" style="135" customWidth="1"/>
    <col min="9" max="9" width="12.85546875" style="135" customWidth="1"/>
    <col min="10" max="11" width="14.28515625" style="135" customWidth="1"/>
    <col min="12" max="12" width="15.28515625" style="135" bestFit="1" customWidth="1"/>
    <col min="13" max="13" width="14.85546875" style="135" customWidth="1"/>
    <col min="14" max="14" width="14.5703125" style="135" customWidth="1"/>
    <col min="15" max="15" width="13.7109375" style="135" customWidth="1"/>
    <col min="16" max="16" width="14.85546875" style="135" customWidth="1"/>
    <col min="17" max="17" width="13.85546875" style="135" customWidth="1"/>
    <col min="18" max="18" width="14.85546875" style="135" customWidth="1"/>
    <col min="19" max="20" width="13.85546875" style="135" customWidth="1"/>
    <col min="21" max="22" width="14.85546875" style="135" customWidth="1"/>
    <col min="23" max="23" width="13.85546875" style="135" customWidth="1"/>
    <col min="24" max="24" width="14.85546875" style="135" customWidth="1"/>
    <col min="25" max="25" width="19.7109375" style="135" bestFit="1" customWidth="1"/>
    <col min="26" max="26" width="13.85546875" style="135" customWidth="1"/>
    <col min="27" max="27" width="14.85546875" style="135" customWidth="1"/>
    <col min="28" max="28" width="16.5703125" style="135" customWidth="1"/>
    <col min="29" max="29" width="16.28515625" style="135" customWidth="1"/>
    <col min="30" max="30" width="11.28515625" style="135" customWidth="1"/>
    <col min="31" max="32" width="13.85546875" style="135" customWidth="1"/>
    <col min="33" max="33" width="14" style="135" bestFit="1" customWidth="1"/>
    <col min="34" max="34" width="13.85546875" style="135" customWidth="1"/>
    <col min="35" max="36" width="14.85546875" style="135" customWidth="1"/>
    <col min="37" max="37" width="16.42578125" style="135" customWidth="1"/>
    <col min="38" max="38" width="15.42578125" style="135" customWidth="1"/>
    <col min="39" max="39" width="15.140625" style="135" customWidth="1"/>
    <col min="40" max="40" width="16.42578125" style="135" customWidth="1"/>
    <col min="41" max="41" width="13.85546875" style="135" customWidth="1"/>
    <col min="42" max="42" width="16.85546875" style="135" customWidth="1"/>
    <col min="43" max="43" width="16.42578125" style="135" customWidth="1"/>
    <col min="44" max="44" width="14.85546875" style="135" customWidth="1"/>
    <col min="45" max="45" width="16.42578125" style="135" customWidth="1"/>
    <col min="46" max="46" width="14.85546875" style="135" customWidth="1"/>
    <col min="47" max="47" width="13.85546875" style="135" customWidth="1"/>
    <col min="48" max="48" width="12.85546875" style="135" customWidth="1"/>
    <col min="49" max="49" width="14.85546875" style="135" customWidth="1"/>
    <col min="50" max="50" width="13.85546875" style="135" customWidth="1"/>
    <col min="51" max="51" width="16.5703125" style="135" customWidth="1"/>
    <col min="52" max="52" width="16.85546875" style="135" customWidth="1"/>
    <col min="53" max="53" width="14.85546875" style="135" customWidth="1"/>
    <col min="54" max="54" width="14.42578125" style="135" customWidth="1"/>
    <col min="55" max="55" width="15.5703125" style="135" customWidth="1"/>
    <col min="56" max="56" width="15.42578125" style="135" customWidth="1"/>
    <col min="57" max="57" width="17.85546875" style="135" customWidth="1"/>
    <col min="58" max="58" width="18.28515625" style="135" customWidth="1"/>
    <col min="59" max="59" width="18.42578125" style="135" customWidth="1"/>
    <col min="60" max="60" width="17.28515625" style="135" customWidth="1"/>
    <col min="61" max="61" width="14.85546875" style="135" customWidth="1"/>
    <col min="62" max="63" width="13.85546875" style="135" customWidth="1"/>
    <col min="64" max="65" width="16.5703125" style="88" customWidth="1"/>
    <col min="66" max="66" width="12.5703125" style="88" bestFit="1" customWidth="1"/>
    <col min="67" max="67" width="8.7109375" style="88"/>
    <col min="68" max="68" width="15.5703125" style="88" bestFit="1" customWidth="1"/>
    <col min="69" max="69" width="14.5703125" style="88" bestFit="1" customWidth="1"/>
    <col min="70" max="70" width="12.140625" style="88" bestFit="1" customWidth="1"/>
    <col min="71" max="71" width="14.5703125" style="88" bestFit="1" customWidth="1"/>
    <col min="72" max="72" width="15.5703125" style="88" bestFit="1" customWidth="1"/>
    <col min="73" max="16384" width="8.7109375" style="88"/>
  </cols>
  <sheetData>
    <row r="1" spans="1:72" s="115" customFormat="1" ht="67.5" customHeight="1" thickBot="1" x14ac:dyDescent="0.25">
      <c r="A1" s="75" t="str">
        <f>'[8]CO CODE'!E1&amp;" "&amp;"COUNTY"</f>
        <v>2021 COUNTY</v>
      </c>
      <c r="B1" s="136" t="s">
        <v>0</v>
      </c>
      <c r="C1" s="136" t="s">
        <v>1</v>
      </c>
      <c r="D1" s="136" t="s">
        <v>2</v>
      </c>
      <c r="E1" s="136" t="s">
        <v>3</v>
      </c>
      <c r="F1" s="136" t="s">
        <v>4</v>
      </c>
      <c r="G1" s="136" t="s">
        <v>5</v>
      </c>
      <c r="H1" s="136" t="s">
        <v>6</v>
      </c>
      <c r="I1" s="137" t="s">
        <v>7</v>
      </c>
      <c r="J1" s="136" t="s">
        <v>8</v>
      </c>
      <c r="K1" s="136" t="s">
        <v>9</v>
      </c>
      <c r="L1" s="136" t="s">
        <v>10</v>
      </c>
      <c r="M1" s="136" t="s">
        <v>11</v>
      </c>
      <c r="N1" s="136" t="s">
        <v>12</v>
      </c>
      <c r="O1" s="136" t="s">
        <v>13</v>
      </c>
      <c r="P1" s="136" t="str">
        <f>'[8]CO CODE'!$E$1&amp;" "&amp;"RES ADD TAX"</f>
        <v>2021 RES ADD TAX</v>
      </c>
      <c r="Q1" s="136" t="str">
        <f>'[8]CO CODE'!$E$1&amp;" "&amp;"FARM ADD TAX"</f>
        <v>2021 FARM ADD TAX</v>
      </c>
      <c r="R1" s="136" t="str">
        <f>'[8]CO CODE'!$E$1&amp;" "&amp;"COMM ADD TAX"</f>
        <v>2021 COMM ADD TAX</v>
      </c>
      <c r="S1" s="136" t="str">
        <f>'[8]CO CODE'!$E$1-1&amp;" "&amp;"RES.DEL TAX"</f>
        <v>2020 RES.DEL TAX</v>
      </c>
      <c r="T1" s="136" t="str">
        <f>'[8]CO CODE'!$E$1-1&amp;" "&amp;"FARM DEL TAX"</f>
        <v>2020 FARM DEL TAX</v>
      </c>
      <c r="U1" s="136" t="str">
        <f>'[8]CO CODE'!$E$1-1&amp;" "&amp;"COMM.DEL. TAX"</f>
        <v>2020 COMM.DEL. TAX</v>
      </c>
      <c r="V1" s="136" t="str">
        <f>'[8]CO CODE'!$E$1&amp;" "&amp;"RES ADD FAIR CASH"</f>
        <v>2021 RES ADD FAIR CASH</v>
      </c>
      <c r="W1" s="136" t="str">
        <f>'[8]CO CODE'!$E$1&amp;" "&amp;"FARM ADD FAIR CASH"</f>
        <v>2021 FARM ADD FAIR CASH</v>
      </c>
      <c r="X1" s="136" t="str">
        <f>'[8]CO CODE'!$E$1&amp;" "&amp;"COMM ADD FAIR CASH"</f>
        <v>2021 COMM ADD FAIR CASH</v>
      </c>
      <c r="Y1" s="136" t="str">
        <f>'[8]CO CODE'!$E$1-1&amp;" "&amp;"RES DEL FAIR CASH"</f>
        <v>2020 RES DEL FAIR CASH</v>
      </c>
      <c r="Z1" s="136" t="str">
        <f>'[8]CO CODE'!$E$1-1&amp;" "&amp;"FARM DEL FAIR CASH"</f>
        <v>2020 FARM DEL FAIR CASH</v>
      </c>
      <c r="AA1" s="136" t="str">
        <f>'[8]CO CODE'!$E$1-1&amp;" "&amp;"COMM DEL FAIR CASH"</f>
        <v>2020 COMM DEL FAIR CASH</v>
      </c>
      <c r="AB1" s="136" t="str">
        <f>'[8]CO CODE'!$E$1-1&amp;" "&amp;"AMT. REAL EXONERATIONS"</f>
        <v>2020 AMT. REAL EXONERATIONS</v>
      </c>
      <c r="AC1" s="136" t="str">
        <f>'[8]CO CODE'!$E$1-1&amp;" "&amp;"AMT. TANG. EXONERATIONS"</f>
        <v>2020 AMT. TANG. EXONERATIONS</v>
      </c>
      <c r="AD1" s="136" t="s">
        <v>14</v>
      </c>
      <c r="AE1" s="136" t="s">
        <v>15</v>
      </c>
      <c r="AF1" s="136" t="s">
        <v>16</v>
      </c>
      <c r="AG1" s="136" t="s">
        <v>17</v>
      </c>
      <c r="AH1" s="136" t="s">
        <v>18</v>
      </c>
      <c r="AI1" s="136" t="s">
        <v>19</v>
      </c>
      <c r="AJ1" s="136" t="str">
        <f>'[8]CO CODE'!$E$1&amp;" "&amp;"TOTAL UNMINED C0AL"</f>
        <v>2021 TOTAL UNMINED C0AL</v>
      </c>
      <c r="AK1" s="136" t="s">
        <v>21</v>
      </c>
      <c r="AL1" s="136" t="s">
        <v>22</v>
      </c>
      <c r="AM1" s="136" t="s">
        <v>23</v>
      </c>
      <c r="AN1" s="136" t="s">
        <v>24</v>
      </c>
      <c r="AO1" s="136" t="s">
        <v>25</v>
      </c>
      <c r="AP1" s="136" t="s">
        <v>26</v>
      </c>
      <c r="AQ1" s="136" t="s">
        <v>27</v>
      </c>
      <c r="AR1" s="136" t="s">
        <v>28</v>
      </c>
      <c r="AS1" s="136" t="s">
        <v>29</v>
      </c>
      <c r="AT1" s="136" t="s">
        <v>30</v>
      </c>
      <c r="AU1" s="136" t="s">
        <v>31</v>
      </c>
      <c r="AV1" s="136" t="s">
        <v>32</v>
      </c>
      <c r="AW1" s="136" t="s">
        <v>33</v>
      </c>
      <c r="AX1" s="136" t="s">
        <v>34</v>
      </c>
      <c r="AY1" s="136" t="s">
        <v>35</v>
      </c>
      <c r="AZ1" s="136" t="s">
        <v>40</v>
      </c>
      <c r="BA1" s="136" t="s">
        <v>41</v>
      </c>
      <c r="BB1" s="136" t="s">
        <v>42</v>
      </c>
      <c r="BC1" s="136" t="s">
        <v>342</v>
      </c>
      <c r="BD1" s="136" t="s">
        <v>43</v>
      </c>
      <c r="BE1" s="136" t="s">
        <v>44</v>
      </c>
      <c r="BF1" s="136" t="s">
        <v>343</v>
      </c>
      <c r="BG1" s="136" t="s">
        <v>45</v>
      </c>
      <c r="BH1" s="136" t="s">
        <v>344</v>
      </c>
      <c r="BI1" s="136" t="s">
        <v>46</v>
      </c>
      <c r="BJ1" s="136" t="s">
        <v>47</v>
      </c>
      <c r="BK1" s="136" t="s">
        <v>48</v>
      </c>
      <c r="BL1" s="76" t="s">
        <v>49</v>
      </c>
      <c r="BM1" s="76" t="s">
        <v>50</v>
      </c>
      <c r="BN1" s="76" t="s">
        <v>51</v>
      </c>
      <c r="BO1" s="76"/>
      <c r="BP1" s="76" t="s">
        <v>326</v>
      </c>
      <c r="BQ1" s="76" t="s">
        <v>327</v>
      </c>
      <c r="BR1" s="76" t="s">
        <v>328</v>
      </c>
      <c r="BS1" s="76" t="s">
        <v>329</v>
      </c>
      <c r="BT1" s="76" t="s">
        <v>330</v>
      </c>
    </row>
    <row r="2" spans="1:72" x14ac:dyDescent="0.25">
      <c r="A2" s="79" t="s">
        <v>56</v>
      </c>
      <c r="B2" s="135">
        <v>336490400</v>
      </c>
      <c r="C2" s="135">
        <v>169278200</v>
      </c>
      <c r="D2" s="135">
        <v>134434200</v>
      </c>
      <c r="E2" s="135">
        <v>0</v>
      </c>
      <c r="F2" s="135">
        <v>51706100</v>
      </c>
      <c r="G2" s="135">
        <v>12419600</v>
      </c>
      <c r="H2" s="135">
        <v>24790900</v>
      </c>
      <c r="I2" s="135">
        <v>3148600</v>
      </c>
      <c r="J2" s="135">
        <v>106000</v>
      </c>
      <c r="K2" s="135">
        <v>65500</v>
      </c>
      <c r="L2" s="135">
        <v>383141900</v>
      </c>
      <c r="M2" s="135">
        <v>86201400</v>
      </c>
      <c r="N2" s="135">
        <v>2029</v>
      </c>
      <c r="O2" s="135">
        <v>484</v>
      </c>
      <c r="P2" s="135">
        <v>4997500</v>
      </c>
      <c r="Q2" s="135">
        <v>3441000</v>
      </c>
      <c r="R2" s="135">
        <v>2017000</v>
      </c>
      <c r="S2" s="135">
        <v>595100</v>
      </c>
      <c r="T2" s="135">
        <v>67000</v>
      </c>
      <c r="U2" s="135">
        <v>43500</v>
      </c>
      <c r="V2" s="135">
        <v>4997500</v>
      </c>
      <c r="W2" s="135">
        <v>3358000</v>
      </c>
      <c r="X2" s="135">
        <v>2017000</v>
      </c>
      <c r="Y2" s="135">
        <v>595100</v>
      </c>
      <c r="Z2" s="135">
        <v>67000</v>
      </c>
      <c r="AA2" s="135">
        <v>43500</v>
      </c>
      <c r="AB2" s="135">
        <v>-1935100</v>
      </c>
      <c r="AC2" s="135">
        <v>190816</v>
      </c>
      <c r="AD2" s="135">
        <v>109129</v>
      </c>
      <c r="AE2" s="135">
        <v>0</v>
      </c>
      <c r="AF2" s="135">
        <v>0</v>
      </c>
      <c r="AG2" s="135">
        <v>224897</v>
      </c>
      <c r="AH2" s="135">
        <v>1579545.0815573772</v>
      </c>
      <c r="AI2" s="135">
        <v>405915.98360655701</v>
      </c>
      <c r="AK2" s="82">
        <v>119024198</v>
      </c>
      <c r="AL2" s="82">
        <v>5658350</v>
      </c>
      <c r="AM2" s="135">
        <v>369847</v>
      </c>
      <c r="AN2" s="135">
        <v>17905388</v>
      </c>
      <c r="AO2" s="135">
        <v>655253</v>
      </c>
      <c r="AP2" s="135">
        <v>11703309</v>
      </c>
      <c r="AQ2" s="135">
        <v>20575725</v>
      </c>
      <c r="AR2" s="135">
        <v>53567499</v>
      </c>
      <c r="AS2" s="135">
        <v>255598</v>
      </c>
      <c r="AT2" s="135">
        <v>922923</v>
      </c>
      <c r="AX2" s="135">
        <v>714616</v>
      </c>
      <c r="AY2" s="135">
        <v>276500</v>
      </c>
      <c r="AZ2" s="82">
        <v>9071295.4399999995</v>
      </c>
      <c r="BA2" s="82">
        <v>4535647.72</v>
      </c>
      <c r="BB2" s="117">
        <v>0</v>
      </c>
      <c r="BC2" s="118">
        <v>0</v>
      </c>
      <c r="BD2" s="118">
        <v>0</v>
      </c>
      <c r="BE2" s="117">
        <v>17223127</v>
      </c>
      <c r="BF2" s="117">
        <v>17223127</v>
      </c>
      <c r="BG2" s="117">
        <v>40153760</v>
      </c>
      <c r="BH2" s="117">
        <v>40012509</v>
      </c>
      <c r="BI2" s="117">
        <v>0</v>
      </c>
      <c r="BJ2" s="117">
        <v>0</v>
      </c>
      <c r="BK2" s="138"/>
      <c r="BL2" s="86">
        <v>867778458.785164</v>
      </c>
      <c r="BM2" s="86">
        <v>681324627.06516397</v>
      </c>
      <c r="BN2" s="87">
        <v>260500</v>
      </c>
      <c r="BP2" s="86">
        <v>640202800</v>
      </c>
      <c r="BQ2" s="86">
        <v>119024198</v>
      </c>
      <c r="BR2" s="86">
        <v>5658350</v>
      </c>
      <c r="BS2" s="86">
        <v>39391964</v>
      </c>
      <c r="BT2" s="86">
        <v>804277312</v>
      </c>
    </row>
    <row r="3" spans="1:72" x14ac:dyDescent="0.25">
      <c r="A3" s="91" t="s">
        <v>57</v>
      </c>
      <c r="B3" s="135">
        <v>596805629</v>
      </c>
      <c r="C3" s="135">
        <v>224429998</v>
      </c>
      <c r="D3" s="135">
        <v>130243462</v>
      </c>
      <c r="E3" s="135">
        <v>0</v>
      </c>
      <c r="F3" s="135">
        <v>52365785</v>
      </c>
      <c r="G3" s="135">
        <v>16560850</v>
      </c>
      <c r="H3" s="135">
        <v>19651419</v>
      </c>
      <c r="I3" s="135">
        <v>2998206</v>
      </c>
      <c r="J3" s="135">
        <v>121500</v>
      </c>
      <c r="K3" s="135">
        <v>0</v>
      </c>
      <c r="L3" s="135">
        <v>398859287</v>
      </c>
      <c r="M3" s="135">
        <v>138889095</v>
      </c>
      <c r="N3" s="135">
        <v>1843</v>
      </c>
      <c r="O3" s="135">
        <v>525</v>
      </c>
      <c r="P3" s="135">
        <v>10203302</v>
      </c>
      <c r="Q3" s="135">
        <v>2629575</v>
      </c>
      <c r="R3" s="135">
        <v>294000</v>
      </c>
      <c r="S3" s="135">
        <v>3851065</v>
      </c>
      <c r="T3" s="135">
        <v>3932856</v>
      </c>
      <c r="U3" s="135">
        <v>2496811</v>
      </c>
      <c r="V3" s="135">
        <v>10203302</v>
      </c>
      <c r="W3" s="135">
        <v>3242171</v>
      </c>
      <c r="X3" s="135">
        <v>294000</v>
      </c>
      <c r="Y3" s="135">
        <v>3851065</v>
      </c>
      <c r="Z3" s="135">
        <v>6441957</v>
      </c>
      <c r="AA3" s="135">
        <v>2496811</v>
      </c>
      <c r="AB3" s="135">
        <v>-1819603</v>
      </c>
      <c r="AC3" s="135">
        <v>-18261</v>
      </c>
      <c r="AD3" s="135">
        <v>60991</v>
      </c>
      <c r="AE3" s="135">
        <v>0</v>
      </c>
      <c r="AF3" s="135">
        <v>0</v>
      </c>
      <c r="AG3" s="135">
        <v>45782</v>
      </c>
      <c r="AH3" s="135">
        <v>672159.8376229509</v>
      </c>
      <c r="AI3" s="135">
        <v>386409.83606557373</v>
      </c>
      <c r="AJ3" s="139"/>
      <c r="AK3" s="82">
        <v>143069758</v>
      </c>
      <c r="AL3" s="82">
        <v>9377410</v>
      </c>
      <c r="AM3" s="135">
        <v>120000</v>
      </c>
      <c r="AN3" s="135">
        <v>30277141</v>
      </c>
      <c r="AO3" s="135">
        <v>2362831</v>
      </c>
      <c r="AP3" s="135">
        <v>140704324</v>
      </c>
      <c r="AQ3" s="135">
        <v>60375624</v>
      </c>
      <c r="AR3" s="135">
        <v>29051239</v>
      </c>
      <c r="AS3" s="135">
        <v>33059815</v>
      </c>
      <c r="AX3" s="135">
        <v>146029</v>
      </c>
      <c r="AZ3" s="82">
        <v>10903900.76</v>
      </c>
      <c r="BA3" s="82">
        <v>5451950.3799999999</v>
      </c>
      <c r="BB3" s="117">
        <v>0</v>
      </c>
      <c r="BC3" s="118">
        <v>0</v>
      </c>
      <c r="BD3" s="118">
        <v>0</v>
      </c>
      <c r="BE3" s="117">
        <v>22163829</v>
      </c>
      <c r="BF3" s="117">
        <v>22163829</v>
      </c>
      <c r="BG3" s="117">
        <v>49849090</v>
      </c>
      <c r="BH3" s="117">
        <v>49800698</v>
      </c>
      <c r="BI3" s="117">
        <v>0</v>
      </c>
      <c r="BJ3" s="117">
        <v>0</v>
      </c>
      <c r="BK3" s="138"/>
      <c r="BL3" s="86">
        <v>1275416900.0536885</v>
      </c>
      <c r="BM3" s="86">
        <v>1045553254.6736885</v>
      </c>
      <c r="BN3" s="87">
        <v>1448043</v>
      </c>
      <c r="BP3" s="86">
        <v>951479089</v>
      </c>
      <c r="BQ3" s="86">
        <v>143069758</v>
      </c>
      <c r="BR3" s="86">
        <v>9377410</v>
      </c>
      <c r="BS3" s="86">
        <v>126075411</v>
      </c>
      <c r="BT3" s="86">
        <v>1230001668</v>
      </c>
    </row>
    <row r="4" spans="1:72" x14ac:dyDescent="0.25">
      <c r="A4" s="91" t="s">
        <v>58</v>
      </c>
      <c r="B4" s="135">
        <v>1047545028</v>
      </c>
      <c r="C4" s="135">
        <v>207702155</v>
      </c>
      <c r="D4" s="135">
        <v>243258601</v>
      </c>
      <c r="E4" s="135">
        <v>0</v>
      </c>
      <c r="F4" s="135">
        <v>75706000</v>
      </c>
      <c r="G4" s="135">
        <v>9260000</v>
      </c>
      <c r="H4" s="135">
        <v>15131000</v>
      </c>
      <c r="I4" s="135">
        <v>1371500</v>
      </c>
      <c r="J4" s="135">
        <v>162000</v>
      </c>
      <c r="K4" s="135">
        <v>0</v>
      </c>
      <c r="L4" s="135">
        <v>211346123</v>
      </c>
      <c r="M4" s="135">
        <v>144057910</v>
      </c>
      <c r="N4" s="135">
        <v>2278</v>
      </c>
      <c r="O4" s="135">
        <v>276</v>
      </c>
      <c r="P4" s="135">
        <v>16453579</v>
      </c>
      <c r="Q4" s="135">
        <v>2365000</v>
      </c>
      <c r="R4" s="135">
        <v>220000</v>
      </c>
      <c r="S4" s="135">
        <v>870125</v>
      </c>
      <c r="T4" s="135">
        <v>16000</v>
      </c>
      <c r="U4" s="135">
        <v>364500</v>
      </c>
      <c r="V4" s="135">
        <v>16453579</v>
      </c>
      <c r="W4" s="135">
        <v>2553500</v>
      </c>
      <c r="X4" s="135">
        <v>220000</v>
      </c>
      <c r="Y4" s="135">
        <v>870125</v>
      </c>
      <c r="Z4" s="135">
        <v>40000</v>
      </c>
      <c r="AA4" s="135">
        <v>364500</v>
      </c>
      <c r="AB4" s="135">
        <v>-1881200</v>
      </c>
      <c r="AC4" s="135">
        <v>-254331</v>
      </c>
      <c r="AD4" s="135">
        <v>0</v>
      </c>
      <c r="AE4" s="135">
        <v>0</v>
      </c>
      <c r="AF4" s="135">
        <v>0</v>
      </c>
      <c r="AG4" s="135">
        <v>108153</v>
      </c>
      <c r="AH4" s="135">
        <v>0</v>
      </c>
      <c r="AI4" s="135">
        <v>145172.13114754099</v>
      </c>
      <c r="AJ4" s="139"/>
      <c r="AK4" s="82">
        <v>186595539</v>
      </c>
      <c r="AL4" s="82">
        <v>7178843</v>
      </c>
      <c r="AN4" s="135">
        <v>21941537</v>
      </c>
      <c r="AO4" s="135">
        <v>7307179</v>
      </c>
      <c r="AP4" s="135">
        <v>133489808</v>
      </c>
      <c r="AQ4" s="135">
        <v>41100088</v>
      </c>
      <c r="AR4" s="135">
        <v>28394478</v>
      </c>
      <c r="AS4" s="135">
        <v>19699975</v>
      </c>
      <c r="AT4" s="135">
        <f>387038+250</f>
        <v>387288</v>
      </c>
      <c r="AW4" s="135">
        <v>12085107</v>
      </c>
      <c r="AX4" s="135">
        <v>7592</v>
      </c>
      <c r="AY4" s="135">
        <v>32500</v>
      </c>
      <c r="AZ4" s="82">
        <v>14221169.220000001</v>
      </c>
      <c r="BA4" s="82">
        <v>7110584.6100000003</v>
      </c>
      <c r="BB4" s="117">
        <v>0</v>
      </c>
      <c r="BC4" s="118">
        <v>1755052</v>
      </c>
      <c r="BD4" s="118">
        <v>3510104</v>
      </c>
      <c r="BE4" s="117">
        <v>17530609</v>
      </c>
      <c r="BF4" s="117">
        <v>17530609</v>
      </c>
      <c r="BG4" s="117">
        <v>43610355</v>
      </c>
      <c r="BH4" s="117">
        <v>41830632</v>
      </c>
      <c r="BI4" s="117">
        <v>180354106</v>
      </c>
      <c r="BJ4" s="117">
        <v>0</v>
      </c>
      <c r="BK4" s="138"/>
      <c r="BL4" s="86">
        <v>2011355125.7411475</v>
      </c>
      <c r="BM4" s="86">
        <v>1568999760.1311476</v>
      </c>
      <c r="BN4" s="87">
        <v>1061180</v>
      </c>
      <c r="BP4" s="86">
        <v>1498505784</v>
      </c>
      <c r="BQ4" s="86">
        <v>186595539</v>
      </c>
      <c r="BR4" s="86">
        <v>7178843</v>
      </c>
      <c r="BS4" s="86">
        <v>90048779</v>
      </c>
      <c r="BT4" s="86">
        <v>1782328945</v>
      </c>
    </row>
    <row r="5" spans="1:72" x14ac:dyDescent="0.25">
      <c r="A5" s="91" t="s">
        <v>59</v>
      </c>
      <c r="B5" s="135">
        <v>184069525</v>
      </c>
      <c r="C5" s="135">
        <v>166421416</v>
      </c>
      <c r="D5" s="135">
        <v>70683004</v>
      </c>
      <c r="E5" s="135">
        <v>0</v>
      </c>
      <c r="F5" s="135">
        <v>28715780</v>
      </c>
      <c r="G5" s="135">
        <v>6628633</v>
      </c>
      <c r="H5" s="135">
        <v>7679631</v>
      </c>
      <c r="I5" s="135">
        <v>1093500</v>
      </c>
      <c r="J5" s="135">
        <v>15000</v>
      </c>
      <c r="K5" s="135">
        <v>40500</v>
      </c>
      <c r="L5" s="135">
        <v>347660924</v>
      </c>
      <c r="M5" s="135">
        <v>47783144</v>
      </c>
      <c r="N5" s="135">
        <v>942</v>
      </c>
      <c r="O5" s="135">
        <v>211</v>
      </c>
      <c r="P5" s="135">
        <v>2158868</v>
      </c>
      <c r="Q5" s="135">
        <v>3923775</v>
      </c>
      <c r="R5" s="135">
        <v>494500</v>
      </c>
      <c r="S5" s="135">
        <v>918139</v>
      </c>
      <c r="T5" s="135">
        <v>298264</v>
      </c>
      <c r="U5" s="135">
        <v>224270</v>
      </c>
      <c r="V5" s="135">
        <v>2158868</v>
      </c>
      <c r="W5" s="135">
        <v>4940624</v>
      </c>
      <c r="X5" s="135">
        <v>494500</v>
      </c>
      <c r="Y5" s="135">
        <v>918139</v>
      </c>
      <c r="Z5" s="135">
        <v>211899</v>
      </c>
      <c r="AA5" s="135">
        <v>224270</v>
      </c>
      <c r="AB5" s="135">
        <v>-603100</v>
      </c>
      <c r="AC5" s="135">
        <v>-7333387</v>
      </c>
      <c r="AD5" s="135">
        <v>32579</v>
      </c>
      <c r="AE5" s="135">
        <v>4077</v>
      </c>
      <c r="AF5" s="135">
        <v>2152</v>
      </c>
      <c r="AG5" s="135">
        <v>136243</v>
      </c>
      <c r="AH5" s="135">
        <v>0</v>
      </c>
      <c r="AI5" s="135">
        <v>73944.672131147498</v>
      </c>
      <c r="AJ5" s="139"/>
      <c r="AK5" s="82">
        <v>73764420</v>
      </c>
      <c r="AL5" s="82">
        <v>3070422</v>
      </c>
      <c r="AN5" s="135">
        <v>44497298</v>
      </c>
      <c r="AO5" s="135">
        <v>6596928</v>
      </c>
      <c r="AP5" s="135">
        <v>72274448</v>
      </c>
      <c r="AQ5" s="135">
        <v>12736326</v>
      </c>
      <c r="AR5" s="135">
        <v>4273137</v>
      </c>
      <c r="AS5" s="135">
        <v>960579</v>
      </c>
      <c r="AT5" s="135">
        <v>734209</v>
      </c>
      <c r="AV5" s="135">
        <v>5358</v>
      </c>
      <c r="AW5" s="135">
        <v>6722851</v>
      </c>
      <c r="AZ5" s="82">
        <v>5621872.3399999999</v>
      </c>
      <c r="BA5" s="82">
        <v>2810936.17</v>
      </c>
      <c r="BB5" s="117">
        <v>32069533.618140932</v>
      </c>
      <c r="BC5" s="118">
        <v>1043979</v>
      </c>
      <c r="BD5" s="118">
        <v>2087957</v>
      </c>
      <c r="BE5" s="117">
        <v>25419850</v>
      </c>
      <c r="BF5" s="117">
        <v>25419850</v>
      </c>
      <c r="BG5" s="117">
        <v>71963177</v>
      </c>
      <c r="BH5" s="117">
        <v>61336806</v>
      </c>
      <c r="BI5" s="117">
        <v>0</v>
      </c>
      <c r="BJ5" s="117">
        <v>0</v>
      </c>
      <c r="BK5" s="138"/>
      <c r="BL5" s="86">
        <v>652524854.84213102</v>
      </c>
      <c r="BM5" s="86">
        <v>485078441.67213112</v>
      </c>
      <c r="BN5" s="87">
        <v>1844973</v>
      </c>
      <c r="BP5" s="86">
        <v>421173945</v>
      </c>
      <c r="BQ5" s="86">
        <v>73764420</v>
      </c>
      <c r="BR5" s="86">
        <v>3070422</v>
      </c>
      <c r="BS5" s="86">
        <v>64791131</v>
      </c>
      <c r="BT5" s="86">
        <v>562799918</v>
      </c>
    </row>
    <row r="6" spans="1:72" x14ac:dyDescent="0.25">
      <c r="A6" s="91" t="s">
        <v>60</v>
      </c>
      <c r="B6" s="135">
        <v>1352176542</v>
      </c>
      <c r="C6" s="135">
        <v>330291391</v>
      </c>
      <c r="D6" s="135">
        <v>540105505</v>
      </c>
      <c r="E6" s="135">
        <v>48500</v>
      </c>
      <c r="F6" s="135">
        <v>136761619</v>
      </c>
      <c r="G6" s="135">
        <v>16761078</v>
      </c>
      <c r="H6" s="135">
        <v>28504405</v>
      </c>
      <c r="I6" s="135">
        <v>1842900</v>
      </c>
      <c r="J6" s="135">
        <v>324000</v>
      </c>
      <c r="K6" s="135">
        <v>40500</v>
      </c>
      <c r="L6" s="135">
        <v>566761846</v>
      </c>
      <c r="M6" s="135">
        <v>252650775</v>
      </c>
      <c r="N6" s="135">
        <v>4123</v>
      </c>
      <c r="O6" s="135">
        <v>503</v>
      </c>
      <c r="P6" s="135">
        <v>25215540</v>
      </c>
      <c r="Q6" s="135">
        <v>10500800</v>
      </c>
      <c r="R6" s="135">
        <v>13188000</v>
      </c>
      <c r="S6" s="135">
        <v>9449129</v>
      </c>
      <c r="T6" s="135">
        <v>4729400</v>
      </c>
      <c r="U6" s="135">
        <v>12328100</v>
      </c>
      <c r="V6" s="135">
        <v>25215540</v>
      </c>
      <c r="W6" s="135">
        <v>18382100</v>
      </c>
      <c r="X6" s="135">
        <v>13188000</v>
      </c>
      <c r="Y6" s="135">
        <v>9449129</v>
      </c>
      <c r="Z6" s="135">
        <v>10248750</v>
      </c>
      <c r="AA6" s="135">
        <v>12328100</v>
      </c>
      <c r="AB6" s="135">
        <v>-2771165</v>
      </c>
      <c r="AC6" s="135">
        <v>-250868</v>
      </c>
      <c r="AD6" s="135">
        <v>47</v>
      </c>
      <c r="AE6" s="135">
        <v>2024041</v>
      </c>
      <c r="AF6" s="135">
        <v>0</v>
      </c>
      <c r="AG6" s="135">
        <v>266106</v>
      </c>
      <c r="AH6" s="135">
        <v>525590.1635245902</v>
      </c>
      <c r="AI6" s="139">
        <v>361649.59016393445</v>
      </c>
      <c r="AJ6" s="139"/>
      <c r="AK6" s="82">
        <v>318132136</v>
      </c>
      <c r="AL6" s="82">
        <v>17812216</v>
      </c>
      <c r="AM6" s="135">
        <v>2351762</v>
      </c>
      <c r="AN6" s="135">
        <v>99701343</v>
      </c>
      <c r="AO6" s="135">
        <v>14022418</v>
      </c>
      <c r="AP6" s="135">
        <v>225602594</v>
      </c>
      <c r="AQ6" s="135">
        <v>144619389</v>
      </c>
      <c r="AR6" s="135">
        <v>60294001</v>
      </c>
      <c r="AS6" s="135">
        <v>443999533</v>
      </c>
      <c r="AT6" s="135">
        <v>8649246</v>
      </c>
      <c r="AV6" s="135">
        <v>136632</v>
      </c>
      <c r="AW6" s="135">
        <v>24502</v>
      </c>
      <c r="AX6" s="135">
        <v>12109059</v>
      </c>
      <c r="AY6" s="135">
        <v>399010</v>
      </c>
      <c r="AZ6" s="82">
        <v>24246083.09</v>
      </c>
      <c r="BA6" s="82">
        <v>12123041.550000001</v>
      </c>
      <c r="BB6" s="117">
        <v>0</v>
      </c>
      <c r="BC6" s="118">
        <v>2082847</v>
      </c>
      <c r="BD6" s="118">
        <v>4165694</v>
      </c>
      <c r="BE6" s="117">
        <v>46604625</v>
      </c>
      <c r="BF6" s="117">
        <v>46156585</v>
      </c>
      <c r="BG6" s="117">
        <v>106933262</v>
      </c>
      <c r="BH6" s="117">
        <v>104346982</v>
      </c>
      <c r="BI6" s="117">
        <v>0</v>
      </c>
      <c r="BJ6" s="117">
        <v>19144921</v>
      </c>
      <c r="BK6" s="138"/>
      <c r="BL6" s="86">
        <v>3001602556.3036885</v>
      </c>
      <c r="BM6" s="86">
        <v>2481803827.7536883</v>
      </c>
      <c r="BN6" s="87">
        <v>4144722</v>
      </c>
      <c r="BP6" s="86">
        <v>2222573438</v>
      </c>
      <c r="BQ6" s="86">
        <v>318132136</v>
      </c>
      <c r="BR6" s="86">
        <v>17812216</v>
      </c>
      <c r="BS6" s="86">
        <v>702342683</v>
      </c>
      <c r="BT6" s="86">
        <v>3260860473</v>
      </c>
    </row>
    <row r="7" spans="1:72" x14ac:dyDescent="0.25">
      <c r="A7" s="91" t="s">
        <v>61</v>
      </c>
      <c r="B7" s="135">
        <v>212670568</v>
      </c>
      <c r="C7" s="135">
        <v>105785906</v>
      </c>
      <c r="D7" s="135">
        <v>47974078</v>
      </c>
      <c r="E7" s="135">
        <v>13533338</v>
      </c>
      <c r="F7" s="135">
        <v>33322151</v>
      </c>
      <c r="G7" s="135">
        <v>14801742</v>
      </c>
      <c r="H7" s="135">
        <v>10430524</v>
      </c>
      <c r="I7" s="135">
        <v>2514670</v>
      </c>
      <c r="J7" s="135">
        <v>0</v>
      </c>
      <c r="K7" s="135">
        <v>40500</v>
      </c>
      <c r="L7" s="135">
        <v>160114374</v>
      </c>
      <c r="M7" s="135">
        <v>65510576</v>
      </c>
      <c r="N7" s="135">
        <v>1145</v>
      </c>
      <c r="O7" s="135">
        <v>500</v>
      </c>
      <c r="P7" s="135">
        <v>4734702</v>
      </c>
      <c r="Q7" s="135">
        <v>6708532</v>
      </c>
      <c r="R7" s="135">
        <v>3037833</v>
      </c>
      <c r="S7" s="135">
        <v>3369023</v>
      </c>
      <c r="T7" s="135">
        <v>1633615</v>
      </c>
      <c r="U7" s="135">
        <v>114000</v>
      </c>
      <c r="V7" s="135">
        <v>4734702</v>
      </c>
      <c r="W7" s="135">
        <v>7400048</v>
      </c>
      <c r="X7" s="135">
        <v>3037833</v>
      </c>
      <c r="Y7" s="135">
        <v>3369023</v>
      </c>
      <c r="Z7" s="135">
        <v>1932729</v>
      </c>
      <c r="AA7" s="135">
        <v>114000</v>
      </c>
      <c r="AB7" s="135">
        <v>-3797476</v>
      </c>
      <c r="AC7" s="135">
        <v>-4928</v>
      </c>
      <c r="AD7" s="135">
        <v>133</v>
      </c>
      <c r="AE7" s="135">
        <v>10180</v>
      </c>
      <c r="AF7" s="135">
        <v>26599462</v>
      </c>
      <c r="AG7" s="135">
        <v>145015</v>
      </c>
      <c r="AH7" s="135">
        <v>0</v>
      </c>
      <c r="AI7" s="139">
        <v>0</v>
      </c>
      <c r="AJ7" s="139"/>
      <c r="AK7" s="82">
        <v>81238097</v>
      </c>
      <c r="AL7" s="82">
        <v>2160776</v>
      </c>
      <c r="AM7" s="135">
        <v>127090</v>
      </c>
      <c r="AN7" s="135">
        <v>16344529</v>
      </c>
      <c r="AO7" s="135">
        <v>623925</v>
      </c>
      <c r="AP7" s="135">
        <v>18721603</v>
      </c>
      <c r="AQ7" s="135">
        <v>4175190</v>
      </c>
      <c r="AR7" s="135">
        <v>5933657</v>
      </c>
      <c r="AS7" s="135">
        <v>5586306</v>
      </c>
      <c r="AT7" s="135">
        <f>352195+250</f>
        <v>352445</v>
      </c>
      <c r="AW7" s="135">
        <v>1627499</v>
      </c>
      <c r="AY7" s="135">
        <v>92500</v>
      </c>
      <c r="AZ7" s="82">
        <v>6191470.2300000004</v>
      </c>
      <c r="BA7" s="82">
        <v>3095735.12</v>
      </c>
      <c r="BB7" s="117">
        <v>0</v>
      </c>
      <c r="BC7" s="118">
        <v>0</v>
      </c>
      <c r="BD7" s="118">
        <v>0</v>
      </c>
      <c r="BE7" s="117">
        <v>33842799</v>
      </c>
      <c r="BF7" s="117">
        <v>33842799</v>
      </c>
      <c r="BG7" s="117">
        <v>154532011</v>
      </c>
      <c r="BH7" s="117">
        <v>154529130</v>
      </c>
      <c r="BI7" s="117">
        <v>0</v>
      </c>
      <c r="BJ7" s="117">
        <v>0</v>
      </c>
      <c r="BK7" s="138"/>
      <c r="BL7" s="86">
        <v>662440733.12</v>
      </c>
      <c r="BM7" s="86">
        <v>387574196</v>
      </c>
      <c r="BN7" s="87"/>
      <c r="BP7" s="86">
        <v>366430552</v>
      </c>
      <c r="BQ7" s="86">
        <v>81238097</v>
      </c>
      <c r="BR7" s="86">
        <v>2160776</v>
      </c>
      <c r="BS7" s="86">
        <v>26729950</v>
      </c>
      <c r="BT7" s="86">
        <v>476559375</v>
      </c>
    </row>
    <row r="8" spans="1:72" x14ac:dyDescent="0.25">
      <c r="A8" s="91" t="s">
        <v>62</v>
      </c>
      <c r="B8" s="135">
        <v>447483750</v>
      </c>
      <c r="C8" s="135">
        <v>28075900</v>
      </c>
      <c r="D8" s="135">
        <v>192523418</v>
      </c>
      <c r="E8" s="135">
        <v>0</v>
      </c>
      <c r="F8" s="135">
        <v>84575800</v>
      </c>
      <c r="G8" s="135">
        <v>18484200</v>
      </c>
      <c r="H8" s="135">
        <v>5200000</v>
      </c>
      <c r="I8" s="135">
        <v>661500</v>
      </c>
      <c r="J8" s="135">
        <v>162000</v>
      </c>
      <c r="K8" s="135">
        <v>0</v>
      </c>
      <c r="L8" s="135">
        <v>33223800</v>
      </c>
      <c r="M8" s="135">
        <v>156233</v>
      </c>
      <c r="N8" s="135">
        <v>2609</v>
      </c>
      <c r="O8" s="135">
        <v>613</v>
      </c>
      <c r="P8" s="135">
        <v>2052300</v>
      </c>
      <c r="Q8" s="135">
        <v>0</v>
      </c>
      <c r="R8" s="135">
        <v>1251000</v>
      </c>
      <c r="S8" s="135">
        <v>4991000</v>
      </c>
      <c r="T8" s="135">
        <v>36200</v>
      </c>
      <c r="U8" s="135">
        <v>4757003</v>
      </c>
      <c r="V8" s="135">
        <v>2052300</v>
      </c>
      <c r="W8" s="135">
        <v>0</v>
      </c>
      <c r="X8" s="135">
        <v>1251000</v>
      </c>
      <c r="Y8" s="135">
        <v>4991000</v>
      </c>
      <c r="Z8" s="135">
        <v>32300</v>
      </c>
      <c r="AA8" s="135">
        <v>4757003</v>
      </c>
      <c r="AB8" s="135">
        <v>-1985211</v>
      </c>
      <c r="AC8" s="135">
        <v>0</v>
      </c>
      <c r="AD8" s="135">
        <v>156233</v>
      </c>
      <c r="AE8" s="135">
        <v>0</v>
      </c>
      <c r="AF8" s="135">
        <v>0</v>
      </c>
      <c r="AG8" s="135">
        <v>0</v>
      </c>
      <c r="AH8" s="135">
        <v>7775032.7886885237</v>
      </c>
      <c r="AI8" s="139">
        <v>7932000</v>
      </c>
      <c r="AJ8" s="139">
        <v>6050000</v>
      </c>
      <c r="AK8" s="82">
        <v>132371986</v>
      </c>
      <c r="AL8" s="82">
        <v>829030</v>
      </c>
      <c r="AN8" s="135">
        <v>47089643</v>
      </c>
      <c r="AO8" s="135">
        <v>3230143</v>
      </c>
      <c r="AP8" s="135">
        <v>40623265</v>
      </c>
      <c r="AQ8" s="135">
        <v>39911268</v>
      </c>
      <c r="AR8" s="135">
        <v>28546834</v>
      </c>
      <c r="AS8" s="135">
        <v>210670</v>
      </c>
      <c r="AX8" s="135">
        <v>37020</v>
      </c>
      <c r="AY8" s="135">
        <v>2204500</v>
      </c>
      <c r="AZ8" s="82">
        <v>10088582.09</v>
      </c>
      <c r="BA8" s="82">
        <v>5044291.05</v>
      </c>
      <c r="BB8" s="117">
        <v>0</v>
      </c>
      <c r="BC8" s="118">
        <v>8444546</v>
      </c>
      <c r="BD8" s="118">
        <v>16889092</v>
      </c>
      <c r="BE8" s="117">
        <v>55445776</v>
      </c>
      <c r="BF8" s="117">
        <v>55445776</v>
      </c>
      <c r="BG8" s="117">
        <v>117062740</v>
      </c>
      <c r="BH8" s="117">
        <v>111136210</v>
      </c>
      <c r="BI8" s="117">
        <v>0</v>
      </c>
      <c r="BJ8" s="117">
        <v>0</v>
      </c>
      <c r="BK8" s="138"/>
      <c r="BL8" s="86">
        <v>1093342993.8386884</v>
      </c>
      <c r="BM8" s="86">
        <v>780071154.78868854</v>
      </c>
      <c r="BN8" s="87">
        <v>2481300</v>
      </c>
      <c r="BP8" s="86">
        <v>668083068</v>
      </c>
      <c r="BQ8" s="86">
        <v>132371986</v>
      </c>
      <c r="BR8" s="86">
        <v>829030</v>
      </c>
      <c r="BS8" s="86">
        <v>90441724</v>
      </c>
      <c r="BT8" s="86">
        <v>891725808</v>
      </c>
    </row>
    <row r="9" spans="1:72" x14ac:dyDescent="0.25">
      <c r="A9" s="91" t="s">
        <v>63</v>
      </c>
      <c r="B9" s="135">
        <v>8227020592</v>
      </c>
      <c r="C9" s="135">
        <v>313563219</v>
      </c>
      <c r="D9" s="135">
        <v>5656879706</v>
      </c>
      <c r="E9" s="135">
        <v>0</v>
      </c>
      <c r="F9" s="135">
        <v>359150810</v>
      </c>
      <c r="G9" s="135">
        <v>22847840</v>
      </c>
      <c r="H9" s="135">
        <v>17623790</v>
      </c>
      <c r="I9" s="135">
        <v>324000</v>
      </c>
      <c r="J9" s="135">
        <v>648000</v>
      </c>
      <c r="K9" s="135">
        <v>0</v>
      </c>
      <c r="L9" s="135">
        <v>841243791</v>
      </c>
      <c r="M9" s="135">
        <v>0</v>
      </c>
      <c r="N9" s="135">
        <v>9451</v>
      </c>
      <c r="O9" s="135">
        <v>594</v>
      </c>
      <c r="P9" s="135">
        <v>196258870</v>
      </c>
      <c r="Q9" s="135">
        <v>11213100</v>
      </c>
      <c r="R9" s="135">
        <v>268615980</v>
      </c>
      <c r="S9" s="135">
        <v>21363530</v>
      </c>
      <c r="T9" s="135">
        <v>16173288</v>
      </c>
      <c r="U9" s="135">
        <v>86195100</v>
      </c>
      <c r="V9" s="135">
        <v>196258870</v>
      </c>
      <c r="W9" s="135">
        <v>18574200</v>
      </c>
      <c r="X9" s="135">
        <v>268815980</v>
      </c>
      <c r="Y9" s="135">
        <v>21363530</v>
      </c>
      <c r="Z9" s="135">
        <v>40560080</v>
      </c>
      <c r="AA9" s="135">
        <v>86195100</v>
      </c>
      <c r="AB9" s="135">
        <v>-7849030</v>
      </c>
      <c r="AC9" s="135">
        <v>-101752206</v>
      </c>
      <c r="AD9" s="135">
        <v>0</v>
      </c>
      <c r="AE9" s="135">
        <v>0</v>
      </c>
      <c r="AF9" s="135">
        <v>0</v>
      </c>
      <c r="AG9" s="135">
        <v>0</v>
      </c>
      <c r="AH9" s="135">
        <v>0</v>
      </c>
      <c r="AI9" s="139">
        <v>400553.27868852462</v>
      </c>
      <c r="AJ9" s="139"/>
      <c r="AK9" s="82">
        <v>1251711521</v>
      </c>
      <c r="AL9" s="82">
        <v>28154880</v>
      </c>
      <c r="AM9" s="135">
        <v>73200</v>
      </c>
      <c r="AN9" s="135">
        <v>1248878003</v>
      </c>
      <c r="AO9" s="135">
        <v>44654972</v>
      </c>
      <c r="AP9" s="135">
        <v>1159303655</v>
      </c>
      <c r="AQ9" s="135">
        <v>906873604</v>
      </c>
      <c r="AR9" s="135">
        <v>732104994</v>
      </c>
      <c r="AS9" s="135">
        <v>1427423170</v>
      </c>
      <c r="AT9" s="135">
        <f>2015815+887969721</f>
        <v>889985536</v>
      </c>
      <c r="AV9" s="135">
        <v>168433</v>
      </c>
      <c r="AW9" s="135">
        <v>4528696</v>
      </c>
      <c r="AX9" s="135">
        <v>12031021</v>
      </c>
      <c r="AY9" s="135">
        <v>16422131</v>
      </c>
      <c r="AZ9" s="82">
        <v>95397786.340000004</v>
      </c>
      <c r="BA9" s="82">
        <v>47698893.170000002</v>
      </c>
      <c r="BB9" s="117">
        <v>42759378.157521248</v>
      </c>
      <c r="BC9" s="118">
        <v>1269566</v>
      </c>
      <c r="BD9" s="118">
        <v>2539131</v>
      </c>
      <c r="BE9" s="117">
        <v>261507467</v>
      </c>
      <c r="BF9" s="117">
        <v>261507467</v>
      </c>
      <c r="BG9" s="117">
        <v>1033208749</v>
      </c>
      <c r="BH9" s="117">
        <v>650534256</v>
      </c>
      <c r="BI9" s="117">
        <v>417830</v>
      </c>
      <c r="BJ9" s="117">
        <v>0</v>
      </c>
      <c r="BK9" s="138"/>
      <c r="BL9" s="86">
        <v>18639565062.448685</v>
      </c>
      <c r="BM9" s="86">
        <v>16398270649.278688</v>
      </c>
      <c r="BN9" s="87">
        <v>4524670</v>
      </c>
      <c r="BP9" s="86">
        <v>14197463517</v>
      </c>
      <c r="BQ9" s="86">
        <v>1251711521</v>
      </c>
      <c r="BR9" s="86">
        <v>28154880</v>
      </c>
      <c r="BS9" s="86">
        <v>3627829749</v>
      </c>
      <c r="BT9" s="86">
        <v>19105159667</v>
      </c>
    </row>
    <row r="10" spans="1:72" x14ac:dyDescent="0.25">
      <c r="A10" s="91" t="s">
        <v>64</v>
      </c>
      <c r="B10" s="135">
        <v>727388871</v>
      </c>
      <c r="C10" s="135">
        <v>476581246</v>
      </c>
      <c r="D10" s="135">
        <v>238095618</v>
      </c>
      <c r="E10" s="135">
        <v>0</v>
      </c>
      <c r="F10" s="146">
        <v>61845835</v>
      </c>
      <c r="G10" s="135">
        <v>4702450</v>
      </c>
      <c r="H10" s="135">
        <v>15122342</v>
      </c>
      <c r="I10" s="135">
        <v>486000</v>
      </c>
      <c r="J10" s="135">
        <v>75500</v>
      </c>
      <c r="K10" s="135">
        <v>40500</v>
      </c>
      <c r="L10" s="135">
        <v>850160492</v>
      </c>
      <c r="M10" s="135">
        <v>255776018</v>
      </c>
      <c r="N10" s="135">
        <v>1931</v>
      </c>
      <c r="O10" s="135">
        <v>137</v>
      </c>
      <c r="P10" s="135">
        <v>6439450</v>
      </c>
      <c r="Q10" s="135">
        <v>0</v>
      </c>
      <c r="R10" s="135">
        <v>8640000</v>
      </c>
      <c r="S10" s="135">
        <v>52700</v>
      </c>
      <c r="T10" s="135">
        <v>0</v>
      </c>
      <c r="U10" s="135">
        <v>2114800</v>
      </c>
      <c r="V10" s="135">
        <v>6439450</v>
      </c>
      <c r="W10" s="135">
        <v>5403274</v>
      </c>
      <c r="X10" s="135">
        <v>8640000</v>
      </c>
      <c r="Y10" s="135">
        <v>52700</v>
      </c>
      <c r="Z10" s="135">
        <v>0</v>
      </c>
      <c r="AA10" s="135">
        <v>2114800</v>
      </c>
      <c r="AB10" s="135">
        <v>-5281545</v>
      </c>
      <c r="AC10" s="135">
        <v>-6787</v>
      </c>
      <c r="AD10" s="135">
        <v>0</v>
      </c>
      <c r="AE10" s="135">
        <v>0</v>
      </c>
      <c r="AF10" s="135">
        <v>0</v>
      </c>
      <c r="AG10" s="135">
        <v>602799.07499999995</v>
      </c>
      <c r="AH10" s="135">
        <v>0</v>
      </c>
      <c r="AI10" s="135">
        <v>420629.098360656</v>
      </c>
      <c r="AJ10" s="139"/>
      <c r="AK10" s="82">
        <v>184753357</v>
      </c>
      <c r="AL10" s="82">
        <v>4329030</v>
      </c>
      <c r="AN10" s="135">
        <v>44633085</v>
      </c>
      <c r="AO10" s="135">
        <v>24354687</v>
      </c>
      <c r="AP10" s="135">
        <v>222861554</v>
      </c>
      <c r="AQ10" s="135">
        <v>29891629</v>
      </c>
      <c r="AR10" s="135">
        <v>103491702</v>
      </c>
      <c r="AS10" s="135">
        <v>25166444</v>
      </c>
      <c r="AT10" s="135">
        <v>139928038</v>
      </c>
      <c r="AV10" s="135">
        <v>79440</v>
      </c>
      <c r="AW10" s="135">
        <v>2122146</v>
      </c>
      <c r="AX10" s="135">
        <v>5695342</v>
      </c>
      <c r="AY10" s="135">
        <v>406075</v>
      </c>
      <c r="AZ10" s="82">
        <v>14080769.390000001</v>
      </c>
      <c r="BA10" s="82">
        <v>7040384.7000000002</v>
      </c>
      <c r="BB10" s="117">
        <v>0</v>
      </c>
      <c r="BC10" s="118">
        <v>2451525</v>
      </c>
      <c r="BD10" s="118">
        <v>4903049</v>
      </c>
      <c r="BE10" s="117">
        <v>30872917</v>
      </c>
      <c r="BF10" s="117">
        <v>30872917</v>
      </c>
      <c r="BG10" s="117">
        <v>61126626</v>
      </c>
      <c r="BH10" s="117">
        <v>57306210</v>
      </c>
      <c r="BI10" s="117">
        <v>8270</v>
      </c>
      <c r="BJ10" s="117">
        <v>0</v>
      </c>
      <c r="BK10" s="138"/>
      <c r="BL10" s="86">
        <v>1828127458.7983606</v>
      </c>
      <c r="BM10" s="86">
        <v>1541365765.0983605</v>
      </c>
      <c r="BN10" s="87">
        <v>2219258</v>
      </c>
      <c r="BP10" s="86">
        <v>1442065735</v>
      </c>
      <c r="BQ10" s="86">
        <v>184753357</v>
      </c>
      <c r="BR10" s="86">
        <v>4329030</v>
      </c>
      <c r="BS10" s="86">
        <v>124045845</v>
      </c>
      <c r="BT10" s="86">
        <v>1755193967</v>
      </c>
    </row>
    <row r="11" spans="1:72" x14ac:dyDescent="0.25">
      <c r="A11" s="91" t="s">
        <v>65</v>
      </c>
      <c r="B11" s="135">
        <v>1271844662</v>
      </c>
      <c r="C11" s="135">
        <v>99216587</v>
      </c>
      <c r="D11" s="135">
        <v>766644749</v>
      </c>
      <c r="E11" s="135">
        <v>1450000</v>
      </c>
      <c r="F11" s="135">
        <v>150518340</v>
      </c>
      <c r="G11" s="135">
        <v>52269800</v>
      </c>
      <c r="H11" s="135">
        <v>9351580</v>
      </c>
      <c r="I11" s="135">
        <v>2674130</v>
      </c>
      <c r="J11" s="135">
        <v>537000</v>
      </c>
      <c r="K11" s="135">
        <v>202500</v>
      </c>
      <c r="L11" s="135">
        <v>64737100</v>
      </c>
      <c r="M11" s="135">
        <v>86892134</v>
      </c>
      <c r="N11" s="135">
        <v>4170</v>
      </c>
      <c r="O11" s="135">
        <v>1496</v>
      </c>
      <c r="P11" s="135">
        <v>3742770</v>
      </c>
      <c r="Q11" s="135">
        <v>657794</v>
      </c>
      <c r="R11" s="135">
        <v>9945828</v>
      </c>
      <c r="S11" s="135">
        <v>5977418</v>
      </c>
      <c r="T11" s="135">
        <v>789818</v>
      </c>
      <c r="U11" s="135">
        <v>2335900</v>
      </c>
      <c r="V11" s="135">
        <v>3742770</v>
      </c>
      <c r="W11" s="135">
        <v>691150</v>
      </c>
      <c r="X11" s="135">
        <v>9945828</v>
      </c>
      <c r="Y11" s="135">
        <v>5977418</v>
      </c>
      <c r="Z11" s="135">
        <v>2381300</v>
      </c>
      <c r="AA11" s="135">
        <v>2335900</v>
      </c>
      <c r="AB11" s="135">
        <v>-8226779</v>
      </c>
      <c r="AC11" s="135">
        <v>-2632</v>
      </c>
      <c r="AD11" s="135">
        <v>47378</v>
      </c>
      <c r="AE11" s="135">
        <v>0</v>
      </c>
      <c r="AF11" s="135">
        <v>0</v>
      </c>
      <c r="AG11" s="135">
        <v>61001.358200000002</v>
      </c>
      <c r="AH11" s="135">
        <v>38483.606885245899</v>
      </c>
      <c r="AI11" s="139">
        <v>1803155.737704918</v>
      </c>
      <c r="AJ11" s="139">
        <v>301000</v>
      </c>
      <c r="AK11" s="82">
        <v>363290709</v>
      </c>
      <c r="AL11" s="82">
        <v>10028346</v>
      </c>
      <c r="AM11" s="135">
        <v>312300</v>
      </c>
      <c r="AN11" s="135">
        <v>111677721</v>
      </c>
      <c r="AO11" s="135">
        <v>10355255</v>
      </c>
      <c r="AP11" s="135">
        <v>201918065</v>
      </c>
      <c r="AQ11" s="135">
        <v>116080286</v>
      </c>
      <c r="AR11" s="135">
        <v>58420795</v>
      </c>
      <c r="AS11" s="135">
        <v>21926960</v>
      </c>
      <c r="AT11" s="135">
        <f>793417+1321647793</f>
        <v>1322441210</v>
      </c>
      <c r="AX11" s="135">
        <v>2787656</v>
      </c>
      <c r="AY11" s="135">
        <v>3000</v>
      </c>
      <c r="AZ11" s="82">
        <v>27687792.960000001</v>
      </c>
      <c r="BA11" s="82">
        <v>13843896.48</v>
      </c>
      <c r="BB11" s="117">
        <v>23997610.190445594</v>
      </c>
      <c r="BC11" s="118">
        <v>6901210</v>
      </c>
      <c r="BD11" s="118">
        <v>13802419</v>
      </c>
      <c r="BE11" s="117">
        <v>75619465</v>
      </c>
      <c r="BF11" s="117">
        <v>75619465</v>
      </c>
      <c r="BG11" s="117">
        <v>249819045</v>
      </c>
      <c r="BH11" s="117">
        <v>246046514</v>
      </c>
      <c r="BI11" s="117">
        <v>0</v>
      </c>
      <c r="BJ11" s="117">
        <v>0</v>
      </c>
      <c r="BK11" s="138"/>
      <c r="BL11" s="86">
        <v>3093692039.8245902</v>
      </c>
      <c r="BM11" s="86">
        <v>2377961899.3445902</v>
      </c>
      <c r="BN11" s="87">
        <v>6846843</v>
      </c>
      <c r="BP11" s="86">
        <v>2137705998</v>
      </c>
      <c r="BQ11" s="86">
        <v>363290709</v>
      </c>
      <c r="BR11" s="86">
        <v>10028346</v>
      </c>
      <c r="BS11" s="86">
        <v>260040222</v>
      </c>
      <c r="BT11" s="86">
        <v>2771065275</v>
      </c>
    </row>
    <row r="12" spans="1:72" x14ac:dyDescent="0.25">
      <c r="A12" s="91" t="s">
        <v>66</v>
      </c>
      <c r="B12" s="135">
        <v>1161954960</v>
      </c>
      <c r="C12" s="135">
        <v>203496150</v>
      </c>
      <c r="D12" s="135">
        <v>485563900</v>
      </c>
      <c r="E12" s="135">
        <v>0</v>
      </c>
      <c r="F12" s="135">
        <v>114409800</v>
      </c>
      <c r="G12" s="135">
        <v>9099500</v>
      </c>
      <c r="H12" s="135">
        <v>14529500</v>
      </c>
      <c r="I12" s="135">
        <v>1064000</v>
      </c>
      <c r="J12" s="135">
        <v>202500</v>
      </c>
      <c r="K12" s="135">
        <v>0</v>
      </c>
      <c r="L12" s="135">
        <v>283206730</v>
      </c>
      <c r="M12" s="135">
        <v>171230000</v>
      </c>
      <c r="N12" s="135">
        <v>3268</v>
      </c>
      <c r="O12" s="135">
        <v>273</v>
      </c>
      <c r="P12" s="135">
        <v>8127500</v>
      </c>
      <c r="Q12" s="135">
        <v>2130000</v>
      </c>
      <c r="R12" s="135">
        <v>9815000</v>
      </c>
      <c r="S12" s="135">
        <v>1754600</v>
      </c>
      <c r="T12" s="135">
        <v>339000</v>
      </c>
      <c r="U12" s="135">
        <v>4000000</v>
      </c>
      <c r="V12" s="135">
        <v>8127500</v>
      </c>
      <c r="W12" s="135">
        <v>2348000</v>
      </c>
      <c r="X12" s="135">
        <v>9815000</v>
      </c>
      <c r="Y12" s="135">
        <v>1754600</v>
      </c>
      <c r="Z12" s="135">
        <v>1449000</v>
      </c>
      <c r="AA12" s="135">
        <v>4000000</v>
      </c>
      <c r="AB12" s="135">
        <v>-5097500</v>
      </c>
      <c r="AC12" s="135">
        <v>-4260998</v>
      </c>
      <c r="AD12" s="135">
        <v>14971</v>
      </c>
      <c r="AE12" s="135">
        <v>0</v>
      </c>
      <c r="AF12" s="135">
        <v>0</v>
      </c>
      <c r="AG12" s="135">
        <v>96725</v>
      </c>
      <c r="AH12" s="135">
        <v>0</v>
      </c>
      <c r="AI12" s="139">
        <v>0</v>
      </c>
      <c r="AJ12" s="139"/>
      <c r="AK12" s="82">
        <v>206224273</v>
      </c>
      <c r="AL12" s="82">
        <v>7200974</v>
      </c>
      <c r="AN12" s="135">
        <v>75937850</v>
      </c>
      <c r="AO12" s="135">
        <v>9487192</v>
      </c>
      <c r="AP12" s="135">
        <v>158443415</v>
      </c>
      <c r="AQ12" s="135">
        <v>82147614</v>
      </c>
      <c r="AR12" s="135">
        <v>113080481</v>
      </c>
      <c r="AS12" s="135">
        <v>283830975</v>
      </c>
      <c r="AT12" s="135">
        <v>626241</v>
      </c>
      <c r="AV12" s="135">
        <v>375479</v>
      </c>
      <c r="AW12" s="135">
        <v>626178</v>
      </c>
      <c r="AX12" s="135">
        <v>419200</v>
      </c>
      <c r="AY12" s="135">
        <v>16867422</v>
      </c>
      <c r="AZ12" s="82">
        <v>15717151.119999999</v>
      </c>
      <c r="BA12" s="82">
        <v>7858575.5599999996</v>
      </c>
      <c r="BB12" s="117">
        <v>0</v>
      </c>
      <c r="BC12" s="118">
        <v>3528356</v>
      </c>
      <c r="BD12" s="118">
        <v>7056711</v>
      </c>
      <c r="BE12" s="117">
        <v>64490172</v>
      </c>
      <c r="BF12" s="117">
        <v>64490172</v>
      </c>
      <c r="BG12" s="117">
        <v>79247964</v>
      </c>
      <c r="BH12" s="117">
        <v>73325408</v>
      </c>
      <c r="BI12" s="117">
        <v>15123969</v>
      </c>
      <c r="BJ12" s="117">
        <v>0</v>
      </c>
      <c r="BK12" s="138"/>
      <c r="BL12" s="86">
        <v>2396339393.5599999</v>
      </c>
      <c r="BM12" s="86">
        <v>2018587666</v>
      </c>
      <c r="BN12" s="87">
        <v>2550000</v>
      </c>
      <c r="BP12" s="86">
        <v>1851015010</v>
      </c>
      <c r="BQ12" s="86">
        <v>206224273</v>
      </c>
      <c r="BR12" s="86">
        <v>7200974</v>
      </c>
      <c r="BS12" s="86">
        <v>451403631</v>
      </c>
      <c r="BT12" s="86">
        <v>2515843888</v>
      </c>
    </row>
    <row r="13" spans="1:72" x14ac:dyDescent="0.25">
      <c r="A13" s="91" t="s">
        <v>67</v>
      </c>
      <c r="B13" s="135">
        <v>154539625</v>
      </c>
      <c r="C13" s="135">
        <v>108881500</v>
      </c>
      <c r="D13" s="135">
        <v>28551490</v>
      </c>
      <c r="E13" s="135">
        <v>0</v>
      </c>
      <c r="F13" s="135">
        <v>24802150</v>
      </c>
      <c r="G13" s="135">
        <v>4059140</v>
      </c>
      <c r="H13" s="135">
        <v>10489400</v>
      </c>
      <c r="I13" s="135">
        <v>913250</v>
      </c>
      <c r="J13" s="135">
        <v>0</v>
      </c>
      <c r="K13" s="135">
        <v>0</v>
      </c>
      <c r="L13" s="135">
        <v>132350700</v>
      </c>
      <c r="M13" s="135">
        <v>67078395</v>
      </c>
      <c r="N13" s="135">
        <v>939</v>
      </c>
      <c r="O13" s="135">
        <v>143</v>
      </c>
      <c r="P13" s="135">
        <v>2791600</v>
      </c>
      <c r="Q13" s="135">
        <v>2300800</v>
      </c>
      <c r="R13" s="135">
        <v>850000</v>
      </c>
      <c r="S13" s="135">
        <v>1030080</v>
      </c>
      <c r="T13" s="135">
        <v>1043225</v>
      </c>
      <c r="U13" s="135">
        <v>964200</v>
      </c>
      <c r="V13" s="135">
        <v>2791600</v>
      </c>
      <c r="W13" s="135">
        <v>2354700</v>
      </c>
      <c r="X13" s="135">
        <v>850000</v>
      </c>
      <c r="Y13" s="135">
        <v>1030080</v>
      </c>
      <c r="Z13" s="135">
        <v>565000</v>
      </c>
      <c r="AA13" s="135">
        <v>964200</v>
      </c>
      <c r="AB13" s="135">
        <v>-274700</v>
      </c>
      <c r="AC13" s="135">
        <v>0</v>
      </c>
      <c r="AD13" s="135">
        <v>0</v>
      </c>
      <c r="AE13" s="135">
        <v>0</v>
      </c>
      <c r="AF13" s="135">
        <v>0</v>
      </c>
      <c r="AG13" s="135">
        <v>118429</v>
      </c>
      <c r="AH13" s="135">
        <v>0</v>
      </c>
      <c r="AI13" s="135">
        <v>0</v>
      </c>
      <c r="AJ13" s="139"/>
      <c r="AK13" s="82">
        <v>64942232</v>
      </c>
      <c r="AL13" s="82">
        <v>1374811</v>
      </c>
      <c r="AN13" s="135">
        <v>4119022</v>
      </c>
      <c r="AO13" s="135">
        <v>31303</v>
      </c>
      <c r="AP13" s="135">
        <v>22588488</v>
      </c>
      <c r="AQ13" s="135">
        <v>2391369</v>
      </c>
      <c r="AR13" s="135">
        <v>5370835</v>
      </c>
      <c r="AS13" s="135">
        <v>4850631</v>
      </c>
      <c r="AT13" s="135">
        <f>538930+250</f>
        <v>539180</v>
      </c>
      <c r="AZ13" s="82">
        <v>4949499.2</v>
      </c>
      <c r="BA13" s="82">
        <v>2474749.6</v>
      </c>
      <c r="BB13" s="117">
        <v>21052448.939800002</v>
      </c>
      <c r="BC13" s="118">
        <v>1591520</v>
      </c>
      <c r="BD13" s="118">
        <v>3183040</v>
      </c>
      <c r="BE13" s="117">
        <v>120248620</v>
      </c>
      <c r="BF13" s="117">
        <v>120248620</v>
      </c>
      <c r="BG13" s="117">
        <v>72372924</v>
      </c>
      <c r="BH13" s="117">
        <v>67262420</v>
      </c>
      <c r="BI13" s="117">
        <v>0</v>
      </c>
      <c r="BJ13" s="117">
        <v>0</v>
      </c>
      <c r="BK13" s="138"/>
      <c r="BL13" s="86">
        <v>556408661.60000002</v>
      </c>
      <c r="BM13" s="86">
        <v>298514309</v>
      </c>
      <c r="BN13" s="87">
        <v>935040</v>
      </c>
      <c r="BP13" s="86">
        <v>291972615</v>
      </c>
      <c r="BQ13" s="86">
        <v>64942232</v>
      </c>
      <c r="BR13" s="86">
        <v>1374811</v>
      </c>
      <c r="BS13" s="86">
        <v>11392325</v>
      </c>
      <c r="BT13" s="86">
        <v>369681983</v>
      </c>
    </row>
    <row r="14" spans="1:72" x14ac:dyDescent="0.25">
      <c r="A14" s="91" t="s">
        <v>68</v>
      </c>
      <c r="B14" s="135">
        <v>139813936</v>
      </c>
      <c r="C14" s="135">
        <v>81480054</v>
      </c>
      <c r="D14" s="135">
        <v>76938799</v>
      </c>
      <c r="E14" s="135">
        <v>0</v>
      </c>
      <c r="F14" s="135">
        <v>24463220</v>
      </c>
      <c r="G14" s="135">
        <v>36073620</v>
      </c>
      <c r="H14" s="135">
        <v>11823070</v>
      </c>
      <c r="I14" s="135">
        <v>12262827</v>
      </c>
      <c r="J14" s="135">
        <v>196500</v>
      </c>
      <c r="K14" s="135">
        <v>196500</v>
      </c>
      <c r="L14" s="135">
        <v>88904755</v>
      </c>
      <c r="M14" s="135">
        <v>49849225</v>
      </c>
      <c r="N14" s="135">
        <v>1040</v>
      </c>
      <c r="O14" s="135">
        <v>1501</v>
      </c>
      <c r="P14" s="135">
        <v>649100</v>
      </c>
      <c r="Q14" s="135">
        <v>98300</v>
      </c>
      <c r="R14" s="135">
        <v>0</v>
      </c>
      <c r="S14" s="135">
        <v>3598311</v>
      </c>
      <c r="T14" s="135">
        <v>138600</v>
      </c>
      <c r="U14" s="135">
        <v>6666584</v>
      </c>
      <c r="V14" s="135">
        <v>649100</v>
      </c>
      <c r="W14" s="135">
        <v>98300</v>
      </c>
      <c r="X14" s="135">
        <v>0</v>
      </c>
      <c r="Y14" s="135">
        <v>3598311</v>
      </c>
      <c r="Z14" s="135">
        <v>132850</v>
      </c>
      <c r="AA14" s="135">
        <v>6666584</v>
      </c>
      <c r="AB14" s="135">
        <v>-3152434</v>
      </c>
      <c r="AC14" s="135">
        <v>0</v>
      </c>
      <c r="AD14" s="135">
        <v>262564</v>
      </c>
      <c r="AE14" s="135">
        <v>0</v>
      </c>
      <c r="AF14" s="135">
        <v>0</v>
      </c>
      <c r="AG14" s="135">
        <v>279965</v>
      </c>
      <c r="AH14" s="135">
        <v>528381.14901639346</v>
      </c>
      <c r="AI14" s="135">
        <v>1470209.0163934426</v>
      </c>
      <c r="AJ14" s="139">
        <v>2050000</v>
      </c>
      <c r="AK14" s="82">
        <v>69721605</v>
      </c>
      <c r="AL14" s="82">
        <v>1658112</v>
      </c>
      <c r="AN14" s="135">
        <v>9895332</v>
      </c>
      <c r="AO14" s="135">
        <v>223624</v>
      </c>
      <c r="AP14" s="135">
        <v>758788</v>
      </c>
      <c r="AQ14" s="135">
        <v>10457403</v>
      </c>
      <c r="AR14" s="135">
        <v>1045457</v>
      </c>
      <c r="AT14" s="135">
        <v>203931</v>
      </c>
      <c r="AX14" s="135">
        <v>6000</v>
      </c>
      <c r="AY14" s="135">
        <v>5000</v>
      </c>
      <c r="AZ14" s="82">
        <v>5313753.74</v>
      </c>
      <c r="BA14" s="82">
        <v>2656876.87</v>
      </c>
      <c r="BB14" s="117">
        <v>0</v>
      </c>
      <c r="BC14" s="118">
        <v>2653750</v>
      </c>
      <c r="BD14" s="118">
        <v>5307500</v>
      </c>
      <c r="BE14" s="117">
        <v>16585287</v>
      </c>
      <c r="BF14" s="117">
        <v>16585287</v>
      </c>
      <c r="BG14" s="117">
        <v>57676929</v>
      </c>
      <c r="BH14" s="117">
        <v>50986961</v>
      </c>
      <c r="BI14" s="117">
        <v>0</v>
      </c>
      <c r="BJ14" s="117">
        <v>0</v>
      </c>
      <c r="BK14" s="138"/>
      <c r="BL14" s="86">
        <v>467120330.03540981</v>
      </c>
      <c r="BM14" s="86">
        <v>322857738.1654098</v>
      </c>
      <c r="BN14" s="87">
        <v>1368077</v>
      </c>
      <c r="BP14" s="86">
        <v>298232789</v>
      </c>
      <c r="BQ14" s="86">
        <v>69721605</v>
      </c>
      <c r="BR14" s="86">
        <v>1658112</v>
      </c>
      <c r="BS14" s="86">
        <v>20576359</v>
      </c>
      <c r="BT14" s="86">
        <v>390188865</v>
      </c>
    </row>
    <row r="15" spans="1:72" x14ac:dyDescent="0.25">
      <c r="A15" s="91" t="s">
        <v>69</v>
      </c>
      <c r="B15" s="135">
        <v>677752082</v>
      </c>
      <c r="C15" s="135">
        <v>260150554</v>
      </c>
      <c r="D15" s="135">
        <v>101968147</v>
      </c>
      <c r="E15" s="135">
        <v>0</v>
      </c>
      <c r="F15" s="135">
        <v>63210056</v>
      </c>
      <c r="G15" s="135">
        <v>10588325</v>
      </c>
      <c r="H15" s="135">
        <v>24597735</v>
      </c>
      <c r="I15" s="135">
        <v>2167269</v>
      </c>
      <c r="J15" s="135">
        <v>81000</v>
      </c>
      <c r="K15" s="135">
        <v>30000</v>
      </c>
      <c r="L15" s="135">
        <v>487682803</v>
      </c>
      <c r="M15" s="135">
        <v>153353950</v>
      </c>
      <c r="N15" s="135">
        <v>2331</v>
      </c>
      <c r="O15" s="135">
        <v>372</v>
      </c>
      <c r="P15" s="135">
        <v>9199700</v>
      </c>
      <c r="Q15" s="135">
        <v>6542300</v>
      </c>
      <c r="R15" s="135">
        <v>2519275</v>
      </c>
      <c r="S15" s="135">
        <v>2948250</v>
      </c>
      <c r="T15" s="135">
        <v>419500</v>
      </c>
      <c r="U15" s="135">
        <v>422556</v>
      </c>
      <c r="V15" s="135">
        <v>9199700</v>
      </c>
      <c r="W15" s="135">
        <v>6564300</v>
      </c>
      <c r="X15" s="135">
        <v>2519275</v>
      </c>
      <c r="Y15" s="135">
        <v>2948250</v>
      </c>
      <c r="Z15" s="135">
        <v>429400</v>
      </c>
      <c r="AA15" s="135">
        <v>422556</v>
      </c>
      <c r="AB15" s="135">
        <v>-1333050</v>
      </c>
      <c r="AC15" s="135">
        <v>-14450</v>
      </c>
      <c r="AD15" s="135">
        <v>147823</v>
      </c>
      <c r="AE15" s="135">
        <v>0</v>
      </c>
      <c r="AF15" s="135">
        <v>0</v>
      </c>
      <c r="AG15" s="135">
        <v>345877</v>
      </c>
      <c r="AH15" s="135">
        <v>1410036.8840163937</v>
      </c>
      <c r="AI15" s="135">
        <v>688102.45901639364</v>
      </c>
      <c r="AJ15" s="139"/>
      <c r="AK15" s="82">
        <v>154714435</v>
      </c>
      <c r="AL15" s="82">
        <v>22855890</v>
      </c>
      <c r="AM15" s="135">
        <v>311700</v>
      </c>
      <c r="AN15" s="135">
        <v>22062223</v>
      </c>
      <c r="AO15" s="135">
        <v>247968</v>
      </c>
      <c r="AP15" s="135">
        <v>18001206</v>
      </c>
      <c r="AQ15" s="135">
        <v>17185435</v>
      </c>
      <c r="AR15" s="135">
        <v>15508848</v>
      </c>
      <c r="AT15" s="135">
        <v>1837516</v>
      </c>
      <c r="AW15" s="135">
        <v>832044</v>
      </c>
      <c r="AY15" s="135">
        <v>295490</v>
      </c>
      <c r="AZ15" s="82">
        <v>11791386.73</v>
      </c>
      <c r="BA15" s="82">
        <v>5895693.3700000001</v>
      </c>
      <c r="BB15" s="117">
        <v>24652090.468366843</v>
      </c>
      <c r="BC15" s="118">
        <v>2167533</v>
      </c>
      <c r="BD15" s="118">
        <v>4335066</v>
      </c>
      <c r="BE15" s="117">
        <v>40012601</v>
      </c>
      <c r="BF15" s="117">
        <v>40012601</v>
      </c>
      <c r="BG15" s="117">
        <v>116408436</v>
      </c>
      <c r="BH15" s="117">
        <v>113221882</v>
      </c>
      <c r="BI15" s="117">
        <v>0</v>
      </c>
      <c r="BJ15" s="117">
        <v>0</v>
      </c>
      <c r="BK15" s="138"/>
      <c r="BL15" s="86">
        <v>1420332582.7130327</v>
      </c>
      <c r="BM15" s="86">
        <v>1081464548.3430328</v>
      </c>
      <c r="BN15" s="87">
        <v>2351049</v>
      </c>
      <c r="BP15" s="86">
        <v>1039870783</v>
      </c>
      <c r="BQ15" s="86">
        <v>154714435</v>
      </c>
      <c r="BR15" s="86">
        <v>22855890</v>
      </c>
      <c r="BS15" s="86">
        <v>39495626</v>
      </c>
      <c r="BT15" s="86">
        <v>1256936734</v>
      </c>
    </row>
    <row r="16" spans="1:72" x14ac:dyDescent="0.25">
      <c r="A16" s="91" t="s">
        <v>70</v>
      </c>
      <c r="B16" s="135">
        <v>4850140915</v>
      </c>
      <c r="C16" s="135">
        <v>273892712</v>
      </c>
      <c r="D16" s="135">
        <v>1498956950</v>
      </c>
      <c r="E16" s="135">
        <v>30001408</v>
      </c>
      <c r="F16" s="135">
        <v>261708373</v>
      </c>
      <c r="G16" s="135">
        <v>45516258</v>
      </c>
      <c r="H16" s="135">
        <v>21351173</v>
      </c>
      <c r="I16" s="135">
        <v>2926002</v>
      </c>
      <c r="J16" s="135">
        <v>283500</v>
      </c>
      <c r="K16" s="135">
        <v>0</v>
      </c>
      <c r="L16" s="135">
        <v>325332713</v>
      </c>
      <c r="M16" s="135">
        <v>185830916</v>
      </c>
      <c r="N16" s="135">
        <v>7116</v>
      </c>
      <c r="O16" s="135">
        <v>1273</v>
      </c>
      <c r="P16" s="135">
        <v>103539854</v>
      </c>
      <c r="Q16" s="135">
        <v>5681256</v>
      </c>
      <c r="R16" s="135">
        <v>159750605</v>
      </c>
      <c r="S16" s="135">
        <v>6021439</v>
      </c>
      <c r="T16" s="135">
        <v>8707484</v>
      </c>
      <c r="U16" s="135">
        <v>49802647</v>
      </c>
      <c r="V16" s="135">
        <v>103539854</v>
      </c>
      <c r="W16" s="135">
        <v>8087582</v>
      </c>
      <c r="X16" s="135">
        <v>159750605</v>
      </c>
      <c r="Y16" s="135">
        <v>6021439</v>
      </c>
      <c r="Z16" s="135">
        <v>10124479</v>
      </c>
      <c r="AA16" s="135">
        <v>49802647</v>
      </c>
      <c r="AB16" s="135">
        <v>-51419835</v>
      </c>
      <c r="AC16" s="135">
        <v>-31471851</v>
      </c>
      <c r="AD16" s="135">
        <v>23416</v>
      </c>
      <c r="AE16" s="135">
        <v>552</v>
      </c>
      <c r="AF16" s="135">
        <v>16561926</v>
      </c>
      <c r="AG16" s="135">
        <v>97553</v>
      </c>
      <c r="AH16" s="135">
        <v>0</v>
      </c>
      <c r="AI16" s="135">
        <v>1555399.5901639345</v>
      </c>
      <c r="AJ16" s="139"/>
      <c r="AK16" s="82">
        <v>703974509</v>
      </c>
      <c r="AL16" s="82">
        <v>28159892</v>
      </c>
      <c r="AM16" s="135">
        <v>6000</v>
      </c>
      <c r="AN16" s="135">
        <v>252864196</v>
      </c>
      <c r="AO16" s="135">
        <v>3998753</v>
      </c>
      <c r="AP16" s="135">
        <v>220943499</v>
      </c>
      <c r="AQ16" s="135">
        <v>483681899</v>
      </c>
      <c r="AR16" s="135">
        <v>1273303944</v>
      </c>
      <c r="AS16" s="135">
        <v>7103860569</v>
      </c>
      <c r="AT16" s="135">
        <f>584081+9600492</f>
        <v>10184573</v>
      </c>
      <c r="AW16" s="135">
        <v>5131729</v>
      </c>
      <c r="AX16" s="135">
        <v>279768</v>
      </c>
      <c r="AY16" s="135">
        <v>101000</v>
      </c>
      <c r="AZ16" s="82">
        <v>53652625.759999998</v>
      </c>
      <c r="BA16" s="82">
        <v>26826312.879999999</v>
      </c>
      <c r="BB16" s="117">
        <v>0</v>
      </c>
      <c r="BC16" s="118">
        <v>3457540</v>
      </c>
      <c r="BD16" s="118">
        <v>6915081</v>
      </c>
      <c r="BE16" s="117">
        <v>35305240</v>
      </c>
      <c r="BF16" s="117">
        <v>35105286</v>
      </c>
      <c r="BG16" s="117">
        <v>85521173</v>
      </c>
      <c r="BH16" s="117">
        <v>81421356</v>
      </c>
      <c r="BI16" s="117">
        <v>296724156</v>
      </c>
      <c r="BJ16" s="117">
        <v>0</v>
      </c>
      <c r="BK16" s="138"/>
      <c r="BL16" s="86">
        <v>8540759876.4701643</v>
      </c>
      <c r="BM16" s="86">
        <v>7365090824.5901642</v>
      </c>
      <c r="BN16" s="87">
        <v>3329933</v>
      </c>
      <c r="BP16" s="86">
        <v>6622990577</v>
      </c>
      <c r="BQ16" s="86">
        <v>703974509</v>
      </c>
      <c r="BR16" s="86">
        <v>28159892</v>
      </c>
      <c r="BS16" s="86">
        <v>7844405417</v>
      </c>
      <c r="BT16" s="86">
        <v>15199530395</v>
      </c>
    </row>
    <row r="17" spans="1:72" x14ac:dyDescent="0.25">
      <c r="A17" s="91" t="s">
        <v>71</v>
      </c>
      <c r="B17" s="135">
        <v>218989480</v>
      </c>
      <c r="C17" s="135">
        <v>166732150</v>
      </c>
      <c r="D17" s="135">
        <v>74107313</v>
      </c>
      <c r="E17" s="135">
        <v>0</v>
      </c>
      <c r="F17" s="135">
        <v>26793700</v>
      </c>
      <c r="G17" s="135">
        <v>10251100</v>
      </c>
      <c r="H17" s="135">
        <v>14754100</v>
      </c>
      <c r="I17" s="135">
        <v>3472500</v>
      </c>
      <c r="J17" s="135">
        <v>0</v>
      </c>
      <c r="K17" s="135">
        <v>0</v>
      </c>
      <c r="L17" s="135">
        <v>273850191</v>
      </c>
      <c r="M17" s="135">
        <v>99330500</v>
      </c>
      <c r="N17" s="135">
        <v>1107</v>
      </c>
      <c r="O17" s="135">
        <v>399</v>
      </c>
      <c r="P17" s="135">
        <v>3528800</v>
      </c>
      <c r="Q17" s="135">
        <v>281900</v>
      </c>
      <c r="R17" s="135">
        <v>1100000</v>
      </c>
      <c r="S17" s="135">
        <v>488200</v>
      </c>
      <c r="T17" s="135">
        <v>222000</v>
      </c>
      <c r="U17" s="135">
        <v>321571</v>
      </c>
      <c r="V17" s="135">
        <v>3528800</v>
      </c>
      <c r="W17" s="135">
        <v>377200</v>
      </c>
      <c r="X17" s="135">
        <v>1100000</v>
      </c>
      <c r="Y17" s="135">
        <v>488200</v>
      </c>
      <c r="Z17" s="135">
        <v>141500</v>
      </c>
      <c r="AA17" s="135">
        <v>321571</v>
      </c>
      <c r="AB17" s="135">
        <v>-1118800</v>
      </c>
      <c r="AC17" s="135">
        <v>-10328449</v>
      </c>
      <c r="AD17" s="135">
        <v>151478</v>
      </c>
      <c r="AE17" s="135">
        <v>0</v>
      </c>
      <c r="AF17" s="135">
        <v>0</v>
      </c>
      <c r="AG17" s="135">
        <v>255103</v>
      </c>
      <c r="AH17" s="135">
        <v>195118.85483606558</v>
      </c>
      <c r="AI17" s="135">
        <v>165002.04918032786</v>
      </c>
      <c r="AJ17" s="139"/>
      <c r="AK17" s="82">
        <v>102914235</v>
      </c>
      <c r="AL17" s="82">
        <v>2926728</v>
      </c>
      <c r="AN17" s="135">
        <v>16364297</v>
      </c>
      <c r="AO17" s="135">
        <v>2940192</v>
      </c>
      <c r="AP17" s="135">
        <v>50294732</v>
      </c>
      <c r="AQ17" s="135">
        <v>13687383</v>
      </c>
      <c r="AR17" s="135">
        <v>25293877</v>
      </c>
      <c r="AS17" s="135">
        <v>1321110</v>
      </c>
      <c r="AT17" s="135">
        <v>1438217</v>
      </c>
      <c r="AX17" s="135">
        <v>309693</v>
      </c>
      <c r="AZ17" s="82">
        <v>7843492.7199999997</v>
      </c>
      <c r="BA17" s="82">
        <v>3921746.36</v>
      </c>
      <c r="BB17" s="117">
        <v>0</v>
      </c>
      <c r="BC17" s="118">
        <v>0</v>
      </c>
      <c r="BD17" s="118">
        <v>0</v>
      </c>
      <c r="BE17" s="117">
        <v>3123638</v>
      </c>
      <c r="BF17" s="117">
        <v>3123638</v>
      </c>
      <c r="BG17" s="117">
        <v>28299620</v>
      </c>
      <c r="BH17" s="117">
        <v>28299620</v>
      </c>
      <c r="BI17" s="117">
        <v>0</v>
      </c>
      <c r="BJ17" s="117">
        <v>0</v>
      </c>
      <c r="BK17" s="138"/>
      <c r="BL17" s="86">
        <v>634366903.26401639</v>
      </c>
      <c r="BM17" s="86">
        <v>493180935.90401638</v>
      </c>
      <c r="BN17" s="87">
        <v>1570600</v>
      </c>
      <c r="BP17" s="86">
        <v>459828943</v>
      </c>
      <c r="BQ17" s="86">
        <v>102914235</v>
      </c>
      <c r="BR17" s="86">
        <v>2926728</v>
      </c>
      <c r="BS17" s="86">
        <v>34312982</v>
      </c>
      <c r="BT17" s="86">
        <v>599982888</v>
      </c>
    </row>
    <row r="18" spans="1:72" x14ac:dyDescent="0.25">
      <c r="A18" s="91" t="s">
        <v>72</v>
      </c>
      <c r="B18" s="135">
        <v>259184717</v>
      </c>
      <c r="C18" s="135">
        <v>132075654</v>
      </c>
      <c r="D18" s="135">
        <v>107355653</v>
      </c>
      <c r="E18" s="135">
        <v>3700000</v>
      </c>
      <c r="F18" s="135">
        <v>41314899</v>
      </c>
      <c r="G18" s="135">
        <v>11373920</v>
      </c>
      <c r="H18" s="135">
        <v>11328748</v>
      </c>
      <c r="I18" s="135">
        <v>1898230</v>
      </c>
      <c r="J18" s="135">
        <v>131800</v>
      </c>
      <c r="K18" s="135">
        <v>37000</v>
      </c>
      <c r="L18" s="135">
        <v>320326488</v>
      </c>
      <c r="M18" s="135">
        <v>72395566</v>
      </c>
      <c r="N18" s="135">
        <v>1363</v>
      </c>
      <c r="O18" s="135">
        <v>373</v>
      </c>
      <c r="P18" s="135">
        <v>2358271</v>
      </c>
      <c r="Q18" s="135">
        <v>2200683</v>
      </c>
      <c r="R18" s="135">
        <v>0</v>
      </c>
      <c r="S18" s="135">
        <v>1387749</v>
      </c>
      <c r="T18" s="135">
        <v>189633</v>
      </c>
      <c r="U18" s="135">
        <v>373500</v>
      </c>
      <c r="V18" s="135">
        <v>2358271</v>
      </c>
      <c r="W18" s="135">
        <v>1896980</v>
      </c>
      <c r="X18" s="135">
        <v>0</v>
      </c>
      <c r="Y18" s="135">
        <v>1387749</v>
      </c>
      <c r="Z18" s="135">
        <v>915170</v>
      </c>
      <c r="AA18" s="135">
        <v>373500</v>
      </c>
      <c r="AB18" s="135">
        <v>-1655450</v>
      </c>
      <c r="AC18" s="135">
        <v>0</v>
      </c>
      <c r="AD18" s="135">
        <v>24725</v>
      </c>
      <c r="AE18" s="135">
        <v>46677</v>
      </c>
      <c r="AF18" s="135">
        <v>33097272</v>
      </c>
      <c r="AG18" s="135">
        <v>198833</v>
      </c>
      <c r="AH18" s="135">
        <v>5500</v>
      </c>
      <c r="AI18" s="135">
        <v>1477174.180327869</v>
      </c>
      <c r="AJ18" s="139"/>
      <c r="AK18" s="82">
        <v>103376070</v>
      </c>
      <c r="AL18" s="82">
        <v>4120564</v>
      </c>
      <c r="AN18" s="135">
        <v>28088855</v>
      </c>
      <c r="AO18" s="135">
        <v>13350960</v>
      </c>
      <c r="AP18" s="135">
        <v>121933615</v>
      </c>
      <c r="AQ18" s="135">
        <v>28069300</v>
      </c>
      <c r="AR18" s="135">
        <v>21283620</v>
      </c>
      <c r="AS18" s="135">
        <v>15119864</v>
      </c>
      <c r="AT18" s="135">
        <v>1441130</v>
      </c>
      <c r="AU18" s="135">
        <v>184556</v>
      </c>
      <c r="AV18" s="135">
        <v>12523</v>
      </c>
      <c r="AX18" s="135">
        <v>59497</v>
      </c>
      <c r="AY18" s="135">
        <v>1010000</v>
      </c>
      <c r="AZ18" s="82">
        <v>7878690.9500000002</v>
      </c>
      <c r="BA18" s="82">
        <v>3939345.48</v>
      </c>
      <c r="BB18" s="117">
        <v>0</v>
      </c>
      <c r="BC18" s="118">
        <v>1611961</v>
      </c>
      <c r="BD18" s="118">
        <v>3223923</v>
      </c>
      <c r="BE18" s="117">
        <v>41333246</v>
      </c>
      <c r="BF18" s="117">
        <v>36961566</v>
      </c>
      <c r="BG18" s="117">
        <v>32554315</v>
      </c>
      <c r="BH18" s="117">
        <v>30747449</v>
      </c>
      <c r="BI18" s="117">
        <v>0</v>
      </c>
      <c r="BJ18" s="117">
        <v>13300099</v>
      </c>
      <c r="BK18" s="138"/>
      <c r="BL18" s="86">
        <v>763664867.66032791</v>
      </c>
      <c r="BM18" s="86">
        <v>569607813.18032789</v>
      </c>
      <c r="BN18" s="87">
        <v>429000</v>
      </c>
      <c r="BP18" s="86">
        <v>498616024</v>
      </c>
      <c r="BQ18" s="86">
        <v>103376070</v>
      </c>
      <c r="BR18" s="86">
        <v>4120564</v>
      </c>
      <c r="BS18" s="86">
        <v>84628979</v>
      </c>
      <c r="BT18" s="86">
        <v>690741637</v>
      </c>
    </row>
    <row r="19" spans="1:72" ht="12.75" customHeight="1" x14ac:dyDescent="0.25">
      <c r="A19" s="91" t="s">
        <v>73</v>
      </c>
      <c r="B19" s="135">
        <v>1483434358</v>
      </c>
      <c r="C19" s="135">
        <v>265843284</v>
      </c>
      <c r="D19" s="135">
        <v>454672968</v>
      </c>
      <c r="E19" s="135">
        <v>0</v>
      </c>
      <c r="F19" s="135">
        <v>122251452</v>
      </c>
      <c r="G19" s="135">
        <v>9628750</v>
      </c>
      <c r="H19" s="135">
        <v>19221800</v>
      </c>
      <c r="I19" s="135">
        <v>940500</v>
      </c>
      <c r="J19" s="135">
        <v>81000</v>
      </c>
      <c r="K19" s="135">
        <v>81000</v>
      </c>
      <c r="L19" s="135">
        <v>646305836</v>
      </c>
      <c r="M19" s="135">
        <v>162522701</v>
      </c>
      <c r="N19" s="135">
        <v>3656</v>
      </c>
      <c r="O19" s="135">
        <v>309</v>
      </c>
      <c r="P19" s="135">
        <v>10311900</v>
      </c>
      <c r="Q19" s="135">
        <v>2969000</v>
      </c>
      <c r="R19" s="135">
        <v>7373500</v>
      </c>
      <c r="S19" s="135">
        <v>3093521</v>
      </c>
      <c r="T19" s="135">
        <v>579500</v>
      </c>
      <c r="U19" s="135">
        <v>1825358</v>
      </c>
      <c r="V19" s="135">
        <v>10311900</v>
      </c>
      <c r="W19" s="135">
        <v>3052000</v>
      </c>
      <c r="X19" s="135">
        <v>7373500</v>
      </c>
      <c r="Y19" s="135">
        <v>3093521</v>
      </c>
      <c r="Z19" s="135">
        <v>251000</v>
      </c>
      <c r="AA19" s="135">
        <v>1825358</v>
      </c>
      <c r="AB19" s="135">
        <v>-8331997</v>
      </c>
      <c r="AC19" s="135">
        <v>493544</v>
      </c>
      <c r="AD19" s="135">
        <v>64924</v>
      </c>
      <c r="AE19" s="135">
        <v>4681</v>
      </c>
      <c r="AF19" s="135">
        <v>2340500</v>
      </c>
      <c r="AG19" s="135">
        <v>203431</v>
      </c>
      <c r="AH19" s="135">
        <v>0</v>
      </c>
      <c r="AI19" s="135">
        <v>22352.459016393441</v>
      </c>
      <c r="AJ19" s="139"/>
      <c r="AK19" s="82">
        <v>287972366</v>
      </c>
      <c r="AL19" s="82">
        <v>17897865</v>
      </c>
      <c r="AM19" s="135">
        <v>373100</v>
      </c>
      <c r="AN19" s="135">
        <v>59435279</v>
      </c>
      <c r="AO19" s="135">
        <v>5450715</v>
      </c>
      <c r="AP19" s="135">
        <v>100611137</v>
      </c>
      <c r="AQ19" s="135">
        <v>59851970</v>
      </c>
      <c r="AR19" s="135">
        <v>61386543</v>
      </c>
      <c r="AS19" s="135">
        <v>36140868</v>
      </c>
      <c r="AT19" s="135">
        <f>6283477</f>
        <v>6283477</v>
      </c>
      <c r="AV19" s="135">
        <v>12729</v>
      </c>
      <c r="AW19" s="135">
        <v>1161987</v>
      </c>
      <c r="AX19" s="135">
        <v>31577</v>
      </c>
      <c r="AY19" s="135">
        <v>1727217</v>
      </c>
      <c r="AZ19" s="82">
        <v>21947490.120000001</v>
      </c>
      <c r="BA19" s="82">
        <v>10973745.060000001</v>
      </c>
      <c r="BB19" s="117">
        <v>10198984.330939377</v>
      </c>
      <c r="BC19" s="118">
        <v>887017</v>
      </c>
      <c r="BD19" s="118">
        <v>1774034</v>
      </c>
      <c r="BE19" s="117">
        <v>2944695</v>
      </c>
      <c r="BF19" s="117">
        <v>2944695</v>
      </c>
      <c r="BG19" s="117">
        <v>51286187</v>
      </c>
      <c r="BH19" s="117">
        <v>50205060</v>
      </c>
      <c r="BI19" s="117">
        <v>0</v>
      </c>
      <c r="BJ19" s="117">
        <v>14968771</v>
      </c>
      <c r="BK19" s="138"/>
      <c r="BL19" s="86">
        <v>2714560445.5190163</v>
      </c>
      <c r="BM19" s="86">
        <v>2328710926.4590163</v>
      </c>
      <c r="BN19" s="87">
        <v>3636043</v>
      </c>
      <c r="BP19" s="86">
        <v>2203950610</v>
      </c>
      <c r="BQ19" s="86">
        <v>287972366</v>
      </c>
      <c r="BR19" s="86">
        <v>17897865</v>
      </c>
      <c r="BS19" s="86">
        <v>160878832</v>
      </c>
      <c r="BT19" s="86">
        <v>2670699673</v>
      </c>
    </row>
    <row r="20" spans="1:72" x14ac:dyDescent="0.25">
      <c r="A20" s="91" t="s">
        <v>74</v>
      </c>
      <c r="B20" s="135">
        <v>5145316339</v>
      </c>
      <c r="C20" s="135">
        <v>229555900</v>
      </c>
      <c r="D20" s="135">
        <v>1339143174</v>
      </c>
      <c r="E20" s="135">
        <v>0</v>
      </c>
      <c r="F20" s="135">
        <v>305961341</v>
      </c>
      <c r="G20" s="135">
        <v>33264625</v>
      </c>
      <c r="H20" s="135">
        <v>16899900</v>
      </c>
      <c r="I20" s="135">
        <v>1660500</v>
      </c>
      <c r="J20" s="135">
        <v>1012500</v>
      </c>
      <c r="K20" s="135">
        <v>121500</v>
      </c>
      <c r="L20" s="135">
        <v>247768022</v>
      </c>
      <c r="M20" s="135">
        <v>477323922</v>
      </c>
      <c r="N20" s="135">
        <v>8045</v>
      </c>
      <c r="O20" s="135">
        <v>882</v>
      </c>
      <c r="P20" s="135">
        <v>60175345</v>
      </c>
      <c r="Q20" s="135">
        <v>7834400</v>
      </c>
      <c r="R20" s="135">
        <v>25745387</v>
      </c>
      <c r="S20" s="135">
        <v>16152517</v>
      </c>
      <c r="T20" s="135">
        <v>1720200</v>
      </c>
      <c r="U20" s="135">
        <v>40041869</v>
      </c>
      <c r="V20" s="135">
        <v>60175345</v>
      </c>
      <c r="W20" s="135">
        <v>7834400</v>
      </c>
      <c r="X20" s="135">
        <v>25745387</v>
      </c>
      <c r="Y20" s="135">
        <v>16152517</v>
      </c>
      <c r="Z20" s="135">
        <v>1720200</v>
      </c>
      <c r="AA20" s="135">
        <v>40041869</v>
      </c>
      <c r="AB20" s="135">
        <v>17389622</v>
      </c>
      <c r="AC20" s="135">
        <v>-746944</v>
      </c>
      <c r="AD20" s="135">
        <v>0</v>
      </c>
      <c r="AE20" s="135">
        <v>0</v>
      </c>
      <c r="AF20" s="135">
        <v>0</v>
      </c>
      <c r="AG20" s="135">
        <v>0</v>
      </c>
      <c r="AH20" s="135">
        <v>0</v>
      </c>
      <c r="AI20" s="135">
        <v>0</v>
      </c>
      <c r="AJ20" s="139"/>
      <c r="AK20" s="82">
        <v>661995955</v>
      </c>
      <c r="AL20" s="82">
        <v>15316722</v>
      </c>
      <c r="AN20" s="135">
        <v>182139492</v>
      </c>
      <c r="AO20" s="135">
        <v>26702001</v>
      </c>
      <c r="AP20" s="135">
        <v>200784172</v>
      </c>
      <c r="AQ20" s="135">
        <v>146085672</v>
      </c>
      <c r="AR20" s="135">
        <v>90614296</v>
      </c>
      <c r="AS20" s="135">
        <v>23738530</v>
      </c>
      <c r="AT20" s="135">
        <f>281901+125</f>
        <v>282026</v>
      </c>
      <c r="AW20" s="135">
        <v>219464</v>
      </c>
      <c r="AX20" s="135">
        <v>7959979</v>
      </c>
      <c r="AZ20" s="82">
        <v>50453277.460000001</v>
      </c>
      <c r="BA20" s="82">
        <v>25226638.73</v>
      </c>
      <c r="BB20" s="117">
        <v>32614933.849741966</v>
      </c>
      <c r="BC20" s="118">
        <v>2584395</v>
      </c>
      <c r="BD20" s="118">
        <v>5168789</v>
      </c>
      <c r="BE20" s="117">
        <v>118078577</v>
      </c>
      <c r="BF20" s="117">
        <v>118078577</v>
      </c>
      <c r="BG20" s="117">
        <v>190482997</v>
      </c>
      <c r="BH20" s="117">
        <v>183674872</v>
      </c>
      <c r="BI20" s="117">
        <v>1793788</v>
      </c>
      <c r="BJ20" s="117">
        <v>0</v>
      </c>
      <c r="BK20" s="138"/>
      <c r="BL20" s="86">
        <v>8077613525.7299995</v>
      </c>
      <c r="BM20" s="86">
        <v>7068942578</v>
      </c>
      <c r="BN20" s="87">
        <v>7214857</v>
      </c>
      <c r="BP20" s="86">
        <v>6714015413</v>
      </c>
      <c r="BQ20" s="86">
        <v>661995955</v>
      </c>
      <c r="BR20" s="86">
        <v>15316722</v>
      </c>
      <c r="BS20" s="86">
        <v>378665695</v>
      </c>
      <c r="BT20" s="86">
        <v>7769993785</v>
      </c>
    </row>
    <row r="21" spans="1:72" x14ac:dyDescent="0.25">
      <c r="A21" s="91" t="s">
        <v>75</v>
      </c>
      <c r="B21" s="135">
        <v>83413705</v>
      </c>
      <c r="C21" s="135">
        <v>97582046</v>
      </c>
      <c r="D21" s="135">
        <v>19712883</v>
      </c>
      <c r="E21" s="135">
        <v>0</v>
      </c>
      <c r="F21" s="135">
        <v>15397249</v>
      </c>
      <c r="G21" s="135">
        <v>6220300</v>
      </c>
      <c r="H21" s="135">
        <v>6967470</v>
      </c>
      <c r="I21" s="135">
        <v>1209943</v>
      </c>
      <c r="J21" s="135">
        <v>0</v>
      </c>
      <c r="K21" s="135">
        <v>0</v>
      </c>
      <c r="L21" s="135">
        <v>396910204</v>
      </c>
      <c r="M21" s="135">
        <v>34531474</v>
      </c>
      <c r="N21" s="135">
        <v>616</v>
      </c>
      <c r="O21" s="135">
        <v>218</v>
      </c>
      <c r="P21" s="135">
        <v>1437600</v>
      </c>
      <c r="Q21" s="135">
        <v>2350740</v>
      </c>
      <c r="R21" s="135">
        <v>400000</v>
      </c>
      <c r="S21" s="135">
        <v>912650</v>
      </c>
      <c r="T21" s="135">
        <v>1590315</v>
      </c>
      <c r="U21" s="135">
        <v>152000</v>
      </c>
      <c r="V21" s="135">
        <v>1437600</v>
      </c>
      <c r="W21" s="135">
        <v>1242000</v>
      </c>
      <c r="X21" s="135">
        <v>400000</v>
      </c>
      <c r="Y21" s="135">
        <v>912650</v>
      </c>
      <c r="Z21" s="135">
        <v>2204000</v>
      </c>
      <c r="AA21" s="135">
        <v>152000</v>
      </c>
      <c r="AB21" s="135">
        <v>-648292</v>
      </c>
      <c r="AC21" s="135">
        <v>0</v>
      </c>
      <c r="AD21" s="135">
        <v>25656</v>
      </c>
      <c r="AE21" s="135">
        <v>92194</v>
      </c>
      <c r="AF21" s="135">
        <v>52058718</v>
      </c>
      <c r="AG21" s="135">
        <v>40733</v>
      </c>
      <c r="AH21" s="135">
        <v>0</v>
      </c>
      <c r="AI21" s="135">
        <v>1278.688524590164</v>
      </c>
      <c r="AJ21" s="139"/>
      <c r="AK21" s="82">
        <v>50390561</v>
      </c>
      <c r="AL21" s="82">
        <v>2013454</v>
      </c>
      <c r="AN21" s="135">
        <v>13050054</v>
      </c>
      <c r="AO21" s="135">
        <v>22055</v>
      </c>
      <c r="AP21" s="135">
        <v>472171</v>
      </c>
      <c r="AQ21" s="135">
        <v>2328320</v>
      </c>
      <c r="AR21" s="135">
        <v>661165</v>
      </c>
      <c r="AT21" s="135">
        <v>1919124</v>
      </c>
      <c r="AZ21" s="82">
        <v>3840459.96</v>
      </c>
      <c r="BA21" s="82">
        <v>1920229.98</v>
      </c>
      <c r="BB21" s="117">
        <v>13635005.790025907</v>
      </c>
      <c r="BC21" s="118">
        <v>897968</v>
      </c>
      <c r="BD21" s="118">
        <v>1795935</v>
      </c>
      <c r="BE21" s="117">
        <v>16172181</v>
      </c>
      <c r="BF21" s="117">
        <v>16172181</v>
      </c>
      <c r="BG21" s="117">
        <v>36210359</v>
      </c>
      <c r="BH21" s="117">
        <v>28384151</v>
      </c>
      <c r="BI21" s="117">
        <v>0</v>
      </c>
      <c r="BJ21" s="117">
        <v>0</v>
      </c>
      <c r="BK21" s="138"/>
      <c r="BL21" s="86">
        <v>315888886.66852462</v>
      </c>
      <c r="BM21" s="86">
        <v>216110341.6885246</v>
      </c>
      <c r="BN21" s="87">
        <v>277450</v>
      </c>
      <c r="BP21" s="86">
        <v>200708634</v>
      </c>
      <c r="BQ21" s="86">
        <v>50390561</v>
      </c>
      <c r="BR21" s="86">
        <v>2013454</v>
      </c>
      <c r="BS21" s="86">
        <v>15400429</v>
      </c>
      <c r="BT21" s="86">
        <v>268513078</v>
      </c>
    </row>
    <row r="22" spans="1:72" x14ac:dyDescent="0.25">
      <c r="A22" s="91" t="s">
        <v>76</v>
      </c>
      <c r="B22" s="135">
        <v>246692840</v>
      </c>
      <c r="C22" s="135">
        <v>69406850</v>
      </c>
      <c r="D22" s="135">
        <v>242349413</v>
      </c>
      <c r="E22" s="135">
        <v>239799172</v>
      </c>
      <c r="F22" s="135">
        <v>29017900</v>
      </c>
      <c r="G22" s="135">
        <v>2754800</v>
      </c>
      <c r="H22" s="135">
        <v>5644800</v>
      </c>
      <c r="I22" s="135">
        <v>186900</v>
      </c>
      <c r="J22" s="135">
        <v>121500</v>
      </c>
      <c r="K22" s="135">
        <v>40500</v>
      </c>
      <c r="L22" s="135">
        <v>134649090</v>
      </c>
      <c r="M22" s="135">
        <v>49025900</v>
      </c>
      <c r="N22" s="135">
        <v>905</v>
      </c>
      <c r="O22" s="135">
        <v>92</v>
      </c>
      <c r="P22" s="135">
        <v>2725800</v>
      </c>
      <c r="Q22" s="135">
        <v>1195200</v>
      </c>
      <c r="R22" s="135">
        <v>32461800</v>
      </c>
      <c r="S22" s="135">
        <v>807600</v>
      </c>
      <c r="T22" s="135">
        <v>112340</v>
      </c>
      <c r="U22" s="135">
        <v>6962400</v>
      </c>
      <c r="V22" s="135">
        <v>2725800</v>
      </c>
      <c r="W22" s="135">
        <v>1458900</v>
      </c>
      <c r="X22" s="135">
        <v>32461800</v>
      </c>
      <c r="Y22" s="135">
        <v>807600</v>
      </c>
      <c r="Z22" s="135">
        <v>121500</v>
      </c>
      <c r="AA22" s="135">
        <v>6962400</v>
      </c>
      <c r="AB22" s="135">
        <v>-527500</v>
      </c>
      <c r="AC22" s="135">
        <v>-1729</v>
      </c>
      <c r="AD22" s="135">
        <v>22091</v>
      </c>
      <c r="AE22" s="135">
        <v>0</v>
      </c>
      <c r="AF22" s="135">
        <v>0</v>
      </c>
      <c r="AG22" s="135">
        <v>66798</v>
      </c>
      <c r="AH22" s="135">
        <v>0</v>
      </c>
      <c r="AI22" s="135">
        <v>470920.08196721319</v>
      </c>
      <c r="AJ22" s="139"/>
      <c r="AK22" s="82">
        <v>82077981</v>
      </c>
      <c r="AL22" s="82">
        <v>1620219</v>
      </c>
      <c r="AM22" s="135">
        <v>552700</v>
      </c>
      <c r="AN22" s="135">
        <v>34268399</v>
      </c>
      <c r="AO22" s="135">
        <v>6592694</v>
      </c>
      <c r="AP22" s="135">
        <v>189928640</v>
      </c>
      <c r="AQ22" s="135">
        <v>25909480</v>
      </c>
      <c r="AR22" s="135">
        <v>42673529</v>
      </c>
      <c r="AS22" s="135">
        <v>15988431</v>
      </c>
      <c r="AT22" s="135">
        <v>1621280451</v>
      </c>
      <c r="AX22" s="135">
        <v>13802150</v>
      </c>
      <c r="AZ22" s="82">
        <v>6255481.0499999998</v>
      </c>
      <c r="BA22" s="82">
        <v>3127740.53</v>
      </c>
      <c r="BB22" s="117">
        <v>24842980.5494272</v>
      </c>
      <c r="BC22" s="118">
        <v>2327415</v>
      </c>
      <c r="BD22" s="118">
        <v>4654831</v>
      </c>
      <c r="BE22" s="117">
        <v>91608196</v>
      </c>
      <c r="BF22" s="117">
        <v>91608196</v>
      </c>
      <c r="BG22" s="117">
        <v>67205378</v>
      </c>
      <c r="BH22" s="117">
        <v>64986257</v>
      </c>
      <c r="BI22" s="117">
        <v>0</v>
      </c>
      <c r="BJ22" s="117">
        <v>0</v>
      </c>
      <c r="BK22" s="138"/>
      <c r="BL22" s="86">
        <v>871438404.61196721</v>
      </c>
      <c r="BM22" s="86">
        <v>625690596.08196723</v>
      </c>
      <c r="BN22" s="87">
        <v>993300</v>
      </c>
      <c r="BP22" s="86">
        <v>558449103</v>
      </c>
      <c r="BQ22" s="86">
        <v>82077981</v>
      </c>
      <c r="BR22" s="86">
        <v>1620219</v>
      </c>
      <c r="BS22" s="86">
        <v>82759004</v>
      </c>
      <c r="BT22" s="86">
        <v>724906307</v>
      </c>
    </row>
    <row r="23" spans="1:72" x14ac:dyDescent="0.25">
      <c r="A23" s="91" t="s">
        <v>77</v>
      </c>
      <c r="B23" s="135">
        <v>445958777</v>
      </c>
      <c r="C23" s="135">
        <v>164157673</v>
      </c>
      <c r="D23" s="135">
        <v>186214373</v>
      </c>
      <c r="E23" s="135">
        <v>0</v>
      </c>
      <c r="F23" s="135">
        <v>60025400</v>
      </c>
      <c r="G23" s="135">
        <v>38640000</v>
      </c>
      <c r="H23" s="135">
        <v>21769350</v>
      </c>
      <c r="I23" s="135">
        <v>9179550</v>
      </c>
      <c r="J23" s="135">
        <v>165000</v>
      </c>
      <c r="K23" s="135">
        <v>40500</v>
      </c>
      <c r="L23" s="135">
        <v>149832271</v>
      </c>
      <c r="M23" s="135">
        <v>123096700</v>
      </c>
      <c r="N23" s="135">
        <v>2263</v>
      </c>
      <c r="O23" s="135">
        <v>1408</v>
      </c>
      <c r="P23" s="135">
        <v>9372250</v>
      </c>
      <c r="Q23" s="135">
        <v>1787450</v>
      </c>
      <c r="R23" s="135">
        <v>2053000</v>
      </c>
      <c r="S23" s="135">
        <v>2043530</v>
      </c>
      <c r="T23" s="135">
        <v>743000</v>
      </c>
      <c r="U23" s="135">
        <v>6202125</v>
      </c>
      <c r="V23" s="135">
        <v>9372250</v>
      </c>
      <c r="W23" s="135">
        <v>1958450</v>
      </c>
      <c r="X23" s="135">
        <v>2053000</v>
      </c>
      <c r="Y23" s="135">
        <v>2043530</v>
      </c>
      <c r="Z23" s="135">
        <v>1091700</v>
      </c>
      <c r="AA23" s="135">
        <v>6202125</v>
      </c>
      <c r="AB23" s="135">
        <v>-5371700</v>
      </c>
      <c r="AC23" s="135">
        <v>1664652</v>
      </c>
      <c r="AD23" s="135">
        <v>288996</v>
      </c>
      <c r="AE23" s="135">
        <v>0</v>
      </c>
      <c r="AF23" s="135">
        <v>0</v>
      </c>
      <c r="AG23" s="135">
        <v>436954</v>
      </c>
      <c r="AH23" s="135">
        <v>0</v>
      </c>
      <c r="AI23" s="135">
        <v>1082696.7213114756</v>
      </c>
      <c r="AJ23" s="139">
        <v>56000</v>
      </c>
      <c r="AK23" s="82">
        <v>209473509</v>
      </c>
      <c r="AL23" s="82">
        <v>6664146</v>
      </c>
      <c r="AM23" s="135">
        <v>88244</v>
      </c>
      <c r="AN23" s="135">
        <v>25365404</v>
      </c>
      <c r="AO23" s="135">
        <v>2697830</v>
      </c>
      <c r="AP23" s="135">
        <v>30219312</v>
      </c>
      <c r="AQ23" s="135">
        <v>25667267</v>
      </c>
      <c r="AR23" s="135">
        <v>14659302</v>
      </c>
      <c r="AT23" s="135">
        <v>898728</v>
      </c>
      <c r="AW23" s="135">
        <v>65156</v>
      </c>
      <c r="AX23" s="135">
        <v>762859</v>
      </c>
      <c r="AZ23" s="82">
        <v>15964787.99</v>
      </c>
      <c r="BA23" s="82">
        <v>7982394</v>
      </c>
      <c r="BB23" s="117">
        <v>0</v>
      </c>
      <c r="BC23" s="118">
        <v>0</v>
      </c>
      <c r="BD23" s="118">
        <v>0</v>
      </c>
      <c r="BE23" s="117">
        <v>29343622</v>
      </c>
      <c r="BF23" s="117">
        <v>29343622</v>
      </c>
      <c r="BG23" s="117">
        <v>130170252</v>
      </c>
      <c r="BH23" s="117">
        <v>130169487</v>
      </c>
      <c r="BI23" s="117">
        <v>0</v>
      </c>
      <c r="BJ23" s="117">
        <v>0</v>
      </c>
      <c r="BK23" s="138"/>
      <c r="BL23" s="86">
        <v>1234833178.7213116</v>
      </c>
      <c r="BM23" s="86">
        <v>851200020.72131145</v>
      </c>
      <c r="BN23" s="87">
        <v>13995291</v>
      </c>
      <c r="BP23" s="86">
        <v>796330823</v>
      </c>
      <c r="BQ23" s="86">
        <v>209473509</v>
      </c>
      <c r="BR23" s="86">
        <v>6664146</v>
      </c>
      <c r="BS23" s="86">
        <v>53730501</v>
      </c>
      <c r="BT23" s="86">
        <v>1066198979</v>
      </c>
    </row>
    <row r="24" spans="1:72" x14ac:dyDescent="0.25">
      <c r="A24" s="91" t="s">
        <v>78</v>
      </c>
      <c r="B24" s="135">
        <v>252767900</v>
      </c>
      <c r="C24" s="135">
        <v>204254550</v>
      </c>
      <c r="D24" s="135">
        <v>76951900</v>
      </c>
      <c r="E24" s="135">
        <v>0</v>
      </c>
      <c r="F24" s="135">
        <v>46751200</v>
      </c>
      <c r="G24" s="135">
        <v>6873000</v>
      </c>
      <c r="H24" s="135">
        <v>24527800</v>
      </c>
      <c r="I24" s="135">
        <v>2054600</v>
      </c>
      <c r="J24" s="135">
        <v>0</v>
      </c>
      <c r="K24" s="135">
        <v>0</v>
      </c>
      <c r="L24" s="135">
        <v>346623575</v>
      </c>
      <c r="M24" s="135">
        <v>128469100</v>
      </c>
      <c r="N24" s="135">
        <v>1920</v>
      </c>
      <c r="O24" s="135">
        <v>282</v>
      </c>
      <c r="P24" s="135">
        <v>2617300</v>
      </c>
      <c r="Q24" s="135">
        <v>3124000</v>
      </c>
      <c r="R24" s="135">
        <v>475000</v>
      </c>
      <c r="S24" s="135">
        <v>1120500</v>
      </c>
      <c r="T24" s="135">
        <v>316500</v>
      </c>
      <c r="U24" s="135">
        <v>255000</v>
      </c>
      <c r="V24" s="135">
        <v>2617300</v>
      </c>
      <c r="W24" s="135">
        <v>3488000</v>
      </c>
      <c r="X24" s="135">
        <v>475000</v>
      </c>
      <c r="Y24" s="135">
        <v>1120500</v>
      </c>
      <c r="Z24" s="135">
        <v>148500</v>
      </c>
      <c r="AA24" s="135">
        <v>255000</v>
      </c>
      <c r="AB24" s="135">
        <v>-2622900</v>
      </c>
      <c r="AC24" s="135">
        <v>-95250</v>
      </c>
      <c r="AD24" s="135">
        <v>146461</v>
      </c>
      <c r="AE24" s="135">
        <v>0</v>
      </c>
      <c r="AF24" s="135">
        <v>0</v>
      </c>
      <c r="AG24" s="135">
        <v>275804</v>
      </c>
      <c r="AH24" s="135">
        <v>0</v>
      </c>
      <c r="AI24" s="135">
        <v>61145.491803278688</v>
      </c>
      <c r="AJ24" s="139"/>
      <c r="AK24" s="82">
        <v>99621123</v>
      </c>
      <c r="AL24" s="82">
        <v>3656723</v>
      </c>
      <c r="AN24" s="135">
        <v>11792431</v>
      </c>
      <c r="AO24" s="135">
        <v>350265</v>
      </c>
      <c r="AP24" s="135">
        <v>21173460</v>
      </c>
      <c r="AQ24" s="135">
        <v>13878864</v>
      </c>
      <c r="AR24" s="135">
        <v>24185993</v>
      </c>
      <c r="AS24" s="135">
        <v>10040256</v>
      </c>
      <c r="AT24" s="135">
        <v>290760</v>
      </c>
      <c r="AX24" s="135">
        <v>8516</v>
      </c>
      <c r="AZ24" s="82">
        <v>7592511.8899999997</v>
      </c>
      <c r="BA24" s="82">
        <v>3796255.95</v>
      </c>
      <c r="BB24" s="117">
        <v>0</v>
      </c>
      <c r="BC24" s="118">
        <v>0</v>
      </c>
      <c r="BD24" s="118">
        <v>0</v>
      </c>
      <c r="BE24" s="117">
        <v>18289881</v>
      </c>
      <c r="BF24" s="117">
        <v>18289881</v>
      </c>
      <c r="BG24" s="117">
        <v>60272963</v>
      </c>
      <c r="BH24" s="117">
        <v>59998392</v>
      </c>
      <c r="BI24" s="117">
        <v>0</v>
      </c>
      <c r="BJ24" s="117">
        <v>0</v>
      </c>
      <c r="BK24" s="138"/>
      <c r="BL24" s="86">
        <v>745419430.44180334</v>
      </c>
      <c r="BM24" s="86">
        <v>560057055.49180329</v>
      </c>
      <c r="BN24" s="87">
        <v>674500</v>
      </c>
      <c r="BP24" s="86">
        <v>533974350</v>
      </c>
      <c r="BQ24" s="86">
        <v>99621123</v>
      </c>
      <c r="BR24" s="86">
        <v>3656723</v>
      </c>
      <c r="BS24" s="86">
        <v>36061816</v>
      </c>
      <c r="BT24" s="86">
        <v>673314012</v>
      </c>
    </row>
    <row r="25" spans="1:72" x14ac:dyDescent="0.25">
      <c r="A25" s="91" t="s">
        <v>79</v>
      </c>
      <c r="B25" s="135">
        <v>2039605457</v>
      </c>
      <c r="C25" s="135">
        <v>454274505</v>
      </c>
      <c r="D25" s="135">
        <v>1076715642</v>
      </c>
      <c r="E25" s="135">
        <v>39591627</v>
      </c>
      <c r="F25" s="135">
        <v>139431713</v>
      </c>
      <c r="G25" s="135">
        <v>23675685</v>
      </c>
      <c r="H25" s="135">
        <v>17469337</v>
      </c>
      <c r="I25" s="135">
        <v>1389208</v>
      </c>
      <c r="J25" s="135">
        <v>202500</v>
      </c>
      <c r="K25" s="135">
        <v>0</v>
      </c>
      <c r="L25" s="135">
        <v>1824350930</v>
      </c>
      <c r="M25" s="135">
        <v>214701344</v>
      </c>
      <c r="N25" s="135">
        <v>3981</v>
      </c>
      <c r="O25" s="135">
        <v>656</v>
      </c>
      <c r="P25" s="135">
        <v>37717824</v>
      </c>
      <c r="Q25" s="135">
        <v>3789443</v>
      </c>
      <c r="R25" s="135">
        <v>127768337</v>
      </c>
      <c r="S25" s="135">
        <v>10633083</v>
      </c>
      <c r="T25" s="135">
        <v>2750901</v>
      </c>
      <c r="U25" s="135">
        <v>21628142</v>
      </c>
      <c r="V25" s="135">
        <v>37717824</v>
      </c>
      <c r="W25" s="135">
        <v>5302462</v>
      </c>
      <c r="X25" s="135">
        <v>127768337</v>
      </c>
      <c r="Y25" s="135">
        <v>10633083</v>
      </c>
      <c r="Z25" s="135">
        <v>6399669</v>
      </c>
      <c r="AA25" s="135">
        <v>21628142</v>
      </c>
      <c r="AB25" s="135">
        <v>-4072194</v>
      </c>
      <c r="AC25" s="135">
        <v>-23096</v>
      </c>
      <c r="AD25" s="135">
        <v>44068</v>
      </c>
      <c r="AE25" s="135">
        <v>2810</v>
      </c>
      <c r="AF25" s="135">
        <v>291087676</v>
      </c>
      <c r="AG25" s="135">
        <v>409507</v>
      </c>
      <c r="AH25" s="135">
        <v>1569045.0811475411</v>
      </c>
      <c r="AI25" s="135">
        <v>1858790.9836065574</v>
      </c>
      <c r="AJ25" s="139"/>
      <c r="AK25" s="82">
        <v>392712766</v>
      </c>
      <c r="AL25" s="82">
        <v>8596992</v>
      </c>
      <c r="AN25" s="135">
        <v>203515029</v>
      </c>
      <c r="AO25" s="135">
        <v>53050328</v>
      </c>
      <c r="AP25" s="135">
        <v>689545347</v>
      </c>
      <c r="AQ25" s="135">
        <v>184627911</v>
      </c>
      <c r="AR25" s="135">
        <v>200805784</v>
      </c>
      <c r="AS25" s="135">
        <v>93349197</v>
      </c>
      <c r="AT25" s="135">
        <v>8322466</v>
      </c>
      <c r="AU25" s="135">
        <v>18795644</v>
      </c>
      <c r="AV25" s="135">
        <v>3493211</v>
      </c>
      <c r="AW25" s="135">
        <v>287731272</v>
      </c>
      <c r="AX25" s="135">
        <v>1829749</v>
      </c>
      <c r="AY25" s="135">
        <v>1115126</v>
      </c>
      <c r="AZ25" s="82">
        <v>29930161.949999999</v>
      </c>
      <c r="BA25" s="82">
        <v>14965080.98</v>
      </c>
      <c r="BB25" s="117">
        <v>0</v>
      </c>
      <c r="BC25" s="118">
        <v>2458825</v>
      </c>
      <c r="BD25" s="118">
        <v>4917650</v>
      </c>
      <c r="BE25" s="117">
        <v>75155962</v>
      </c>
      <c r="BF25" s="117">
        <v>75155962</v>
      </c>
      <c r="BG25" s="117">
        <v>97763401</v>
      </c>
      <c r="BH25" s="117">
        <v>90249065</v>
      </c>
      <c r="BI25" s="117">
        <v>181631</v>
      </c>
      <c r="BJ25" s="117">
        <v>18159632</v>
      </c>
      <c r="BK25" s="138"/>
      <c r="BL25" s="86">
        <v>4617696662.044754</v>
      </c>
      <c r="BM25" s="86">
        <v>4015216708.064754</v>
      </c>
      <c r="BN25" s="87">
        <v>4919026</v>
      </c>
      <c r="BP25" s="86">
        <v>3570595604</v>
      </c>
      <c r="BQ25" s="86">
        <v>392712766</v>
      </c>
      <c r="BR25" s="86">
        <v>8596992</v>
      </c>
      <c r="BS25" s="86">
        <v>534542465</v>
      </c>
      <c r="BT25" s="86">
        <v>4506447827</v>
      </c>
    </row>
    <row r="26" spans="1:72" x14ac:dyDescent="0.25">
      <c r="A26" s="91" t="s">
        <v>80</v>
      </c>
      <c r="B26" s="135">
        <v>1604397800</v>
      </c>
      <c r="C26" s="135">
        <v>261241117</v>
      </c>
      <c r="D26" s="135">
        <v>697062300</v>
      </c>
      <c r="E26" s="135">
        <v>9100000</v>
      </c>
      <c r="F26" s="135">
        <v>107984200</v>
      </c>
      <c r="G26" s="135">
        <v>20030700</v>
      </c>
      <c r="H26" s="135">
        <v>15452700</v>
      </c>
      <c r="I26" s="135">
        <v>1650700</v>
      </c>
      <c r="J26" s="135">
        <v>202500</v>
      </c>
      <c r="K26" s="135">
        <v>0</v>
      </c>
      <c r="L26" s="135">
        <v>476650483</v>
      </c>
      <c r="M26" s="135">
        <v>187995300</v>
      </c>
      <c r="N26" s="135">
        <v>3115</v>
      </c>
      <c r="O26" s="135">
        <v>566</v>
      </c>
      <c r="P26" s="140">
        <v>29510600</v>
      </c>
      <c r="Q26" s="135">
        <v>5119000</v>
      </c>
      <c r="R26" s="135">
        <v>25365500</v>
      </c>
      <c r="S26" s="135">
        <v>5912500</v>
      </c>
      <c r="T26" s="135">
        <v>4225400</v>
      </c>
      <c r="U26" s="135">
        <v>25468000</v>
      </c>
      <c r="V26" s="135">
        <v>29510600</v>
      </c>
      <c r="W26" s="135">
        <v>6355900</v>
      </c>
      <c r="X26" s="135">
        <v>25365500</v>
      </c>
      <c r="Y26" s="135">
        <v>5912500</v>
      </c>
      <c r="Z26" s="135">
        <v>9313600</v>
      </c>
      <c r="AA26" s="135">
        <v>25468000</v>
      </c>
      <c r="AB26" s="135">
        <v>-3400400</v>
      </c>
      <c r="AC26" s="135">
        <v>-1411328</v>
      </c>
      <c r="AD26" s="135">
        <v>0</v>
      </c>
      <c r="AE26" s="135">
        <v>0</v>
      </c>
      <c r="AF26" s="135">
        <v>0</v>
      </c>
      <c r="AG26" s="135">
        <v>135398.91949999999</v>
      </c>
      <c r="AH26" s="135">
        <v>0</v>
      </c>
      <c r="AI26" s="135">
        <v>0</v>
      </c>
      <c r="AJ26" s="139"/>
      <c r="AK26" s="82">
        <v>285573092</v>
      </c>
      <c r="AL26" s="82">
        <v>7366233</v>
      </c>
      <c r="AN26" s="135">
        <v>85422152</v>
      </c>
      <c r="AO26" s="135">
        <v>17084905</v>
      </c>
      <c r="AP26" s="135">
        <v>247848167</v>
      </c>
      <c r="AQ26" s="135">
        <v>79946497</v>
      </c>
      <c r="AR26" s="135">
        <v>63299071</v>
      </c>
      <c r="AS26" s="135">
        <v>42117844</v>
      </c>
      <c r="AT26" s="135">
        <f>1090851+250</f>
        <v>1091101</v>
      </c>
      <c r="AV26" s="135">
        <v>7488</v>
      </c>
      <c r="AW26" s="135">
        <v>21547072</v>
      </c>
      <c r="AX26" s="135">
        <v>2758422</v>
      </c>
      <c r="AY26" s="135">
        <v>10000</v>
      </c>
      <c r="AZ26" s="82">
        <v>21764632.149999999</v>
      </c>
      <c r="BA26" s="82">
        <v>10882316.08</v>
      </c>
      <c r="BB26" s="117">
        <v>0</v>
      </c>
      <c r="BC26" s="118">
        <v>3735691</v>
      </c>
      <c r="BD26" s="118">
        <v>7471383</v>
      </c>
      <c r="BE26" s="117">
        <v>88221796</v>
      </c>
      <c r="BF26" s="117">
        <v>88098793</v>
      </c>
      <c r="BG26" s="117">
        <v>171082584</v>
      </c>
      <c r="BH26" s="117">
        <v>165193698</v>
      </c>
      <c r="BI26" s="117">
        <v>0</v>
      </c>
      <c r="BJ26" s="117">
        <v>0</v>
      </c>
      <c r="BK26" s="138"/>
      <c r="BL26" s="86">
        <v>3306004594.0799999</v>
      </c>
      <c r="BM26" s="86">
        <v>2745154771</v>
      </c>
      <c r="BN26" s="87">
        <v>1671700</v>
      </c>
      <c r="BP26" s="86">
        <v>2562701217</v>
      </c>
      <c r="BQ26" s="86">
        <v>285573092</v>
      </c>
      <c r="BR26" s="86">
        <v>7366233</v>
      </c>
      <c r="BS26" s="86">
        <v>224571398</v>
      </c>
      <c r="BT26" s="86">
        <v>3080211940</v>
      </c>
    </row>
    <row r="27" spans="1:72" x14ac:dyDescent="0.25">
      <c r="A27" s="91" t="s">
        <v>81</v>
      </c>
      <c r="B27" s="135">
        <v>208043500</v>
      </c>
      <c r="C27" s="135">
        <v>71315770</v>
      </c>
      <c r="D27" s="135">
        <v>80792800</v>
      </c>
      <c r="E27" s="135">
        <v>0</v>
      </c>
      <c r="F27" s="135">
        <v>53384700</v>
      </c>
      <c r="G27" s="135">
        <v>34175500</v>
      </c>
      <c r="H27" s="135">
        <v>13312600</v>
      </c>
      <c r="I27" s="135">
        <v>4989900</v>
      </c>
      <c r="J27" s="135">
        <v>75500</v>
      </c>
      <c r="K27" s="135">
        <v>81000</v>
      </c>
      <c r="L27" s="135">
        <v>72697585</v>
      </c>
      <c r="M27" s="135">
        <v>48544620</v>
      </c>
      <c r="N27" s="135">
        <v>1831</v>
      </c>
      <c r="O27" s="135">
        <v>1082</v>
      </c>
      <c r="P27" s="135">
        <v>2683855</v>
      </c>
      <c r="Q27" s="135">
        <v>113600</v>
      </c>
      <c r="R27" s="135">
        <v>3359100</v>
      </c>
      <c r="S27" s="135">
        <v>2509700</v>
      </c>
      <c r="T27" s="135">
        <v>578285</v>
      </c>
      <c r="U27" s="135">
        <v>5950100</v>
      </c>
      <c r="V27" s="135">
        <v>2683855</v>
      </c>
      <c r="W27" s="135">
        <v>714800</v>
      </c>
      <c r="X27" s="135">
        <v>3359100</v>
      </c>
      <c r="Y27" s="135">
        <v>2509700</v>
      </c>
      <c r="Z27" s="135">
        <v>680530</v>
      </c>
      <c r="AA27" s="135">
        <v>5950100</v>
      </c>
      <c r="AB27" s="135">
        <v>-1580000</v>
      </c>
      <c r="AC27" s="135">
        <v>0</v>
      </c>
      <c r="AD27" s="135">
        <v>181919</v>
      </c>
      <c r="AE27" s="135">
        <v>0</v>
      </c>
      <c r="AF27" s="140">
        <v>0</v>
      </c>
      <c r="AG27" s="135">
        <v>215039</v>
      </c>
      <c r="AH27" s="135">
        <v>2315897.5406557377</v>
      </c>
      <c r="AI27" s="135">
        <v>10165840.163934426</v>
      </c>
      <c r="AJ27" s="139">
        <v>10000</v>
      </c>
      <c r="AK27" s="82">
        <v>108537995</v>
      </c>
      <c r="AL27" s="82">
        <v>2918307</v>
      </c>
      <c r="AN27" s="135">
        <v>15185790</v>
      </c>
      <c r="AO27" s="135">
        <v>454685</v>
      </c>
      <c r="AP27" s="135">
        <v>7224486</v>
      </c>
      <c r="AQ27" s="135">
        <v>9021313</v>
      </c>
      <c r="AR27" s="135">
        <v>1891561</v>
      </c>
      <c r="AT27" s="135">
        <f>62192+45</f>
        <v>62237</v>
      </c>
      <c r="AX27" s="135">
        <v>643</v>
      </c>
      <c r="AZ27" s="82">
        <v>8272101.2699999996</v>
      </c>
      <c r="BA27" s="82">
        <v>4136050.64</v>
      </c>
      <c r="BB27" s="117">
        <v>0</v>
      </c>
      <c r="BC27" s="118">
        <v>778969</v>
      </c>
      <c r="BD27" s="118">
        <v>1557937</v>
      </c>
      <c r="BE27" s="117">
        <v>15053032</v>
      </c>
      <c r="BF27" s="117">
        <v>15053032</v>
      </c>
      <c r="BG27" s="117">
        <v>56339081</v>
      </c>
      <c r="BH27" s="117">
        <v>54745846</v>
      </c>
      <c r="BI27" s="117">
        <v>0</v>
      </c>
      <c r="BJ27" s="117">
        <v>0</v>
      </c>
      <c r="BK27" s="138"/>
      <c r="BL27" s="86">
        <v>583475795.34459019</v>
      </c>
      <c r="BM27" s="86">
        <v>397305595.70459014</v>
      </c>
      <c r="BN27" s="87">
        <v>504700</v>
      </c>
      <c r="BP27" s="86">
        <v>360152070</v>
      </c>
      <c r="BQ27" s="86">
        <v>108537995</v>
      </c>
      <c r="BR27" s="86">
        <v>2918307</v>
      </c>
      <c r="BS27" s="86">
        <v>24661788</v>
      </c>
      <c r="BT27" s="86">
        <v>496270160</v>
      </c>
    </row>
    <row r="28" spans="1:72" x14ac:dyDescent="0.25">
      <c r="A28" s="91" t="s">
        <v>82</v>
      </c>
      <c r="B28" s="135">
        <v>207298085</v>
      </c>
      <c r="C28" s="135">
        <v>72435202</v>
      </c>
      <c r="D28" s="135">
        <v>109875669</v>
      </c>
      <c r="E28" s="135">
        <v>0</v>
      </c>
      <c r="F28" s="135">
        <v>26754400</v>
      </c>
      <c r="G28" s="135">
        <v>11249162</v>
      </c>
      <c r="H28" s="135">
        <v>9254650</v>
      </c>
      <c r="I28" s="135">
        <v>1466100</v>
      </c>
      <c r="J28" s="135">
        <v>40500</v>
      </c>
      <c r="K28" s="135">
        <v>40500</v>
      </c>
      <c r="L28" s="135">
        <v>140287971</v>
      </c>
      <c r="M28" s="135">
        <v>47088740</v>
      </c>
      <c r="N28" s="135">
        <v>1014</v>
      </c>
      <c r="O28" s="135">
        <v>404</v>
      </c>
      <c r="P28" s="135">
        <v>5336720</v>
      </c>
      <c r="Q28" s="135">
        <v>225000</v>
      </c>
      <c r="R28" s="135">
        <v>1761300</v>
      </c>
      <c r="S28" s="135">
        <v>2615239</v>
      </c>
      <c r="T28" s="135">
        <v>299550</v>
      </c>
      <c r="U28" s="135">
        <v>172040</v>
      </c>
      <c r="V28" s="135">
        <v>5336720</v>
      </c>
      <c r="W28" s="135">
        <v>159232</v>
      </c>
      <c r="X28" s="135">
        <v>1761300</v>
      </c>
      <c r="Y28" s="135">
        <v>2615239</v>
      </c>
      <c r="Z28" s="135">
        <v>1080764</v>
      </c>
      <c r="AA28" s="135">
        <v>172040</v>
      </c>
      <c r="AB28" s="135">
        <v>-823200</v>
      </c>
      <c r="AD28" s="135">
        <v>47911</v>
      </c>
      <c r="AE28" s="135">
        <v>0</v>
      </c>
      <c r="AF28" s="135">
        <v>0</v>
      </c>
      <c r="AG28" s="135">
        <v>96578</v>
      </c>
      <c r="AH28" s="135">
        <v>1167065.573442623</v>
      </c>
      <c r="AI28" s="135">
        <v>379518.44262295088</v>
      </c>
      <c r="AJ28" s="139"/>
      <c r="AK28" s="82">
        <v>62504808</v>
      </c>
      <c r="AL28" s="82">
        <v>11157816</v>
      </c>
      <c r="AM28" s="135">
        <v>6148541</v>
      </c>
      <c r="AN28" s="135">
        <v>13789927</v>
      </c>
      <c r="AO28" s="135">
        <v>6639292</v>
      </c>
      <c r="AP28" s="135">
        <v>32423510</v>
      </c>
      <c r="AQ28" s="135">
        <v>14437649</v>
      </c>
      <c r="AR28" s="135">
        <v>1582749</v>
      </c>
      <c r="AT28" s="135">
        <v>75000</v>
      </c>
      <c r="AW28" s="135">
        <v>2033783</v>
      </c>
      <c r="AZ28" s="82">
        <v>4763733.67</v>
      </c>
      <c r="BA28" s="82">
        <v>2381866.84</v>
      </c>
      <c r="BB28" s="117">
        <v>0</v>
      </c>
      <c r="BC28" s="118">
        <v>0</v>
      </c>
      <c r="BD28" s="118">
        <v>0</v>
      </c>
      <c r="BE28" s="117">
        <v>4163745</v>
      </c>
      <c r="BF28" s="117">
        <v>4163745</v>
      </c>
      <c r="BG28" s="117">
        <v>30631741</v>
      </c>
      <c r="BH28" s="117">
        <v>29889353</v>
      </c>
      <c r="BI28" s="117">
        <v>0</v>
      </c>
      <c r="BJ28" s="117">
        <v>0</v>
      </c>
      <c r="BK28" s="138"/>
      <c r="BL28" s="86">
        <v>536119996.85606557</v>
      </c>
      <c r="BM28" s="86">
        <v>426022408.0160656</v>
      </c>
      <c r="BN28" s="87">
        <v>402056</v>
      </c>
      <c r="BP28" s="86">
        <v>389608956</v>
      </c>
      <c r="BQ28" s="86">
        <v>62504808</v>
      </c>
      <c r="BR28" s="86">
        <v>11157816</v>
      </c>
      <c r="BS28" s="86">
        <v>34866868</v>
      </c>
      <c r="BT28" s="86">
        <v>498138448</v>
      </c>
    </row>
    <row r="29" spans="1:72" x14ac:dyDescent="0.25">
      <c r="A29" s="91" t="s">
        <v>83</v>
      </c>
      <c r="B29" s="135">
        <v>164856605</v>
      </c>
      <c r="C29" s="135">
        <v>160174763</v>
      </c>
      <c r="D29" s="135">
        <v>51597093</v>
      </c>
      <c r="E29" s="135">
        <v>0</v>
      </c>
      <c r="F29" s="135">
        <v>27765572</v>
      </c>
      <c r="G29" s="135">
        <v>4874644</v>
      </c>
      <c r="H29" s="135">
        <v>9597075</v>
      </c>
      <c r="I29" s="135">
        <v>1350299</v>
      </c>
      <c r="J29" s="135">
        <v>17500</v>
      </c>
      <c r="K29" s="135">
        <v>0</v>
      </c>
      <c r="L29" s="135">
        <v>251596648</v>
      </c>
      <c r="M29" s="135">
        <v>62430452</v>
      </c>
      <c r="N29" s="135">
        <v>1013</v>
      </c>
      <c r="O29" s="135">
        <v>185</v>
      </c>
      <c r="P29" s="135">
        <v>3697484</v>
      </c>
      <c r="Q29" s="135">
        <v>2016700</v>
      </c>
      <c r="R29" s="135">
        <v>1070000</v>
      </c>
      <c r="S29" s="135">
        <v>2423640</v>
      </c>
      <c r="T29" s="135">
        <v>1169030</v>
      </c>
      <c r="U29" s="135">
        <v>606200</v>
      </c>
      <c r="V29" s="135">
        <v>3697484</v>
      </c>
      <c r="W29" s="135">
        <v>2362400</v>
      </c>
      <c r="X29" s="135">
        <v>1070000</v>
      </c>
      <c r="Y29" s="135">
        <v>2423640</v>
      </c>
      <c r="Z29" s="135">
        <v>2429546</v>
      </c>
      <c r="AA29" s="135">
        <v>606200</v>
      </c>
      <c r="AB29" s="135">
        <v>-2013975</v>
      </c>
      <c r="AC29" s="135">
        <v>0</v>
      </c>
      <c r="AD29" s="135">
        <v>94627</v>
      </c>
      <c r="AE29" s="135">
        <v>4568</v>
      </c>
      <c r="AF29" s="135">
        <v>780226</v>
      </c>
      <c r="AG29" s="135">
        <v>212361</v>
      </c>
      <c r="AH29" s="135">
        <v>0</v>
      </c>
      <c r="AI29" s="135">
        <v>578303.27868852462</v>
      </c>
      <c r="AJ29" s="139"/>
      <c r="AK29" s="82">
        <v>65621859</v>
      </c>
      <c r="AL29" s="82">
        <v>2776706</v>
      </c>
      <c r="AM29" s="135">
        <v>10000</v>
      </c>
      <c r="AN29" s="135">
        <v>8327486</v>
      </c>
      <c r="AO29" s="135">
        <v>225674</v>
      </c>
      <c r="AP29" s="135">
        <v>8666185</v>
      </c>
      <c r="AQ29" s="135">
        <v>9339327</v>
      </c>
      <c r="AR29" s="135">
        <v>15086888</v>
      </c>
      <c r="AT29" s="135">
        <v>207346</v>
      </c>
      <c r="AW29" s="135">
        <v>100776</v>
      </c>
      <c r="AX29" s="135">
        <v>2009670</v>
      </c>
      <c r="AY29" s="135">
        <v>1027100</v>
      </c>
      <c r="AZ29" s="82">
        <v>5001296.21</v>
      </c>
      <c r="BA29" s="82">
        <v>2500648.11</v>
      </c>
      <c r="BB29" s="117">
        <v>23288589.88936425</v>
      </c>
      <c r="BC29" s="118">
        <v>0</v>
      </c>
      <c r="BD29" s="118">
        <v>0</v>
      </c>
      <c r="BE29" s="117">
        <v>13086188</v>
      </c>
      <c r="BF29" s="117">
        <v>13086188</v>
      </c>
      <c r="BG29" s="117">
        <v>30291148</v>
      </c>
      <c r="BH29" s="117">
        <v>29606135</v>
      </c>
      <c r="BI29" s="117">
        <v>0</v>
      </c>
      <c r="BJ29" s="117">
        <v>0</v>
      </c>
      <c r="BK29" s="138"/>
      <c r="BL29" s="86">
        <v>508690787.38868856</v>
      </c>
      <c r="BM29" s="86">
        <v>395099251.27868855</v>
      </c>
      <c r="BN29" s="87">
        <v>424294</v>
      </c>
      <c r="BP29" s="86">
        <v>376628461</v>
      </c>
      <c r="BQ29" s="86">
        <v>65621859</v>
      </c>
      <c r="BR29" s="86">
        <v>2776706</v>
      </c>
      <c r="BS29" s="86">
        <v>17892487</v>
      </c>
      <c r="BT29" s="86">
        <v>462919513</v>
      </c>
    </row>
    <row r="30" spans="1:72" x14ac:dyDescent="0.25">
      <c r="A30" s="91" t="s">
        <v>84</v>
      </c>
      <c r="B30" s="135">
        <v>175559200</v>
      </c>
      <c r="C30" s="135">
        <v>123815250</v>
      </c>
      <c r="D30" s="135">
        <v>39877902</v>
      </c>
      <c r="E30" s="135">
        <v>0</v>
      </c>
      <c r="F30" s="135">
        <v>19620200</v>
      </c>
      <c r="G30" s="135">
        <v>5028900</v>
      </c>
      <c r="H30" s="135">
        <v>8382300</v>
      </c>
      <c r="I30" s="135">
        <v>972000</v>
      </c>
      <c r="J30" s="135">
        <v>40500</v>
      </c>
      <c r="K30" s="135">
        <v>0</v>
      </c>
      <c r="L30" s="135">
        <v>152372518</v>
      </c>
      <c r="N30" s="135">
        <v>711</v>
      </c>
      <c r="O30" s="135">
        <v>155</v>
      </c>
      <c r="P30" s="135">
        <v>1866700</v>
      </c>
      <c r="Q30" s="135">
        <v>585000</v>
      </c>
      <c r="R30" s="135">
        <v>820000</v>
      </c>
      <c r="S30" s="135">
        <v>1192639</v>
      </c>
      <c r="T30" s="135">
        <v>270000</v>
      </c>
      <c r="U30" s="135">
        <v>231500</v>
      </c>
      <c r="V30" s="135">
        <v>1866700</v>
      </c>
      <c r="W30" s="135">
        <v>610000</v>
      </c>
      <c r="X30" s="135">
        <v>820000</v>
      </c>
      <c r="Y30" s="135">
        <v>1192639</v>
      </c>
      <c r="Z30" s="135">
        <v>405000</v>
      </c>
      <c r="AA30" s="135">
        <v>231500</v>
      </c>
      <c r="AB30" s="135">
        <v>-1465600</v>
      </c>
      <c r="AC30" s="135">
        <v>-26313</v>
      </c>
      <c r="AH30" s="135">
        <v>1795987.7031967216</v>
      </c>
      <c r="AI30" s="135">
        <v>0</v>
      </c>
      <c r="AJ30" s="139"/>
      <c r="AK30" s="82">
        <v>45063025</v>
      </c>
      <c r="AL30" s="82">
        <v>7953963</v>
      </c>
      <c r="AM30" s="135">
        <v>6159466</v>
      </c>
      <c r="AN30" s="135">
        <v>5880205</v>
      </c>
      <c r="AO30" s="135">
        <v>33074</v>
      </c>
      <c r="AP30" s="135">
        <v>1865148</v>
      </c>
      <c r="AQ30" s="135">
        <v>3151196</v>
      </c>
      <c r="AR30" s="135">
        <v>4001131</v>
      </c>
      <c r="AT30" s="135">
        <v>660702</v>
      </c>
      <c r="AY30" s="135">
        <v>160602</v>
      </c>
      <c r="AZ30" s="82">
        <v>3434427.79</v>
      </c>
      <c r="BA30" s="82">
        <v>1717213.9</v>
      </c>
      <c r="BB30" s="117">
        <v>0</v>
      </c>
      <c r="BC30" s="118">
        <v>0</v>
      </c>
      <c r="BD30" s="118">
        <v>0</v>
      </c>
      <c r="BE30" s="117">
        <v>2444954</v>
      </c>
      <c r="BF30" s="117">
        <v>2444954</v>
      </c>
      <c r="BG30" s="117">
        <v>22566339</v>
      </c>
      <c r="BH30" s="117">
        <v>22504904</v>
      </c>
      <c r="BI30" s="117">
        <v>0</v>
      </c>
      <c r="BJ30" s="117">
        <v>0</v>
      </c>
      <c r="BK30" s="138"/>
      <c r="BL30" s="86">
        <v>429796874.60319668</v>
      </c>
      <c r="BM30" s="86">
        <v>350112814.7031967</v>
      </c>
      <c r="BN30" s="87">
        <v>401000</v>
      </c>
      <c r="BP30" s="86">
        <v>339252352</v>
      </c>
      <c r="BQ30" s="86">
        <v>45063025</v>
      </c>
      <c r="BR30" s="86">
        <v>7953963</v>
      </c>
      <c r="BS30" s="86">
        <v>9064475</v>
      </c>
      <c r="BT30" s="86">
        <v>401333815</v>
      </c>
    </row>
    <row r="31" spans="1:72" x14ac:dyDescent="0.25">
      <c r="A31" s="91" t="s">
        <v>85</v>
      </c>
      <c r="B31" s="135">
        <v>4343365116</v>
      </c>
      <c r="C31" s="135">
        <v>490959991</v>
      </c>
      <c r="D31" s="135">
        <v>1885428457</v>
      </c>
      <c r="E31" s="135">
        <v>0</v>
      </c>
      <c r="F31" s="135">
        <v>342389800</v>
      </c>
      <c r="G31" s="135">
        <v>38776900</v>
      </c>
      <c r="H31" s="135">
        <v>23238832</v>
      </c>
      <c r="I31" s="135">
        <v>1436329</v>
      </c>
      <c r="J31" s="135">
        <v>1052100</v>
      </c>
      <c r="K31" s="135">
        <v>81000</v>
      </c>
      <c r="L31" s="135">
        <v>1099301137</v>
      </c>
      <c r="M31" s="135">
        <v>255885657</v>
      </c>
      <c r="N31" s="135">
        <v>9156</v>
      </c>
      <c r="O31" s="135">
        <v>1031</v>
      </c>
      <c r="P31" s="135">
        <v>83679896</v>
      </c>
      <c r="Q31" s="135">
        <v>9862574</v>
      </c>
      <c r="R31" s="135">
        <v>27757223</v>
      </c>
      <c r="S31" s="135">
        <v>12221647</v>
      </c>
      <c r="T31" s="135">
        <v>3889845</v>
      </c>
      <c r="U31" s="135">
        <v>28040902</v>
      </c>
      <c r="V31" s="135">
        <v>83679896</v>
      </c>
      <c r="W31" s="135">
        <v>10604592</v>
      </c>
      <c r="X31" s="135">
        <v>27757223</v>
      </c>
      <c r="Y31" s="135">
        <v>12221647</v>
      </c>
      <c r="Z31" s="135">
        <v>7684350</v>
      </c>
      <c r="AA31" s="135">
        <v>28040902</v>
      </c>
      <c r="AB31" s="135">
        <v>-5881287</v>
      </c>
      <c r="AC31" s="135">
        <v>0</v>
      </c>
      <c r="AD31" s="135">
        <v>0</v>
      </c>
      <c r="AE31" s="135">
        <v>0</v>
      </c>
      <c r="AF31" s="135">
        <v>0</v>
      </c>
      <c r="AG31" s="135">
        <v>244197.3965</v>
      </c>
      <c r="AH31" s="135">
        <v>4343795.0807377044</v>
      </c>
      <c r="AI31" s="135">
        <v>279055.32786885247</v>
      </c>
      <c r="AJ31" s="139">
        <v>448278.68852459016</v>
      </c>
      <c r="AK31" s="82">
        <v>763518460</v>
      </c>
      <c r="AL31" s="82">
        <v>19018975</v>
      </c>
      <c r="AM31" s="135">
        <v>94185</v>
      </c>
      <c r="AN31" s="135">
        <v>236749560</v>
      </c>
      <c r="AO31" s="135">
        <v>29897680</v>
      </c>
      <c r="AP31" s="135">
        <v>466064931</v>
      </c>
      <c r="AQ31" s="135">
        <v>235751841</v>
      </c>
      <c r="AR31" s="135">
        <v>317768529</v>
      </c>
      <c r="AS31" s="135">
        <v>64962561</v>
      </c>
      <c r="AT31" s="135">
        <f>24451057+275247472</f>
        <v>299698529</v>
      </c>
      <c r="AU31" s="135">
        <v>20902844</v>
      </c>
      <c r="AV31" s="135">
        <v>2655398</v>
      </c>
      <c r="AW31" s="135">
        <v>105289891</v>
      </c>
      <c r="AX31" s="135">
        <v>3848043</v>
      </c>
      <c r="AY31" s="135">
        <v>5919700</v>
      </c>
      <c r="AZ31" s="82">
        <v>58190701.039999999</v>
      </c>
      <c r="BA31" s="82">
        <v>29095350.52</v>
      </c>
      <c r="BB31" s="117">
        <v>36323655.424629018</v>
      </c>
      <c r="BC31" s="118">
        <v>2161693</v>
      </c>
      <c r="BD31" s="118">
        <v>4323386</v>
      </c>
      <c r="BE31" s="117">
        <v>116476625</v>
      </c>
      <c r="BF31" s="117">
        <v>116476625</v>
      </c>
      <c r="BG31" s="117">
        <v>159893036</v>
      </c>
      <c r="BH31" s="117">
        <v>154946502</v>
      </c>
      <c r="BI31" s="117">
        <v>82036828</v>
      </c>
      <c r="BJ31" s="117">
        <v>0</v>
      </c>
      <c r="BK31" s="138"/>
      <c r="BL31" s="86">
        <v>8394478207.6171312</v>
      </c>
      <c r="BM31" s="86">
        <v>7227223774.0971308</v>
      </c>
      <c r="BN31" s="87">
        <v>3737380</v>
      </c>
      <c r="BP31" s="86">
        <v>6719753564</v>
      </c>
      <c r="BQ31" s="86">
        <v>763518460</v>
      </c>
      <c r="BR31" s="86">
        <v>19018975</v>
      </c>
      <c r="BS31" s="86">
        <v>567361642</v>
      </c>
      <c r="BT31" s="86">
        <v>8069652641</v>
      </c>
    </row>
    <row r="32" spans="1:72" x14ac:dyDescent="0.25">
      <c r="A32" s="91" t="s">
        <v>86</v>
      </c>
      <c r="B32" s="135">
        <v>493221107</v>
      </c>
      <c r="C32" s="135">
        <v>138144346</v>
      </c>
      <c r="D32" s="135">
        <v>53616994</v>
      </c>
      <c r="E32" s="135">
        <v>0</v>
      </c>
      <c r="F32" s="135">
        <v>33209250</v>
      </c>
      <c r="G32" s="135">
        <v>11723750</v>
      </c>
      <c r="H32" s="135">
        <v>14909459</v>
      </c>
      <c r="I32" s="135">
        <v>1868200</v>
      </c>
      <c r="J32" s="135">
        <v>40500</v>
      </c>
      <c r="K32" s="135">
        <v>0</v>
      </c>
      <c r="L32" s="135">
        <v>262823579</v>
      </c>
      <c r="M32" s="135">
        <v>112488550</v>
      </c>
      <c r="N32" s="135">
        <v>1264</v>
      </c>
      <c r="O32" s="135">
        <v>395</v>
      </c>
      <c r="P32" s="135">
        <v>12190925</v>
      </c>
      <c r="Q32" s="135">
        <v>3786350</v>
      </c>
      <c r="R32" s="135">
        <v>782000</v>
      </c>
      <c r="S32" s="135">
        <v>587000</v>
      </c>
      <c r="T32" s="135">
        <v>73700</v>
      </c>
      <c r="U32" s="135">
        <v>0</v>
      </c>
      <c r="V32" s="135">
        <v>12190925</v>
      </c>
      <c r="W32" s="135">
        <v>2514400</v>
      </c>
      <c r="X32" s="135">
        <v>782000</v>
      </c>
      <c r="Y32" s="135">
        <v>587000</v>
      </c>
      <c r="Z32" s="135">
        <v>1000</v>
      </c>
      <c r="AA32" s="135">
        <v>0</v>
      </c>
      <c r="AB32" s="135">
        <v>-946115</v>
      </c>
      <c r="AC32" s="135">
        <v>-2541</v>
      </c>
      <c r="AD32" s="135">
        <v>72790</v>
      </c>
      <c r="AE32" s="135">
        <v>7845</v>
      </c>
      <c r="AF32" s="135">
        <v>10636519</v>
      </c>
      <c r="AG32" s="135">
        <v>137591</v>
      </c>
      <c r="AH32" s="135">
        <v>750500</v>
      </c>
      <c r="AI32" s="135">
        <v>0</v>
      </c>
      <c r="AJ32" s="139"/>
      <c r="AK32" s="82">
        <v>89800852</v>
      </c>
      <c r="AL32" s="82">
        <v>14059497</v>
      </c>
      <c r="AM32" s="135">
        <v>464000</v>
      </c>
      <c r="AN32" s="135">
        <v>4773550</v>
      </c>
      <c r="AO32" s="135">
        <v>76708</v>
      </c>
      <c r="AP32" s="135">
        <v>4260706</v>
      </c>
      <c r="AQ32" s="135">
        <v>5038384</v>
      </c>
      <c r="AR32" s="135">
        <v>887984</v>
      </c>
      <c r="AT32" s="135">
        <v>581192</v>
      </c>
      <c r="AY32" s="135">
        <v>10000</v>
      </c>
      <c r="AZ32" s="82">
        <v>6844070.9800000004</v>
      </c>
      <c r="BA32" s="82">
        <v>3422035.49</v>
      </c>
      <c r="BB32" s="117">
        <v>0</v>
      </c>
      <c r="BC32" s="118">
        <v>324144</v>
      </c>
      <c r="BD32" s="118">
        <v>648289</v>
      </c>
      <c r="BE32" s="117">
        <v>2872466</v>
      </c>
      <c r="BF32" s="117">
        <v>2872466</v>
      </c>
      <c r="BG32" s="117">
        <v>20552052</v>
      </c>
      <c r="BH32" s="117">
        <v>19852761</v>
      </c>
      <c r="BI32" s="117">
        <v>0</v>
      </c>
      <c r="BJ32" s="117">
        <v>0</v>
      </c>
      <c r="BK32" s="138"/>
      <c r="BL32" s="86">
        <v>825953344.49000001</v>
      </c>
      <c r="BM32" s="86">
        <v>695621589</v>
      </c>
      <c r="BN32" s="87">
        <v>767550</v>
      </c>
      <c r="BP32" s="86">
        <v>684982447</v>
      </c>
      <c r="BQ32" s="86">
        <v>89800852</v>
      </c>
      <c r="BR32" s="86">
        <v>14059497</v>
      </c>
      <c r="BS32" s="86">
        <v>9888642</v>
      </c>
      <c r="BT32" s="86">
        <v>798731438</v>
      </c>
    </row>
    <row r="33" spans="1:72" x14ac:dyDescent="0.25">
      <c r="A33" s="91" t="s">
        <v>87</v>
      </c>
      <c r="B33" s="135">
        <v>71670369</v>
      </c>
      <c r="C33" s="135">
        <v>73733446</v>
      </c>
      <c r="D33" s="135">
        <v>21497309</v>
      </c>
      <c r="E33" s="135">
        <v>0</v>
      </c>
      <c r="F33" s="135">
        <v>8851311</v>
      </c>
      <c r="G33" s="135">
        <v>8466395</v>
      </c>
      <c r="H33" s="135">
        <v>11546012</v>
      </c>
      <c r="I33" s="135">
        <v>6992008</v>
      </c>
      <c r="J33" s="135">
        <v>40500</v>
      </c>
      <c r="K33" s="135">
        <v>0</v>
      </c>
      <c r="L33" s="135">
        <v>106170752</v>
      </c>
      <c r="M33" s="135">
        <v>51226300</v>
      </c>
      <c r="N33" s="135">
        <v>559</v>
      </c>
      <c r="O33" s="135">
        <v>473</v>
      </c>
      <c r="P33" s="135">
        <v>2669249</v>
      </c>
      <c r="Q33" s="135">
        <v>2106376</v>
      </c>
      <c r="R33" s="135">
        <v>767411</v>
      </c>
      <c r="S33" s="135">
        <v>1116534</v>
      </c>
      <c r="T33" s="135">
        <v>1871683</v>
      </c>
      <c r="U33" s="135">
        <v>2472600</v>
      </c>
      <c r="V33" s="135">
        <v>2669249</v>
      </c>
      <c r="W33" s="135">
        <v>2877724</v>
      </c>
      <c r="X33" s="135">
        <v>767411</v>
      </c>
      <c r="Y33" s="135">
        <v>1116534</v>
      </c>
      <c r="Z33" s="135">
        <v>2199475</v>
      </c>
      <c r="AA33" s="135">
        <v>2472600</v>
      </c>
      <c r="AB33" s="135">
        <v>-1094629</v>
      </c>
      <c r="AC33" s="135">
        <v>-174743</v>
      </c>
      <c r="AD33" s="135">
        <v>122643</v>
      </c>
      <c r="AE33" s="135">
        <v>7540</v>
      </c>
      <c r="AF33" s="135">
        <v>0</v>
      </c>
      <c r="AG33" s="135">
        <v>190579</v>
      </c>
      <c r="AH33" s="135">
        <v>796426.22852459014</v>
      </c>
      <c r="AI33" s="135">
        <v>0</v>
      </c>
      <c r="AJ33" s="139">
        <v>23000</v>
      </c>
      <c r="AK33" s="82">
        <v>36994706</v>
      </c>
      <c r="AL33" s="82">
        <v>1114869</v>
      </c>
      <c r="AN33" s="135">
        <v>1836732</v>
      </c>
      <c r="AO33" s="135">
        <v>19405</v>
      </c>
      <c r="AP33" s="135">
        <v>24142</v>
      </c>
      <c r="AQ33" s="135">
        <v>1138348</v>
      </c>
      <c r="AR33" s="135">
        <v>82300</v>
      </c>
      <c r="AT33" s="135">
        <v>839859</v>
      </c>
      <c r="AZ33" s="82">
        <v>2819509.93</v>
      </c>
      <c r="BA33" s="82">
        <v>1409754.97</v>
      </c>
      <c r="BB33" s="117">
        <v>0</v>
      </c>
      <c r="BC33" s="118">
        <v>0</v>
      </c>
      <c r="BD33" s="118">
        <v>0</v>
      </c>
      <c r="BE33" s="117">
        <v>182369</v>
      </c>
      <c r="BF33" s="117">
        <v>182369</v>
      </c>
      <c r="BG33" s="117">
        <v>23809580</v>
      </c>
      <c r="BH33" s="117">
        <v>23809580</v>
      </c>
      <c r="BI33" s="117">
        <v>0</v>
      </c>
      <c r="BJ33" s="117">
        <v>0</v>
      </c>
      <c r="BK33" s="138"/>
      <c r="BL33" s="86">
        <v>234226314.19852459</v>
      </c>
      <c r="BM33" s="86">
        <v>170715035.2285246</v>
      </c>
      <c r="BN33" s="87">
        <v>56000</v>
      </c>
      <c r="BP33" s="86">
        <v>166901124</v>
      </c>
      <c r="BQ33" s="86">
        <v>36994706</v>
      </c>
      <c r="BR33" s="86">
        <v>1114869</v>
      </c>
      <c r="BS33" s="86">
        <v>2994485</v>
      </c>
      <c r="BT33" s="86">
        <v>208005184</v>
      </c>
    </row>
    <row r="34" spans="1:72" x14ac:dyDescent="0.25">
      <c r="A34" s="91" t="s">
        <v>88</v>
      </c>
      <c r="B34" s="135">
        <v>244529926</v>
      </c>
      <c r="C34" s="135">
        <v>116110010</v>
      </c>
      <c r="D34" s="135">
        <v>67810299</v>
      </c>
      <c r="E34" s="135">
        <v>0</v>
      </c>
      <c r="F34" s="135">
        <v>41831242</v>
      </c>
      <c r="G34" s="135">
        <v>10615735</v>
      </c>
      <c r="H34" s="135">
        <v>12495001</v>
      </c>
      <c r="I34" s="135">
        <v>2111600</v>
      </c>
      <c r="J34" s="135">
        <v>198000</v>
      </c>
      <c r="K34" s="135">
        <v>0</v>
      </c>
      <c r="L34" s="135">
        <v>88798921</v>
      </c>
      <c r="M34" s="135">
        <v>2225300</v>
      </c>
      <c r="N34" s="135">
        <v>1470</v>
      </c>
      <c r="O34" s="135">
        <v>377</v>
      </c>
      <c r="P34" s="135">
        <v>2604826</v>
      </c>
      <c r="Q34" s="135">
        <v>308700</v>
      </c>
      <c r="R34" s="135">
        <v>60000</v>
      </c>
      <c r="S34" s="135">
        <v>2466225</v>
      </c>
      <c r="T34" s="135">
        <v>2201511</v>
      </c>
      <c r="U34" s="135">
        <v>347452</v>
      </c>
      <c r="V34" s="135">
        <v>2604826</v>
      </c>
      <c r="W34" s="135">
        <v>366000</v>
      </c>
      <c r="X34" s="135">
        <v>60000</v>
      </c>
      <c r="Y34" s="135">
        <v>2466225</v>
      </c>
      <c r="Z34" s="135">
        <v>1427000</v>
      </c>
      <c r="AA34" s="135">
        <v>347452</v>
      </c>
      <c r="AB34" s="135">
        <v>-1668800</v>
      </c>
      <c r="AC34" s="135">
        <v>249836</v>
      </c>
      <c r="AD34" s="135">
        <v>94652</v>
      </c>
      <c r="AE34" s="135">
        <v>11712</v>
      </c>
      <c r="AF34" s="135">
        <v>13864699</v>
      </c>
      <c r="AG34" s="135">
        <v>136796</v>
      </c>
      <c r="AH34" s="135">
        <v>1589459.0150819672</v>
      </c>
      <c r="AI34" s="135">
        <v>33245.901639344265</v>
      </c>
      <c r="AJ34" s="139"/>
      <c r="AK34" s="82">
        <v>85469274</v>
      </c>
      <c r="AL34" s="82">
        <v>2198168</v>
      </c>
      <c r="AN34" s="135">
        <v>5849777</v>
      </c>
      <c r="AO34" s="135">
        <v>350440</v>
      </c>
      <c r="AP34" s="135">
        <v>2621215</v>
      </c>
      <c r="AQ34" s="135">
        <v>6966651</v>
      </c>
      <c r="AR34" s="135">
        <v>1739905</v>
      </c>
      <c r="AT34" s="135">
        <v>42350</v>
      </c>
      <c r="AZ34" s="82">
        <v>6513944.6299999999</v>
      </c>
      <c r="BA34" s="82">
        <v>3256972.32</v>
      </c>
      <c r="BB34" s="117">
        <v>0</v>
      </c>
      <c r="BC34" s="118">
        <v>5251285</v>
      </c>
      <c r="BD34" s="118">
        <v>10502571</v>
      </c>
      <c r="BE34" s="117">
        <v>16371854</v>
      </c>
      <c r="BF34" s="117">
        <v>16371854</v>
      </c>
      <c r="BG34" s="117">
        <v>41165450</v>
      </c>
      <c r="BH34" s="117">
        <v>37602551</v>
      </c>
      <c r="BI34" s="117">
        <v>0</v>
      </c>
      <c r="BJ34" s="117">
        <v>0</v>
      </c>
      <c r="BK34" s="138"/>
      <c r="BL34" s="86">
        <v>593389912.23672128</v>
      </c>
      <c r="BM34" s="86">
        <v>443239807.91672128</v>
      </c>
      <c r="BN34" s="87">
        <v>1085000</v>
      </c>
      <c r="BP34" s="86">
        <v>428450235</v>
      </c>
      <c r="BQ34" s="86">
        <v>85469274</v>
      </c>
      <c r="BR34" s="86">
        <v>2198168</v>
      </c>
      <c r="BS34" s="86">
        <v>13166868</v>
      </c>
      <c r="BT34" s="86">
        <v>529284545</v>
      </c>
    </row>
    <row r="35" spans="1:72" x14ac:dyDescent="0.25">
      <c r="A35" s="91" t="s">
        <v>89</v>
      </c>
      <c r="B35" s="135">
        <v>20413121100</v>
      </c>
      <c r="C35" s="135">
        <v>802162400</v>
      </c>
      <c r="D35" s="135">
        <v>9302533300</v>
      </c>
      <c r="E35" s="135">
        <v>0</v>
      </c>
      <c r="F35" s="135">
        <v>865551400</v>
      </c>
      <c r="G35" s="135">
        <v>41516900</v>
      </c>
      <c r="H35" s="135">
        <v>13106900</v>
      </c>
      <c r="I35" s="135">
        <v>243000</v>
      </c>
      <c r="J35" s="135">
        <v>1377000</v>
      </c>
      <c r="K35" s="135">
        <v>121500</v>
      </c>
      <c r="L35" s="135">
        <v>1480323300</v>
      </c>
      <c r="M35" s="135">
        <v>479728650</v>
      </c>
      <c r="N35" s="135">
        <v>21852</v>
      </c>
      <c r="O35" s="135">
        <v>1054</v>
      </c>
      <c r="P35" s="135">
        <v>398759000</v>
      </c>
      <c r="Q35" s="135">
        <v>21757900</v>
      </c>
      <c r="R35" s="135">
        <v>250537100</v>
      </c>
      <c r="S35" s="135">
        <v>95793900</v>
      </c>
      <c r="T35" s="135">
        <v>1853500</v>
      </c>
      <c r="U35" s="135">
        <v>487564700</v>
      </c>
      <c r="V35" s="135">
        <v>398759000</v>
      </c>
      <c r="W35" s="135">
        <v>36688200</v>
      </c>
      <c r="X35" s="135">
        <v>250537100</v>
      </c>
      <c r="Y35" s="135">
        <v>95793900</v>
      </c>
      <c r="Z35" s="135">
        <v>14650400</v>
      </c>
      <c r="AA35" s="135">
        <v>487564700</v>
      </c>
      <c r="AB35" s="135">
        <v>19229945</v>
      </c>
      <c r="AC35" s="135">
        <v>-2107780</v>
      </c>
      <c r="AD35" s="135">
        <v>0</v>
      </c>
      <c r="AE35" s="135">
        <v>0</v>
      </c>
      <c r="AF35" s="135">
        <v>0</v>
      </c>
      <c r="AG35" s="135">
        <v>0</v>
      </c>
      <c r="AH35" s="135">
        <v>0</v>
      </c>
      <c r="AI35" s="135">
        <v>410000</v>
      </c>
      <c r="AJ35" s="139"/>
      <c r="AK35" s="82">
        <v>2345284675</v>
      </c>
      <c r="AL35" s="82">
        <v>30938798</v>
      </c>
      <c r="AN35" s="135">
        <v>1002641294</v>
      </c>
      <c r="AO35" s="135">
        <v>30030740</v>
      </c>
      <c r="AP35" s="135">
        <v>484480992</v>
      </c>
      <c r="AQ35" s="135">
        <v>727112270</v>
      </c>
      <c r="AR35" s="135">
        <v>474557588</v>
      </c>
      <c r="AS35" s="135">
        <v>298657069</v>
      </c>
      <c r="AT35" s="135">
        <f>542156095+48695194</f>
        <v>590851289</v>
      </c>
      <c r="AV35" s="135">
        <v>21708</v>
      </c>
      <c r="AX35" s="135">
        <v>4694042</v>
      </c>
      <c r="AY35" s="135">
        <v>62604211</v>
      </c>
      <c r="AZ35" s="82">
        <v>178728440.63999999</v>
      </c>
      <c r="BA35" s="82">
        <v>89364220.319999993</v>
      </c>
      <c r="BB35" s="117">
        <v>0</v>
      </c>
      <c r="BC35" s="118">
        <v>5293629</v>
      </c>
      <c r="BD35" s="118">
        <v>10587257</v>
      </c>
      <c r="BE35" s="117">
        <v>392864608</v>
      </c>
      <c r="BF35" s="117">
        <v>389111922</v>
      </c>
      <c r="BG35" s="117">
        <v>691250630</v>
      </c>
      <c r="BH35" s="117">
        <v>655782359</v>
      </c>
      <c r="BI35" s="117">
        <v>292429</v>
      </c>
      <c r="BJ35" s="117">
        <v>0</v>
      </c>
      <c r="BK35" s="138"/>
      <c r="BL35" s="86">
        <v>35794079136.32</v>
      </c>
      <c r="BM35" s="86">
        <v>32278011104</v>
      </c>
      <c r="BN35" s="87">
        <v>14299500</v>
      </c>
      <c r="BP35" s="86">
        <v>30517816800</v>
      </c>
      <c r="BQ35" s="86">
        <v>2345284675</v>
      </c>
      <c r="BR35" s="86">
        <v>30938798</v>
      </c>
      <c r="BS35" s="86">
        <v>2058441373</v>
      </c>
      <c r="BT35" s="86">
        <v>34952481646</v>
      </c>
    </row>
    <row r="36" spans="1:72" x14ac:dyDescent="0.25">
      <c r="A36" s="91" t="s">
        <v>90</v>
      </c>
      <c r="B36" s="135">
        <v>303645458</v>
      </c>
      <c r="C36" s="135">
        <v>210683861</v>
      </c>
      <c r="D36" s="135">
        <v>83347440</v>
      </c>
      <c r="E36" s="135">
        <v>0</v>
      </c>
      <c r="F36" s="135">
        <v>46910400</v>
      </c>
      <c r="G36" s="135">
        <v>8793300</v>
      </c>
      <c r="H36" s="135">
        <v>16764800</v>
      </c>
      <c r="I36" s="135">
        <v>1680900</v>
      </c>
      <c r="J36" s="135">
        <v>0</v>
      </c>
      <c r="K36" s="135">
        <v>0</v>
      </c>
      <c r="L36" s="135">
        <v>262663286</v>
      </c>
      <c r="M36" s="135">
        <v>112316400</v>
      </c>
      <c r="N36" s="135">
        <v>1678</v>
      </c>
      <c r="O36" s="135">
        <v>291</v>
      </c>
      <c r="P36" s="135">
        <v>4951000</v>
      </c>
      <c r="Q36" s="135">
        <v>4350200</v>
      </c>
      <c r="R36" s="135">
        <v>280000</v>
      </c>
      <c r="S36" s="135">
        <v>2512800</v>
      </c>
      <c r="T36" s="135">
        <v>600100</v>
      </c>
      <c r="U36" s="135">
        <v>644700</v>
      </c>
      <c r="V36" s="135">
        <v>4951000</v>
      </c>
      <c r="W36" s="135">
        <v>4711000</v>
      </c>
      <c r="X36" s="135">
        <v>280000</v>
      </c>
      <c r="Y36" s="135">
        <v>2512800</v>
      </c>
      <c r="Z36" s="135">
        <v>847450</v>
      </c>
      <c r="AA36" s="135">
        <v>644700</v>
      </c>
      <c r="AB36" s="135">
        <v>-1051200</v>
      </c>
      <c r="AC36" s="135">
        <v>0</v>
      </c>
      <c r="AD36" s="135">
        <v>52004</v>
      </c>
      <c r="AE36" s="135">
        <v>100815</v>
      </c>
      <c r="AF36" s="135">
        <v>88259310</v>
      </c>
      <c r="AG36" s="135">
        <v>213680</v>
      </c>
      <c r="AH36" s="135">
        <v>0</v>
      </c>
      <c r="AI36" s="135">
        <v>69461.065573770495</v>
      </c>
      <c r="AJ36" s="139"/>
      <c r="AK36" s="82">
        <v>124993921</v>
      </c>
      <c r="AL36" s="82">
        <v>2221080</v>
      </c>
      <c r="AN36" s="135">
        <v>22370631</v>
      </c>
      <c r="AO36" s="135">
        <v>2415874</v>
      </c>
      <c r="AP36" s="135">
        <v>36158014</v>
      </c>
      <c r="AQ36" s="135">
        <v>22201950</v>
      </c>
      <c r="AR36" s="135">
        <v>9555023</v>
      </c>
      <c r="AS36" s="135">
        <v>1057247</v>
      </c>
      <c r="AT36" s="135">
        <v>42237</v>
      </c>
      <c r="AV36" s="135">
        <v>125010</v>
      </c>
      <c r="AW36" s="135">
        <v>1263261</v>
      </c>
      <c r="AX36" s="135">
        <v>238</v>
      </c>
      <c r="AY36" s="135">
        <v>60000</v>
      </c>
      <c r="AZ36" s="82">
        <v>9526271.1600000001</v>
      </c>
      <c r="BA36" s="82">
        <v>4763135.58</v>
      </c>
      <c r="BB36" s="117">
        <v>0</v>
      </c>
      <c r="BC36" s="118">
        <v>652669</v>
      </c>
      <c r="BD36" s="118">
        <v>1305338</v>
      </c>
      <c r="BE36" s="117">
        <v>14767201</v>
      </c>
      <c r="BF36" s="117">
        <v>14767201</v>
      </c>
      <c r="BG36" s="117">
        <v>36342434</v>
      </c>
      <c r="BH36" s="117">
        <v>36022178</v>
      </c>
      <c r="BI36" s="117">
        <v>0</v>
      </c>
      <c r="BJ36" s="117">
        <v>0</v>
      </c>
      <c r="BK36" s="138"/>
      <c r="BL36" s="86">
        <v>828154859.64557385</v>
      </c>
      <c r="BM36" s="86">
        <v>644734675.06557381</v>
      </c>
      <c r="BN36" s="87">
        <v>913050</v>
      </c>
      <c r="BP36" s="86">
        <v>597676759</v>
      </c>
      <c r="BQ36" s="86">
        <v>124993921</v>
      </c>
      <c r="BR36" s="86">
        <v>2221080</v>
      </c>
      <c r="BS36" s="86">
        <v>48045702</v>
      </c>
      <c r="BT36" s="86">
        <v>772937462</v>
      </c>
    </row>
    <row r="37" spans="1:72" x14ac:dyDescent="0.25">
      <c r="A37" s="91" t="s">
        <v>91</v>
      </c>
      <c r="B37" s="135">
        <v>664965672</v>
      </c>
      <c r="C37" s="135">
        <v>128194089</v>
      </c>
      <c r="D37" s="135">
        <v>281862381</v>
      </c>
      <c r="E37" s="135">
        <v>0</v>
      </c>
      <c r="F37" s="135">
        <v>87936750</v>
      </c>
      <c r="G37" s="135">
        <v>85545050</v>
      </c>
      <c r="H37" s="135">
        <v>19235850</v>
      </c>
      <c r="I37" s="135">
        <v>10768500</v>
      </c>
      <c r="J37" s="135">
        <v>351000</v>
      </c>
      <c r="K37" s="135">
        <v>151500</v>
      </c>
      <c r="L37" s="135">
        <v>85641237</v>
      </c>
      <c r="M37" s="135">
        <v>62063272</v>
      </c>
      <c r="N37" s="135">
        <v>3005</v>
      </c>
      <c r="O37" s="135">
        <v>3013</v>
      </c>
      <c r="P37" s="135">
        <v>5356000</v>
      </c>
      <c r="Q37" s="135">
        <v>134000</v>
      </c>
      <c r="R37" s="135">
        <v>362000</v>
      </c>
      <c r="S37" s="135">
        <v>2791500</v>
      </c>
      <c r="T37" s="135">
        <v>24000</v>
      </c>
      <c r="U37" s="135">
        <v>95000</v>
      </c>
      <c r="V37" s="135">
        <v>5356000</v>
      </c>
      <c r="W37" s="135">
        <v>134000</v>
      </c>
      <c r="X37" s="135">
        <v>362000</v>
      </c>
      <c r="Y37" s="135">
        <v>2791500</v>
      </c>
      <c r="Z37" s="135">
        <v>0</v>
      </c>
      <c r="AA37" s="135">
        <v>95000</v>
      </c>
      <c r="AB37" s="135">
        <v>-6245900</v>
      </c>
      <c r="AC37" s="135">
        <v>-3972054</v>
      </c>
      <c r="AD37" s="135">
        <v>144923</v>
      </c>
      <c r="AE37" s="135">
        <v>37907</v>
      </c>
      <c r="AF37" s="135">
        <v>0</v>
      </c>
      <c r="AG37" s="135">
        <v>452996</v>
      </c>
      <c r="AH37" s="135">
        <v>1385032.7871311475</v>
      </c>
      <c r="AI37" s="135">
        <v>38071098.36065574</v>
      </c>
      <c r="AJ37" s="139">
        <v>4642704.9180327877</v>
      </c>
      <c r="AK37" s="82">
        <v>284000251</v>
      </c>
      <c r="AL37" s="82">
        <v>9448418</v>
      </c>
      <c r="AN37" s="135">
        <v>44414189</v>
      </c>
      <c r="AO37" s="135">
        <v>4341745</v>
      </c>
      <c r="AP37" s="135">
        <v>142578381</v>
      </c>
      <c r="AQ37" s="135">
        <v>55582948</v>
      </c>
      <c r="AR37" s="135">
        <v>28477552</v>
      </c>
      <c r="AS37" s="135">
        <v>774718</v>
      </c>
      <c r="AX37" s="135">
        <v>1112</v>
      </c>
      <c r="AZ37" s="82">
        <v>21644759.84</v>
      </c>
      <c r="BA37" s="82">
        <v>10822379.92</v>
      </c>
      <c r="BB37" s="117">
        <v>0</v>
      </c>
      <c r="BC37" s="118">
        <v>5568129</v>
      </c>
      <c r="BD37" s="118">
        <v>11136259</v>
      </c>
      <c r="BE37" s="117">
        <v>88907777</v>
      </c>
      <c r="BF37" s="117">
        <v>88907777</v>
      </c>
      <c r="BG37" s="117">
        <v>216367712</v>
      </c>
      <c r="BH37" s="117">
        <v>210339101</v>
      </c>
      <c r="BI37" s="117">
        <v>0</v>
      </c>
      <c r="BJ37" s="117">
        <v>0</v>
      </c>
      <c r="BK37" s="138"/>
      <c r="BL37" s="86">
        <v>1832545915.9858198</v>
      </c>
      <c r="BM37" s="86">
        <v>1223459860.0658197</v>
      </c>
      <c r="BN37" s="87">
        <v>14803000</v>
      </c>
      <c r="BP37" s="86">
        <v>1075022142</v>
      </c>
      <c r="BQ37" s="86">
        <v>284000251</v>
      </c>
      <c r="BR37" s="86">
        <v>9448418</v>
      </c>
      <c r="BS37" s="86">
        <v>105113600</v>
      </c>
      <c r="BT37" s="86">
        <v>1473584411</v>
      </c>
    </row>
    <row r="38" spans="1:72" x14ac:dyDescent="0.25">
      <c r="A38" s="91" t="s">
        <v>92</v>
      </c>
      <c r="B38" s="135">
        <v>2220382689</v>
      </c>
      <c r="C38" s="135">
        <v>214112040</v>
      </c>
      <c r="D38" s="135">
        <v>1036359742</v>
      </c>
      <c r="E38" s="135">
        <v>0</v>
      </c>
      <c r="F38" s="135">
        <v>192132000</v>
      </c>
      <c r="G38" s="135">
        <v>11517970</v>
      </c>
      <c r="H38" s="135">
        <v>13704472</v>
      </c>
      <c r="I38" s="135">
        <v>646044</v>
      </c>
      <c r="J38" s="135">
        <v>242000</v>
      </c>
      <c r="K38" s="135">
        <v>40500</v>
      </c>
      <c r="L38" s="135">
        <v>173325970</v>
      </c>
      <c r="M38" s="135">
        <v>164125445</v>
      </c>
      <c r="N38" s="135">
        <v>5089</v>
      </c>
      <c r="O38" s="135">
        <v>304</v>
      </c>
      <c r="P38" s="135">
        <v>21050243</v>
      </c>
      <c r="Q38" s="135">
        <v>5779368</v>
      </c>
      <c r="R38" s="135">
        <v>9192131</v>
      </c>
      <c r="S38" s="135">
        <v>4830125</v>
      </c>
      <c r="T38" s="135">
        <v>1840168</v>
      </c>
      <c r="U38" s="135">
        <v>25500404</v>
      </c>
      <c r="V38" s="135">
        <v>21050243</v>
      </c>
      <c r="W38" s="135">
        <v>10807000</v>
      </c>
      <c r="X38" s="135">
        <v>9192131</v>
      </c>
      <c r="Y38" s="135">
        <v>4803125</v>
      </c>
      <c r="Z38" s="135">
        <v>6612700</v>
      </c>
      <c r="AA38" s="135">
        <v>25500404</v>
      </c>
      <c r="AB38" s="135">
        <v>1533319</v>
      </c>
      <c r="AC38" s="135">
        <v>398879</v>
      </c>
      <c r="AD38" s="135">
        <v>0</v>
      </c>
      <c r="AE38" s="135">
        <v>0</v>
      </c>
      <c r="AF38" s="135">
        <v>0</v>
      </c>
      <c r="AG38" s="135">
        <v>102858</v>
      </c>
      <c r="AH38" s="135">
        <v>0</v>
      </c>
      <c r="AI38" s="135">
        <v>623131.14754098363</v>
      </c>
      <c r="AJ38" s="139"/>
      <c r="AK38" s="82">
        <v>373199059</v>
      </c>
      <c r="AL38" s="82">
        <v>12295148</v>
      </c>
      <c r="AM38" s="135">
        <v>60596</v>
      </c>
      <c r="AN38" s="135">
        <v>113173712</v>
      </c>
      <c r="AO38" s="135">
        <v>8432205</v>
      </c>
      <c r="AP38" s="135">
        <v>267889573</v>
      </c>
      <c r="AQ38" s="135">
        <v>79855705</v>
      </c>
      <c r="AR38" s="135">
        <v>167094377</v>
      </c>
      <c r="AS38" s="135">
        <v>86133803</v>
      </c>
      <c r="AT38" s="135">
        <f>250+1298711</f>
        <v>1298961</v>
      </c>
      <c r="AW38" s="135">
        <v>22720</v>
      </c>
      <c r="AX38" s="135">
        <v>191552</v>
      </c>
      <c r="AY38" s="135">
        <v>1200385</v>
      </c>
      <c r="AZ38" s="82">
        <v>28442946.710000001</v>
      </c>
      <c r="BA38" s="82">
        <v>14221473.359999999</v>
      </c>
      <c r="BB38" s="117">
        <v>4226851.7949080309</v>
      </c>
      <c r="BC38" s="118">
        <v>1128665</v>
      </c>
      <c r="BD38" s="118">
        <v>2257330</v>
      </c>
      <c r="BE38" s="117">
        <v>78621981.5</v>
      </c>
      <c r="BF38" s="117">
        <v>78225489.5</v>
      </c>
      <c r="BG38" s="117">
        <v>52014358.420000002</v>
      </c>
      <c r="BH38" s="117">
        <v>49166254.420000002</v>
      </c>
      <c r="BI38" s="117">
        <v>332546385</v>
      </c>
      <c r="BJ38" s="117">
        <v>0</v>
      </c>
      <c r="BK38" s="138"/>
      <c r="BL38" s="86">
        <v>4533721698.4275417</v>
      </c>
      <c r="BM38" s="86">
        <v>3672939224.147541</v>
      </c>
      <c r="BN38" s="87">
        <v>5870536</v>
      </c>
      <c r="BP38" s="86">
        <v>3470854471</v>
      </c>
      <c r="BQ38" s="86">
        <v>373199059</v>
      </c>
      <c r="BR38" s="86">
        <v>12295148</v>
      </c>
      <c r="BS38" s="86">
        <v>287595425</v>
      </c>
      <c r="BT38" s="86">
        <v>4143944103</v>
      </c>
    </row>
    <row r="39" spans="1:72" x14ac:dyDescent="0.25">
      <c r="A39" s="91" t="s">
        <v>93</v>
      </c>
      <c r="B39" s="135">
        <v>75702884</v>
      </c>
      <c r="C39" s="135">
        <v>68407383</v>
      </c>
      <c r="D39" s="135">
        <v>62748124</v>
      </c>
      <c r="E39" s="135">
        <v>0</v>
      </c>
      <c r="F39" s="135">
        <v>23807120</v>
      </c>
      <c r="G39" s="135">
        <v>3770684</v>
      </c>
      <c r="H39" s="135">
        <v>3583924</v>
      </c>
      <c r="I39" s="135">
        <v>104017</v>
      </c>
      <c r="J39" s="135">
        <v>0</v>
      </c>
      <c r="K39" s="135">
        <v>0</v>
      </c>
      <c r="L39" s="135">
        <v>323175529</v>
      </c>
      <c r="M39" s="135">
        <v>14192404</v>
      </c>
      <c r="N39" s="135">
        <v>772</v>
      </c>
      <c r="O39" s="135">
        <v>123</v>
      </c>
      <c r="P39" s="135">
        <v>951870</v>
      </c>
      <c r="Q39" s="135">
        <v>541282</v>
      </c>
      <c r="R39" s="135">
        <v>263000</v>
      </c>
      <c r="S39" s="135">
        <v>647317</v>
      </c>
      <c r="T39" s="135">
        <v>470349</v>
      </c>
      <c r="U39" s="135">
        <v>651820</v>
      </c>
      <c r="V39" s="135">
        <v>951870</v>
      </c>
      <c r="W39" s="135">
        <v>3554699</v>
      </c>
      <c r="X39" s="135">
        <v>263000</v>
      </c>
      <c r="Y39" s="135">
        <v>647317</v>
      </c>
      <c r="Z39" s="135">
        <v>344679</v>
      </c>
      <c r="AA39" s="135">
        <v>651820</v>
      </c>
      <c r="AB39" s="135">
        <v>-284028</v>
      </c>
      <c r="AC39" s="135">
        <v>0</v>
      </c>
      <c r="AD39" s="135">
        <v>29209</v>
      </c>
      <c r="AE39" s="135">
        <v>0</v>
      </c>
      <c r="AF39" s="135">
        <v>0</v>
      </c>
      <c r="AG39" s="135">
        <v>120352</v>
      </c>
      <c r="AH39" s="135">
        <v>0</v>
      </c>
      <c r="AI39" s="135">
        <v>0</v>
      </c>
      <c r="AJ39" s="139"/>
      <c r="AK39" s="82">
        <v>37602089</v>
      </c>
      <c r="AL39" s="82">
        <v>956041</v>
      </c>
      <c r="AN39" s="135">
        <v>13665744</v>
      </c>
      <c r="AO39" s="135">
        <v>3790494</v>
      </c>
      <c r="AP39" s="135">
        <v>51421697</v>
      </c>
      <c r="AQ39" s="135">
        <v>21694873</v>
      </c>
      <c r="AR39" s="135">
        <v>74486302</v>
      </c>
      <c r="AS39" s="135">
        <v>1118189</v>
      </c>
      <c r="AT39" s="135">
        <v>1419809</v>
      </c>
      <c r="AV39" s="135">
        <v>7886</v>
      </c>
      <c r="AW39" s="135">
        <v>7542961</v>
      </c>
      <c r="AY39" s="135">
        <v>186400</v>
      </c>
      <c r="AZ39" s="82">
        <v>2865800.94</v>
      </c>
      <c r="BA39" s="82">
        <v>1432900.47</v>
      </c>
      <c r="BB39" s="117">
        <v>49413260.983053885</v>
      </c>
      <c r="BC39" s="118">
        <v>1279786</v>
      </c>
      <c r="BD39" s="118">
        <v>2559573</v>
      </c>
      <c r="BE39" s="117">
        <v>15452541</v>
      </c>
      <c r="BF39" s="117">
        <v>15452541</v>
      </c>
      <c r="BG39" s="117">
        <v>44670938</v>
      </c>
      <c r="BH39" s="117">
        <v>35425364</v>
      </c>
      <c r="BI39" s="117">
        <v>0</v>
      </c>
      <c r="BJ39" s="117">
        <v>4140937</v>
      </c>
      <c r="BK39" s="138"/>
      <c r="BL39" s="86">
        <v>342299160.47000003</v>
      </c>
      <c r="BM39" s="86">
        <v>246009502</v>
      </c>
      <c r="BN39" s="87">
        <v>1135923</v>
      </c>
      <c r="BP39" s="86">
        <v>206858391</v>
      </c>
      <c r="BQ39" s="86">
        <v>37602089</v>
      </c>
      <c r="BR39" s="86">
        <v>956041</v>
      </c>
      <c r="BS39" s="86">
        <v>40269300</v>
      </c>
      <c r="BT39" s="86">
        <v>285685821</v>
      </c>
    </row>
    <row r="40" spans="1:72" x14ac:dyDescent="0.25">
      <c r="A40" s="91" t="s">
        <v>94</v>
      </c>
      <c r="B40" s="135">
        <v>275618729</v>
      </c>
      <c r="C40" s="135">
        <v>68160263</v>
      </c>
      <c r="D40" s="135">
        <v>118138592</v>
      </c>
      <c r="E40" s="135">
        <v>170173209</v>
      </c>
      <c r="F40" s="135">
        <v>20227875</v>
      </c>
      <c r="G40" s="135">
        <v>3455557</v>
      </c>
      <c r="H40" s="135">
        <v>4967300</v>
      </c>
      <c r="I40" s="135">
        <v>540210</v>
      </c>
      <c r="J40" s="135">
        <v>0</v>
      </c>
      <c r="K40" s="135">
        <v>40500</v>
      </c>
      <c r="L40" s="135">
        <v>127238945</v>
      </c>
      <c r="M40" s="135">
        <v>55157189</v>
      </c>
      <c r="N40" s="135">
        <v>636</v>
      </c>
      <c r="O40" s="135">
        <v>108</v>
      </c>
      <c r="P40" s="135">
        <v>2138971</v>
      </c>
      <c r="Q40" s="135">
        <v>2860013</v>
      </c>
      <c r="R40" s="135">
        <v>2509811</v>
      </c>
      <c r="S40" s="135">
        <v>1456824</v>
      </c>
      <c r="T40" s="135">
        <v>1337302</v>
      </c>
      <c r="U40" s="135">
        <v>207600</v>
      </c>
      <c r="V40" s="135">
        <v>2138971</v>
      </c>
      <c r="W40" s="135">
        <v>4014391</v>
      </c>
      <c r="X40" s="135">
        <v>2509811</v>
      </c>
      <c r="Y40" s="135">
        <v>1456824</v>
      </c>
      <c r="Z40" s="135">
        <v>2909422</v>
      </c>
      <c r="AA40" s="135">
        <v>207600</v>
      </c>
      <c r="AB40" s="135">
        <v>-1143551</v>
      </c>
      <c r="AC40" s="135">
        <v>-91937562</v>
      </c>
      <c r="AD40" s="135">
        <v>25100</v>
      </c>
      <c r="AE40" s="135">
        <v>0</v>
      </c>
      <c r="AF40" s="135">
        <v>0</v>
      </c>
      <c r="AG40" s="135">
        <v>46358</v>
      </c>
      <c r="AH40" s="135">
        <v>0</v>
      </c>
      <c r="AI40" s="135">
        <v>3228174.180327869</v>
      </c>
      <c r="AJ40" s="139"/>
      <c r="AK40" s="82">
        <v>65786761</v>
      </c>
      <c r="AL40" s="82">
        <v>3159585</v>
      </c>
      <c r="AM40" s="135">
        <v>237208</v>
      </c>
      <c r="AN40" s="135">
        <v>76388040</v>
      </c>
      <c r="AO40" s="135">
        <v>2279816</v>
      </c>
      <c r="AP40" s="135">
        <v>411243416</v>
      </c>
      <c r="AQ40" s="135">
        <v>82051602</v>
      </c>
      <c r="AR40" s="135">
        <v>74871797</v>
      </c>
      <c r="AS40" s="135">
        <v>38904996</v>
      </c>
      <c r="AT40" s="135">
        <v>36676</v>
      </c>
      <c r="AW40" s="135">
        <v>19334368</v>
      </c>
      <c r="AX40" s="135">
        <v>54460</v>
      </c>
      <c r="AZ40" s="82">
        <v>5013864.03</v>
      </c>
      <c r="BA40" s="82">
        <v>2506932.02</v>
      </c>
      <c r="BB40" s="117">
        <v>20070728.522918135</v>
      </c>
      <c r="BC40" s="118">
        <v>839563</v>
      </c>
      <c r="BD40" s="118">
        <v>1679126</v>
      </c>
      <c r="BE40" s="117">
        <v>4822866</v>
      </c>
      <c r="BF40" s="117">
        <v>4822866</v>
      </c>
      <c r="BG40" s="117">
        <v>35314318</v>
      </c>
      <c r="BH40" s="117">
        <v>33974034</v>
      </c>
      <c r="BI40" s="117">
        <v>62846</v>
      </c>
      <c r="BJ40" s="117">
        <v>0</v>
      </c>
      <c r="BK40" s="138"/>
      <c r="BL40" s="86">
        <v>737017803.20032787</v>
      </c>
      <c r="BM40" s="86">
        <v>625865216.18032789</v>
      </c>
      <c r="BN40" s="87">
        <v>470498</v>
      </c>
      <c r="BP40" s="86">
        <v>461917584</v>
      </c>
      <c r="BQ40" s="86">
        <v>65786761</v>
      </c>
      <c r="BR40" s="86">
        <v>3159585</v>
      </c>
      <c r="BS40" s="86">
        <v>199624454</v>
      </c>
      <c r="BT40" s="86">
        <v>730488384</v>
      </c>
    </row>
    <row r="41" spans="1:72" x14ac:dyDescent="0.25">
      <c r="A41" s="91" t="s">
        <v>95</v>
      </c>
      <c r="B41" s="135">
        <v>597804422</v>
      </c>
      <c r="C41" s="135">
        <v>145282621</v>
      </c>
      <c r="D41" s="135">
        <v>67469448</v>
      </c>
      <c r="E41" s="135">
        <v>0</v>
      </c>
      <c r="F41" s="135">
        <v>56239910</v>
      </c>
      <c r="G41" s="135">
        <v>9578800</v>
      </c>
      <c r="H41" s="135">
        <v>14114100</v>
      </c>
      <c r="I41" s="135">
        <v>1851000</v>
      </c>
      <c r="J41" s="135">
        <v>187000</v>
      </c>
      <c r="K41" s="135">
        <v>40500</v>
      </c>
      <c r="L41" s="135">
        <v>230693309</v>
      </c>
      <c r="M41" s="135">
        <v>106153600</v>
      </c>
      <c r="N41" s="135">
        <v>1786</v>
      </c>
      <c r="O41" s="135">
        <v>302</v>
      </c>
      <c r="P41" s="135">
        <v>10955500</v>
      </c>
      <c r="Q41" s="135">
        <v>3749000</v>
      </c>
      <c r="R41" s="135">
        <v>1095000</v>
      </c>
      <c r="S41" s="135">
        <v>3525365</v>
      </c>
      <c r="T41" s="135">
        <v>1152800</v>
      </c>
      <c r="U41" s="135">
        <v>126650</v>
      </c>
      <c r="V41" s="135">
        <v>10955500</v>
      </c>
      <c r="W41" s="135">
        <v>3765000</v>
      </c>
      <c r="X41" s="135">
        <v>1095000</v>
      </c>
      <c r="Y41" s="135">
        <v>3525365</v>
      </c>
      <c r="Z41" s="135">
        <v>2695200</v>
      </c>
      <c r="AA41" s="135">
        <v>126650</v>
      </c>
      <c r="AB41" s="135">
        <v>-2090039</v>
      </c>
      <c r="AC41" s="135">
        <v>-444336</v>
      </c>
      <c r="AD41" s="135">
        <v>0</v>
      </c>
      <c r="AE41" s="135">
        <v>0</v>
      </c>
      <c r="AF41" s="135">
        <v>0</v>
      </c>
      <c r="AG41" s="135">
        <v>157568</v>
      </c>
      <c r="AH41" s="135">
        <v>490000</v>
      </c>
      <c r="AI41" s="135">
        <v>56649.590163934423</v>
      </c>
      <c r="AJ41" s="139"/>
      <c r="AK41" s="82">
        <v>141370564</v>
      </c>
      <c r="AL41" s="82">
        <v>11077615</v>
      </c>
      <c r="AM41" s="135">
        <v>82740</v>
      </c>
      <c r="AN41" s="135">
        <v>9439925</v>
      </c>
      <c r="AO41" s="135">
        <v>242526</v>
      </c>
      <c r="AP41" s="135">
        <v>9312395</v>
      </c>
      <c r="AQ41" s="135">
        <v>6323566</v>
      </c>
      <c r="AR41" s="135">
        <v>3509778</v>
      </c>
      <c r="AS41" s="135">
        <v>1468761</v>
      </c>
      <c r="AT41" s="135">
        <f>1621754+29180</f>
        <v>1650934</v>
      </c>
      <c r="AW41" s="135">
        <v>2500</v>
      </c>
      <c r="AX41" s="135">
        <v>1452332</v>
      </c>
      <c r="AZ41" s="82">
        <v>10774398.6</v>
      </c>
      <c r="BA41" s="82">
        <v>5387199.2999999998</v>
      </c>
      <c r="BB41" s="117">
        <v>0</v>
      </c>
      <c r="BC41" s="118">
        <v>0</v>
      </c>
      <c r="BD41" s="118">
        <v>0</v>
      </c>
      <c r="BE41" s="117">
        <v>28023690</v>
      </c>
      <c r="BF41" s="117">
        <v>28023690</v>
      </c>
      <c r="BG41" s="117">
        <v>57632816</v>
      </c>
      <c r="BH41" s="117">
        <v>57632816</v>
      </c>
      <c r="BI41" s="117">
        <v>0</v>
      </c>
      <c r="BJ41" s="117">
        <v>0</v>
      </c>
      <c r="BK41" s="138"/>
      <c r="BL41" s="86">
        <v>1070601041.8901639</v>
      </c>
      <c r="BM41" s="86">
        <v>827109157.59016395</v>
      </c>
      <c r="BN41" s="87">
        <v>767750</v>
      </c>
      <c r="BP41" s="86">
        <v>810556491</v>
      </c>
      <c r="BQ41" s="86">
        <v>141370564</v>
      </c>
      <c r="BR41" s="86">
        <v>11077615</v>
      </c>
      <c r="BS41" s="86">
        <v>17474778</v>
      </c>
      <c r="BT41" s="86">
        <v>980479448</v>
      </c>
    </row>
    <row r="42" spans="1:72" x14ac:dyDescent="0.25">
      <c r="A42" s="91" t="s">
        <v>96</v>
      </c>
      <c r="B42" s="135">
        <v>727456997</v>
      </c>
      <c r="C42" s="140">
        <v>260275635</v>
      </c>
      <c r="D42" s="135">
        <v>324646765</v>
      </c>
      <c r="E42" s="135">
        <v>2256741</v>
      </c>
      <c r="F42" s="135">
        <v>53020405</v>
      </c>
      <c r="G42" s="135">
        <v>7709000</v>
      </c>
      <c r="H42" s="135">
        <v>22536400</v>
      </c>
      <c r="I42" s="135">
        <v>2256700</v>
      </c>
      <c r="J42" s="135">
        <v>202500</v>
      </c>
      <c r="K42" s="135">
        <v>40500</v>
      </c>
      <c r="L42" s="135">
        <v>312175624</v>
      </c>
      <c r="M42" s="135">
        <v>217139245</v>
      </c>
      <c r="N42" s="135">
        <v>1874</v>
      </c>
      <c r="O42" s="135">
        <v>249</v>
      </c>
      <c r="P42" s="135">
        <v>9428525</v>
      </c>
      <c r="Q42" s="135">
        <v>6558650</v>
      </c>
      <c r="R42" s="135">
        <v>8062900</v>
      </c>
      <c r="S42" s="135">
        <v>4768317</v>
      </c>
      <c r="T42" s="135">
        <v>2080925</v>
      </c>
      <c r="U42" s="135">
        <v>494500</v>
      </c>
      <c r="V42" s="135">
        <v>9428525</v>
      </c>
      <c r="W42" s="135">
        <v>2254600</v>
      </c>
      <c r="X42" s="135">
        <v>8062900</v>
      </c>
      <c r="Y42" s="135">
        <v>4768317</v>
      </c>
      <c r="Z42" s="135">
        <v>2367836</v>
      </c>
      <c r="AA42" s="135">
        <v>494500</v>
      </c>
      <c r="AB42" s="135">
        <v>-2844780</v>
      </c>
      <c r="AC42" s="135">
        <v>-45236</v>
      </c>
      <c r="AD42" s="135">
        <v>72313</v>
      </c>
      <c r="AE42" s="135">
        <v>21</v>
      </c>
      <c r="AF42" s="135">
        <v>0</v>
      </c>
      <c r="AG42" s="135">
        <v>143204</v>
      </c>
      <c r="AH42" s="135">
        <v>0</v>
      </c>
      <c r="AI42" s="135">
        <v>0</v>
      </c>
      <c r="AJ42" s="139"/>
      <c r="AK42" s="82">
        <v>189120242</v>
      </c>
      <c r="AL42" s="82">
        <v>6249739</v>
      </c>
      <c r="AN42" s="135">
        <v>32221128</v>
      </c>
      <c r="AO42" s="135">
        <v>454724</v>
      </c>
      <c r="AP42" s="135">
        <v>56157265</v>
      </c>
      <c r="AQ42" s="135">
        <v>23100271</v>
      </c>
      <c r="AR42" s="135">
        <v>58469013</v>
      </c>
      <c r="AS42" s="135">
        <v>6325877</v>
      </c>
      <c r="AT42" s="135">
        <v>155150</v>
      </c>
      <c r="AZ42" s="82">
        <v>14413586.630000001</v>
      </c>
      <c r="BA42" s="82">
        <v>7206793.3200000003</v>
      </c>
      <c r="BB42" s="117">
        <v>0</v>
      </c>
      <c r="BC42" s="118">
        <v>3027538</v>
      </c>
      <c r="BD42" s="118">
        <v>6055076</v>
      </c>
      <c r="BE42" s="117">
        <v>72452377.700000003</v>
      </c>
      <c r="BF42" s="117">
        <v>72452377.700000003</v>
      </c>
      <c r="BG42" s="117">
        <v>81666668.799999997</v>
      </c>
      <c r="BH42" s="117">
        <v>73703538.799999997</v>
      </c>
      <c r="BI42" s="117">
        <v>11654317</v>
      </c>
      <c r="BJ42" s="117">
        <v>0</v>
      </c>
      <c r="BK42" s="138"/>
      <c r="BL42" s="86">
        <v>1731570065.8199999</v>
      </c>
      <c r="BM42" s="86">
        <v>1368155520</v>
      </c>
      <c r="BN42" s="87">
        <v>1610600</v>
      </c>
      <c r="BP42" s="86">
        <v>1312379397</v>
      </c>
      <c r="BQ42" s="86">
        <v>189120242</v>
      </c>
      <c r="BR42" s="86">
        <v>6249739</v>
      </c>
      <c r="BS42" s="86">
        <v>62102000</v>
      </c>
      <c r="BT42" s="86">
        <v>1569851378</v>
      </c>
    </row>
    <row r="43" spans="1:72" x14ac:dyDescent="0.25">
      <c r="A43" s="91" t="s">
        <v>97</v>
      </c>
      <c r="B43" s="135">
        <v>898666362</v>
      </c>
      <c r="C43" s="135">
        <v>447494774</v>
      </c>
      <c r="D43" s="135">
        <v>364927396</v>
      </c>
      <c r="E43" s="135">
        <v>34399169</v>
      </c>
      <c r="F43" s="135">
        <v>119517750</v>
      </c>
      <c r="G43" s="135">
        <v>13638496</v>
      </c>
      <c r="H43" s="135">
        <v>28624490</v>
      </c>
      <c r="I43" s="135">
        <v>1911300</v>
      </c>
      <c r="J43" s="135">
        <v>119500</v>
      </c>
      <c r="K43" s="135">
        <v>103000</v>
      </c>
      <c r="L43" s="135">
        <v>1117555670</v>
      </c>
      <c r="M43" s="135">
        <v>242553657</v>
      </c>
      <c r="N43" s="135">
        <v>3852</v>
      </c>
      <c r="O43" s="135">
        <v>434</v>
      </c>
      <c r="P43" s="135">
        <v>2733025</v>
      </c>
      <c r="Q43" s="135">
        <v>3600000</v>
      </c>
      <c r="R43" s="135">
        <v>9033999</v>
      </c>
      <c r="S43" s="135">
        <v>3339581</v>
      </c>
      <c r="T43" s="135">
        <v>715600</v>
      </c>
      <c r="U43" s="135">
        <v>3603798</v>
      </c>
      <c r="V43" s="135">
        <v>2733025</v>
      </c>
      <c r="W43" s="135">
        <v>3600000</v>
      </c>
      <c r="X43" s="135">
        <v>9033999</v>
      </c>
      <c r="Y43" s="135">
        <v>3339581</v>
      </c>
      <c r="Z43" s="135">
        <v>917500</v>
      </c>
      <c r="AA43" s="135">
        <v>3603798</v>
      </c>
      <c r="AB43" s="135">
        <v>-6548895</v>
      </c>
      <c r="AC43" s="135">
        <v>-911563</v>
      </c>
      <c r="AD43" s="135">
        <v>55807</v>
      </c>
      <c r="AE43" s="135">
        <v>92581</v>
      </c>
      <c r="AF43" s="135">
        <v>230175912</v>
      </c>
      <c r="AG43" s="135">
        <v>310609</v>
      </c>
      <c r="AH43" s="135">
        <v>0</v>
      </c>
      <c r="AI43" s="135">
        <v>554356.55737704923</v>
      </c>
      <c r="AJ43" s="139"/>
      <c r="AK43" s="82">
        <v>310906515</v>
      </c>
      <c r="AL43" s="82">
        <v>9614882</v>
      </c>
      <c r="AN43" s="135">
        <v>66740788</v>
      </c>
      <c r="AO43" s="135">
        <v>5977115</v>
      </c>
      <c r="AP43" s="135">
        <v>68384979</v>
      </c>
      <c r="AQ43" s="135">
        <v>113759677</v>
      </c>
      <c r="AR43" s="135">
        <v>73386920</v>
      </c>
      <c r="AS43" s="135">
        <v>3615698</v>
      </c>
      <c r="AT43" s="135">
        <v>32453749</v>
      </c>
      <c r="AV43" s="135">
        <v>20782</v>
      </c>
      <c r="AW43" s="135">
        <v>34494342</v>
      </c>
      <c r="AX43" s="135">
        <v>15070</v>
      </c>
      <c r="AY43" s="135">
        <v>1624000</v>
      </c>
      <c r="AZ43" s="82">
        <v>23695390.5</v>
      </c>
      <c r="BA43" s="82">
        <v>11847695.25</v>
      </c>
      <c r="BB43" s="117">
        <v>0</v>
      </c>
      <c r="BC43" s="118">
        <v>2739896</v>
      </c>
      <c r="BD43" s="118">
        <v>5479793</v>
      </c>
      <c r="BE43" s="117">
        <v>88931195</v>
      </c>
      <c r="BF43" s="117">
        <v>85915433</v>
      </c>
      <c r="BG43" s="117">
        <v>143730875</v>
      </c>
      <c r="BH43" s="117">
        <v>112345951</v>
      </c>
      <c r="BI43" s="117">
        <v>0</v>
      </c>
      <c r="BJ43" s="117">
        <v>9575115</v>
      </c>
      <c r="BK43" s="138"/>
      <c r="BL43" s="86">
        <v>2441065955.8073769</v>
      </c>
      <c r="BM43" s="86">
        <v>1898120468.5573771</v>
      </c>
      <c r="BN43" s="87">
        <v>4988846</v>
      </c>
      <c r="BP43" s="86">
        <v>1711088532</v>
      </c>
      <c r="BQ43" s="86">
        <v>310906515</v>
      </c>
      <c r="BR43" s="86">
        <v>9614882</v>
      </c>
      <c r="BS43" s="86">
        <v>190093278</v>
      </c>
      <c r="BT43" s="86">
        <v>2221703207</v>
      </c>
    </row>
    <row r="44" spans="1:72" x14ac:dyDescent="0.25">
      <c r="A44" s="91" t="s">
        <v>98</v>
      </c>
      <c r="B44" s="140">
        <v>834351147</v>
      </c>
      <c r="C44" s="140">
        <v>227689842</v>
      </c>
      <c r="D44" s="140">
        <v>189865061</v>
      </c>
      <c r="E44" s="140">
        <v>0</v>
      </c>
      <c r="F44" s="140">
        <v>76323347</v>
      </c>
      <c r="G44" s="140">
        <v>15378350</v>
      </c>
      <c r="H44" s="140">
        <v>25653485</v>
      </c>
      <c r="I44" s="140">
        <v>3182469</v>
      </c>
      <c r="J44" s="140">
        <v>81000</v>
      </c>
      <c r="K44" s="140">
        <v>0</v>
      </c>
      <c r="L44" s="140">
        <v>354177487</v>
      </c>
      <c r="M44" s="140">
        <v>141648157</v>
      </c>
      <c r="N44" s="140">
        <v>2665</v>
      </c>
      <c r="O44" s="140">
        <v>529</v>
      </c>
      <c r="P44" s="140">
        <v>12396149</v>
      </c>
      <c r="Q44" s="140">
        <v>3071563</v>
      </c>
      <c r="R44" s="140">
        <v>1400965</v>
      </c>
      <c r="S44" s="140">
        <v>3472201</v>
      </c>
      <c r="T44" s="140">
        <v>1093886</v>
      </c>
      <c r="U44" s="140">
        <v>726100</v>
      </c>
      <c r="V44" s="140">
        <v>12396149</v>
      </c>
      <c r="W44" s="140">
        <v>3416900</v>
      </c>
      <c r="X44" s="140">
        <v>1400965</v>
      </c>
      <c r="Y44" s="140">
        <v>3472201</v>
      </c>
      <c r="Z44" s="140">
        <v>1049400</v>
      </c>
      <c r="AA44" s="140">
        <v>726100</v>
      </c>
      <c r="AB44" s="140">
        <v>-2706600</v>
      </c>
      <c r="AC44" s="140">
        <v>-18063</v>
      </c>
      <c r="AD44" s="140">
        <v>129658</v>
      </c>
      <c r="AE44" s="140">
        <v>5575</v>
      </c>
      <c r="AF44" s="140">
        <v>5045216</v>
      </c>
      <c r="AG44" s="140">
        <v>278961</v>
      </c>
      <c r="AH44" s="135">
        <v>4286500</v>
      </c>
      <c r="AI44" s="140">
        <v>1455170.0819672132</v>
      </c>
      <c r="AJ44" s="139"/>
      <c r="AK44" s="82">
        <v>181407455</v>
      </c>
      <c r="AL44" s="82">
        <v>27706823</v>
      </c>
      <c r="AM44" s="140">
        <v>142621</v>
      </c>
      <c r="AN44" s="140">
        <v>39284388</v>
      </c>
      <c r="AO44" s="140">
        <v>4545711</v>
      </c>
      <c r="AP44" s="140">
        <v>67711091</v>
      </c>
      <c r="AQ44" s="140">
        <v>54701937</v>
      </c>
      <c r="AR44" s="140">
        <v>22754434</v>
      </c>
      <c r="AS44" s="140">
        <v>17942265</v>
      </c>
      <c r="AT44" s="140"/>
      <c r="AU44" s="140"/>
      <c r="AV44" s="140"/>
      <c r="AW44" s="140">
        <v>14213</v>
      </c>
      <c r="AX44" s="140">
        <v>300383</v>
      </c>
      <c r="AY44" s="140">
        <v>154985</v>
      </c>
      <c r="AZ44" s="82">
        <v>13825765.24</v>
      </c>
      <c r="BA44" s="82">
        <v>6912882.6200000001</v>
      </c>
      <c r="BB44" s="117">
        <v>0</v>
      </c>
      <c r="BC44" s="118">
        <v>2504089</v>
      </c>
      <c r="BD44" s="118">
        <v>5008177</v>
      </c>
      <c r="BE44" s="117">
        <v>14944679</v>
      </c>
      <c r="BF44" s="117">
        <v>9594755</v>
      </c>
      <c r="BG44" s="117">
        <v>64052090</v>
      </c>
      <c r="BH44" s="117">
        <v>61034942</v>
      </c>
      <c r="BI44" s="117">
        <v>0</v>
      </c>
      <c r="BJ44" s="117">
        <v>0</v>
      </c>
      <c r="BK44" s="141"/>
      <c r="BL44" s="86">
        <v>1645340702.701967</v>
      </c>
      <c r="BM44" s="86">
        <v>1356179756.0819671</v>
      </c>
      <c r="BN44" s="87">
        <v>1302503</v>
      </c>
      <c r="BP44" s="86">
        <v>1251906050</v>
      </c>
      <c r="BQ44" s="86">
        <v>181407455</v>
      </c>
      <c r="BR44" s="86">
        <v>27706823</v>
      </c>
      <c r="BS44" s="86">
        <v>116474301</v>
      </c>
      <c r="BT44" s="86">
        <v>1577494629</v>
      </c>
    </row>
    <row r="45" spans="1:72" x14ac:dyDescent="0.25">
      <c r="A45" s="91" t="s">
        <v>99</v>
      </c>
      <c r="B45" s="135">
        <v>192386280</v>
      </c>
      <c r="C45" s="135">
        <v>134105024</v>
      </c>
      <c r="D45" s="135">
        <v>40898829</v>
      </c>
      <c r="E45" s="135">
        <v>0</v>
      </c>
      <c r="F45" s="135">
        <v>38523050</v>
      </c>
      <c r="G45" s="135">
        <v>6812100</v>
      </c>
      <c r="H45" s="135">
        <v>16370700</v>
      </c>
      <c r="I45" s="135">
        <v>1169300</v>
      </c>
      <c r="J45" s="135">
        <v>0</v>
      </c>
      <c r="K45" s="135">
        <v>0</v>
      </c>
      <c r="L45" s="135">
        <v>246874755</v>
      </c>
      <c r="M45" s="135">
        <v>80219800</v>
      </c>
      <c r="N45" s="135">
        <v>1407</v>
      </c>
      <c r="O45" s="135">
        <v>216</v>
      </c>
      <c r="P45" s="135">
        <v>1105905</v>
      </c>
      <c r="Q45" s="135">
        <v>1052000</v>
      </c>
      <c r="R45" s="135">
        <v>435000</v>
      </c>
      <c r="S45" s="135">
        <v>824790</v>
      </c>
      <c r="T45" s="135">
        <v>43100</v>
      </c>
      <c r="U45" s="135">
        <v>428500</v>
      </c>
      <c r="V45" s="135">
        <v>1105905</v>
      </c>
      <c r="W45" s="135">
        <v>1052000</v>
      </c>
      <c r="X45" s="135">
        <v>435000</v>
      </c>
      <c r="Y45" s="135">
        <v>824790</v>
      </c>
      <c r="Z45" s="135">
        <v>100350</v>
      </c>
      <c r="AA45" s="135">
        <v>428500</v>
      </c>
      <c r="AB45" s="135">
        <v>-717750</v>
      </c>
      <c r="AC45" s="135">
        <v>12782</v>
      </c>
      <c r="AD45" s="135">
        <v>39733</v>
      </c>
      <c r="AE45" s="135">
        <v>0</v>
      </c>
      <c r="AF45" s="135">
        <v>0</v>
      </c>
      <c r="AG45" s="135">
        <v>167831</v>
      </c>
      <c r="AH45" s="135">
        <v>401086.0674590164</v>
      </c>
      <c r="AI45" s="135">
        <v>298899.59016393445</v>
      </c>
      <c r="AJ45" s="139"/>
      <c r="AK45" s="82">
        <v>72638460</v>
      </c>
      <c r="AL45" s="82">
        <v>2460333</v>
      </c>
      <c r="AN45" s="135">
        <v>5314624</v>
      </c>
      <c r="AO45" s="135">
        <v>36258</v>
      </c>
      <c r="AP45" s="135">
        <v>5064671</v>
      </c>
      <c r="AQ45" s="135">
        <v>6236771</v>
      </c>
      <c r="AR45" s="135">
        <v>1684899</v>
      </c>
      <c r="AT45" s="135">
        <f>331152+250</f>
        <v>331402</v>
      </c>
      <c r="AV45" s="135">
        <v>16968</v>
      </c>
      <c r="AZ45" s="82">
        <v>5536058.5700000003</v>
      </c>
      <c r="BA45" s="82">
        <v>2768029.29</v>
      </c>
      <c r="BB45" s="117">
        <v>0</v>
      </c>
      <c r="BC45" s="118">
        <v>0</v>
      </c>
      <c r="BD45" s="118">
        <v>0</v>
      </c>
      <c r="BE45" s="117">
        <v>35995905</v>
      </c>
      <c r="BF45" s="117">
        <v>35995905</v>
      </c>
      <c r="BG45" s="117">
        <v>36047161</v>
      </c>
      <c r="BH45" s="117">
        <v>35867119</v>
      </c>
      <c r="BI45" s="117">
        <v>0</v>
      </c>
      <c r="BJ45" s="117">
        <v>0</v>
      </c>
      <c r="BK45" s="138"/>
      <c r="BL45" s="86">
        <v>529407617.94762295</v>
      </c>
      <c r="BM45" s="86">
        <v>379677771.65762293</v>
      </c>
      <c r="BN45" s="87">
        <v>759262</v>
      </c>
      <c r="BP45" s="86">
        <v>367390133</v>
      </c>
      <c r="BQ45" s="86">
        <v>72638460</v>
      </c>
      <c r="BR45" s="86">
        <v>2460333</v>
      </c>
      <c r="BS45" s="86">
        <v>11587653</v>
      </c>
      <c r="BT45" s="86">
        <v>454076579</v>
      </c>
    </row>
    <row r="46" spans="1:72" x14ac:dyDescent="0.25">
      <c r="A46" s="91" t="s">
        <v>100</v>
      </c>
      <c r="B46" s="135">
        <v>941201841</v>
      </c>
      <c r="C46" s="135">
        <v>136330757</v>
      </c>
      <c r="D46" s="135">
        <v>308765415</v>
      </c>
      <c r="E46" s="135">
        <v>0</v>
      </c>
      <c r="F46" s="135">
        <v>149586394</v>
      </c>
      <c r="G46" s="135">
        <v>31691803</v>
      </c>
      <c r="H46" s="135">
        <v>21461560</v>
      </c>
      <c r="I46" s="135">
        <v>4651586</v>
      </c>
      <c r="J46" s="135">
        <v>40500</v>
      </c>
      <c r="K46" s="135">
        <v>67500</v>
      </c>
      <c r="L46" s="135">
        <v>121632846</v>
      </c>
      <c r="M46" s="135">
        <v>116652990</v>
      </c>
      <c r="N46" s="135">
        <v>4683</v>
      </c>
      <c r="O46" s="135">
        <v>1136</v>
      </c>
      <c r="P46" s="135">
        <v>1922450</v>
      </c>
      <c r="Q46" s="135">
        <v>472540</v>
      </c>
      <c r="R46" s="135">
        <v>7081712</v>
      </c>
      <c r="S46" s="135">
        <v>5260140</v>
      </c>
      <c r="T46" s="135">
        <v>1425617</v>
      </c>
      <c r="U46" s="135">
        <v>11599103</v>
      </c>
      <c r="V46" s="135">
        <v>1922450</v>
      </c>
      <c r="W46" s="135">
        <v>713576</v>
      </c>
      <c r="X46" s="135">
        <v>7081712</v>
      </c>
      <c r="Y46" s="135">
        <v>5260140</v>
      </c>
      <c r="Z46" s="135">
        <v>2056650</v>
      </c>
      <c r="AA46" s="135">
        <v>11599103</v>
      </c>
      <c r="AB46" s="135">
        <v>-4244572</v>
      </c>
      <c r="AC46" s="135">
        <v>0</v>
      </c>
      <c r="AD46" s="135">
        <v>144229</v>
      </c>
      <c r="AE46" s="135">
        <v>0</v>
      </c>
      <c r="AF46" s="135">
        <v>0</v>
      </c>
      <c r="AG46" s="135">
        <v>79815806</v>
      </c>
      <c r="AH46" s="135">
        <v>3481819.6727049183</v>
      </c>
      <c r="AI46" s="135">
        <v>743577.86885245913</v>
      </c>
      <c r="AJ46" s="139"/>
      <c r="AK46" s="82">
        <v>273739049</v>
      </c>
      <c r="AL46" s="82">
        <v>8151924</v>
      </c>
      <c r="AM46" s="135">
        <v>25000</v>
      </c>
      <c r="AN46" s="135">
        <v>36568701</v>
      </c>
      <c r="AO46" s="135">
        <v>1562904</v>
      </c>
      <c r="AP46" s="135">
        <v>98368549</v>
      </c>
      <c r="AQ46" s="135">
        <v>40063238</v>
      </c>
      <c r="AR46" s="135">
        <v>40498256</v>
      </c>
      <c r="AS46" s="135">
        <v>112086535</v>
      </c>
      <c r="AT46" s="135">
        <v>463054</v>
      </c>
      <c r="AX46" s="135">
        <v>14899</v>
      </c>
      <c r="AY46" s="135">
        <v>233000</v>
      </c>
      <c r="AZ46" s="82">
        <v>20862713.870000001</v>
      </c>
      <c r="BA46" s="82">
        <v>10431356.939999999</v>
      </c>
      <c r="BB46" s="117">
        <v>35341935.007747151</v>
      </c>
      <c r="BC46" s="118">
        <v>34327185</v>
      </c>
      <c r="BD46" s="118">
        <v>68654370</v>
      </c>
      <c r="BE46" s="117">
        <v>79434468</v>
      </c>
      <c r="BF46" s="117">
        <v>79434468</v>
      </c>
      <c r="BG46" s="117">
        <v>168597044.22</v>
      </c>
      <c r="BH46" s="117">
        <v>141824329.22</v>
      </c>
      <c r="BI46" s="117">
        <v>0</v>
      </c>
      <c r="BJ46" s="117">
        <v>0</v>
      </c>
      <c r="BK46" s="138"/>
      <c r="BL46" s="86">
        <v>2016626565.7015574</v>
      </c>
      <c r="BM46" s="86">
        <v>1468718253.5415573</v>
      </c>
      <c r="BN46" s="87">
        <v>2076852</v>
      </c>
      <c r="BP46" s="86">
        <v>1386298013</v>
      </c>
      <c r="BQ46" s="86">
        <v>273739049</v>
      </c>
      <c r="BR46" s="86">
        <v>8151924</v>
      </c>
      <c r="BS46" s="86">
        <v>190281378</v>
      </c>
      <c r="BT46" s="86">
        <v>1858470364</v>
      </c>
    </row>
    <row r="47" spans="1:72" x14ac:dyDescent="0.25">
      <c r="A47" s="91" t="s">
        <v>101</v>
      </c>
      <c r="B47" s="135">
        <v>191990074</v>
      </c>
      <c r="C47" s="135">
        <v>90429579</v>
      </c>
      <c r="D47" s="135">
        <v>165515241</v>
      </c>
      <c r="E47" s="135">
        <v>13706489</v>
      </c>
      <c r="F47" s="135">
        <v>27569700</v>
      </c>
      <c r="G47" s="135">
        <v>3487400</v>
      </c>
      <c r="H47" s="135">
        <v>11487900</v>
      </c>
      <c r="I47" s="135">
        <v>871400</v>
      </c>
      <c r="J47" s="135">
        <v>0</v>
      </c>
      <c r="K47" s="135">
        <v>40500</v>
      </c>
      <c r="L47" s="135">
        <v>221555835</v>
      </c>
      <c r="M47" s="135">
        <v>70521968</v>
      </c>
      <c r="N47" s="135">
        <v>1023</v>
      </c>
      <c r="O47" s="135">
        <v>130</v>
      </c>
      <c r="P47" s="135">
        <v>2188100</v>
      </c>
      <c r="Q47" s="135">
        <v>1150668</v>
      </c>
      <c r="R47" s="135">
        <v>990000</v>
      </c>
      <c r="S47" s="135">
        <v>1078188</v>
      </c>
      <c r="T47" s="135">
        <v>723932</v>
      </c>
      <c r="U47" s="135">
        <v>3395066</v>
      </c>
      <c r="V47" s="135">
        <v>2188100</v>
      </c>
      <c r="W47" s="135">
        <v>1332700</v>
      </c>
      <c r="X47" s="135">
        <v>990000</v>
      </c>
      <c r="Y47" s="135">
        <v>1078188</v>
      </c>
      <c r="Z47" s="135">
        <v>1180800</v>
      </c>
      <c r="AA47" s="135">
        <v>3395066</v>
      </c>
      <c r="AB47" s="135">
        <v>-523325</v>
      </c>
      <c r="AC47" s="135">
        <v>19257</v>
      </c>
      <c r="AD47" s="135">
        <v>87931</v>
      </c>
      <c r="AE47" s="135">
        <v>0</v>
      </c>
      <c r="AF47" s="135">
        <v>0</v>
      </c>
      <c r="AG47" s="135">
        <v>105361</v>
      </c>
      <c r="AH47" s="135">
        <v>510050</v>
      </c>
      <c r="AI47" s="135">
        <v>37471.311475409835</v>
      </c>
      <c r="AJ47" s="139"/>
      <c r="AK47" s="82">
        <v>71082603</v>
      </c>
      <c r="AL47" s="82">
        <v>1783533</v>
      </c>
      <c r="AN47" s="135">
        <v>68358029</v>
      </c>
      <c r="AO47" s="135">
        <v>49471917</v>
      </c>
      <c r="AP47" s="135">
        <v>896857030</v>
      </c>
      <c r="AQ47" s="135">
        <v>50695294</v>
      </c>
      <c r="AR47" s="135">
        <v>154525546</v>
      </c>
      <c r="AS47" s="135">
        <v>46253728</v>
      </c>
      <c r="AT47" s="135">
        <f>14848587+1814137</f>
        <v>16662724</v>
      </c>
      <c r="AW47" s="135">
        <v>47915275</v>
      </c>
      <c r="AX47" s="135">
        <v>625</v>
      </c>
      <c r="AY47" s="135">
        <v>142500</v>
      </c>
      <c r="AZ47" s="82">
        <v>5417480.6699999999</v>
      </c>
      <c r="BA47" s="82">
        <v>2708740.34</v>
      </c>
      <c r="BB47" s="117">
        <v>32614933.849741966</v>
      </c>
      <c r="BC47" s="118">
        <v>1861640</v>
      </c>
      <c r="BD47" s="118">
        <v>3723280</v>
      </c>
      <c r="BE47" s="117">
        <v>136562211</v>
      </c>
      <c r="BF47" s="117">
        <v>136562211</v>
      </c>
      <c r="BG47" s="117">
        <v>51003331</v>
      </c>
      <c r="BH47" s="117">
        <v>48936412</v>
      </c>
      <c r="BI47" s="117">
        <v>0</v>
      </c>
      <c r="BJ47" s="117">
        <v>0</v>
      </c>
      <c r="BK47" s="138"/>
      <c r="BL47" s="86">
        <v>879942794.65147543</v>
      </c>
      <c r="BM47" s="86">
        <v>617007655.3114754</v>
      </c>
      <c r="BN47" s="87">
        <v>565340</v>
      </c>
      <c r="BP47" s="86">
        <v>447934894</v>
      </c>
      <c r="BQ47" s="86">
        <v>71082603</v>
      </c>
      <c r="BR47" s="86">
        <v>1783533</v>
      </c>
      <c r="BS47" s="86">
        <v>214778968</v>
      </c>
      <c r="BT47" s="86">
        <v>735579998</v>
      </c>
    </row>
    <row r="48" spans="1:72" x14ac:dyDescent="0.25">
      <c r="A48" s="91" t="s">
        <v>102</v>
      </c>
      <c r="B48" s="135">
        <v>4575100530</v>
      </c>
      <c r="C48" s="135">
        <v>422367676</v>
      </c>
      <c r="D48" s="135">
        <v>1806951221</v>
      </c>
      <c r="E48" s="135">
        <v>3583500</v>
      </c>
      <c r="F48" s="135">
        <v>293926600</v>
      </c>
      <c r="G48" s="135">
        <v>52780700</v>
      </c>
      <c r="H48" s="135">
        <v>33867700</v>
      </c>
      <c r="I48" s="135">
        <v>2943300</v>
      </c>
      <c r="J48" s="135">
        <v>633600</v>
      </c>
      <c r="K48" s="135">
        <v>0</v>
      </c>
      <c r="L48" s="135">
        <v>736519448</v>
      </c>
      <c r="M48" s="135">
        <v>291650161</v>
      </c>
      <c r="N48" s="135">
        <v>8243</v>
      </c>
      <c r="O48" s="135">
        <v>1436</v>
      </c>
      <c r="P48" s="135">
        <v>80379400</v>
      </c>
      <c r="Q48" s="135">
        <v>9136100</v>
      </c>
      <c r="R48" s="135">
        <v>45517900</v>
      </c>
      <c r="S48" s="135">
        <v>8742400</v>
      </c>
      <c r="T48" s="135">
        <v>7481000</v>
      </c>
      <c r="U48" s="135">
        <v>29550303</v>
      </c>
      <c r="V48" s="135">
        <v>80379400</v>
      </c>
      <c r="W48" s="135">
        <v>1004700</v>
      </c>
      <c r="X48" s="135">
        <v>45517900</v>
      </c>
      <c r="Y48" s="135">
        <v>8742400</v>
      </c>
      <c r="Z48" s="135">
        <v>17200</v>
      </c>
      <c r="AA48" s="135">
        <v>29550303</v>
      </c>
      <c r="AB48" s="135">
        <v>-5281000</v>
      </c>
      <c r="AC48" s="135">
        <v>5202791</v>
      </c>
      <c r="AD48" s="135">
        <v>87369</v>
      </c>
      <c r="AE48" s="135">
        <v>0</v>
      </c>
      <c r="AF48" s="135">
        <v>0</v>
      </c>
      <c r="AG48" s="135">
        <v>2628015920</v>
      </c>
      <c r="AH48" s="135">
        <v>0</v>
      </c>
      <c r="AI48" s="135">
        <v>480782.78688524594</v>
      </c>
      <c r="AJ48" s="139"/>
      <c r="AK48" s="82">
        <v>775703633</v>
      </c>
      <c r="AL48" s="82">
        <v>18724015</v>
      </c>
      <c r="AM48" s="135">
        <v>40000</v>
      </c>
      <c r="AN48" s="135">
        <v>216369991</v>
      </c>
      <c r="AO48" s="135">
        <v>42071406</v>
      </c>
      <c r="AP48" s="135">
        <v>695058963</v>
      </c>
      <c r="AQ48" s="135">
        <v>220401207</v>
      </c>
      <c r="AR48" s="135">
        <v>198526056</v>
      </c>
      <c r="AS48" s="135">
        <v>64166919</v>
      </c>
      <c r="AT48" s="135">
        <v>2507486</v>
      </c>
      <c r="AV48" s="135">
        <v>52841</v>
      </c>
      <c r="AW48" s="135">
        <v>472155</v>
      </c>
      <c r="AX48" s="135">
        <v>954078</v>
      </c>
      <c r="AY48" s="135">
        <v>1031241</v>
      </c>
      <c r="AZ48" s="82">
        <v>59119380.299999997</v>
      </c>
      <c r="BA48" s="82">
        <v>29559690.149999999</v>
      </c>
      <c r="BB48" s="117">
        <v>3054241.296965803</v>
      </c>
      <c r="BC48" s="118">
        <v>6210578</v>
      </c>
      <c r="BD48" s="118">
        <v>12421155</v>
      </c>
      <c r="BE48" s="117">
        <v>52982171</v>
      </c>
      <c r="BF48" s="117">
        <v>42366469</v>
      </c>
      <c r="BG48" s="117">
        <v>239130139</v>
      </c>
      <c r="BH48" s="117">
        <v>228492138</v>
      </c>
      <c r="BI48" s="117">
        <v>98075</v>
      </c>
      <c r="BJ48" s="117">
        <v>0</v>
      </c>
      <c r="BK48" s="138"/>
      <c r="BL48" s="86">
        <v>8384897411.9368849</v>
      </c>
      <c r="BM48" s="86">
        <v>7283742813.7868853</v>
      </c>
      <c r="BN48" s="87">
        <v>12703700</v>
      </c>
      <c r="BP48" s="86">
        <v>6804419427</v>
      </c>
      <c r="BQ48" s="86">
        <v>775703633</v>
      </c>
      <c r="BR48" s="86">
        <v>18724015</v>
      </c>
      <c r="BS48" s="86">
        <v>543009523</v>
      </c>
      <c r="BT48" s="86">
        <v>8141856598</v>
      </c>
    </row>
    <row r="49" spans="1:72" x14ac:dyDescent="0.25">
      <c r="A49" s="91" t="s">
        <v>103</v>
      </c>
      <c r="B49" s="135">
        <v>398542844</v>
      </c>
      <c r="C49" s="135">
        <v>45980497</v>
      </c>
      <c r="D49" s="135">
        <v>149410788</v>
      </c>
      <c r="E49" s="135">
        <v>0</v>
      </c>
      <c r="F49" s="135">
        <v>67080934</v>
      </c>
      <c r="G49" s="135">
        <v>72210665</v>
      </c>
      <c r="H49" s="135">
        <v>2301940</v>
      </c>
      <c r="I49" s="135">
        <v>1681625</v>
      </c>
      <c r="J49" s="135">
        <v>155200</v>
      </c>
      <c r="K49" s="135">
        <v>217950</v>
      </c>
      <c r="L49" s="135">
        <v>103948938</v>
      </c>
      <c r="M49" s="135">
        <v>18819582</v>
      </c>
      <c r="N49" s="135">
        <v>2017</v>
      </c>
      <c r="O49" s="135">
        <v>2311</v>
      </c>
      <c r="P49" s="135">
        <v>3419400</v>
      </c>
      <c r="Q49" s="135">
        <v>494000</v>
      </c>
      <c r="R49" s="135">
        <v>326000</v>
      </c>
      <c r="S49" s="135">
        <v>3856186</v>
      </c>
      <c r="T49" s="135">
        <v>586280</v>
      </c>
      <c r="U49" s="135">
        <v>1592104</v>
      </c>
      <c r="V49" s="135">
        <v>3419400</v>
      </c>
      <c r="W49" s="135">
        <v>577950</v>
      </c>
      <c r="X49" s="135">
        <v>326000</v>
      </c>
      <c r="Y49" s="135">
        <v>3856186</v>
      </c>
      <c r="Z49" s="135">
        <v>50025</v>
      </c>
      <c r="AA49" s="135">
        <v>1592104</v>
      </c>
      <c r="AB49" s="135">
        <v>-3093282</v>
      </c>
      <c r="AC49" s="135">
        <v>-16843</v>
      </c>
      <c r="AD49" s="135">
        <v>241085</v>
      </c>
      <c r="AE49" s="135">
        <v>3192015</v>
      </c>
      <c r="AF49" s="135">
        <v>0</v>
      </c>
      <c r="AG49" s="135">
        <v>227900</v>
      </c>
      <c r="AH49" s="135">
        <v>7232516.3920491803</v>
      </c>
      <c r="AI49" s="135">
        <v>9273827.8688524589</v>
      </c>
      <c r="AJ49" s="139">
        <v>22015704.918032788</v>
      </c>
      <c r="AK49" s="82">
        <v>160259009</v>
      </c>
      <c r="AL49" s="82">
        <v>2658350</v>
      </c>
      <c r="AN49" s="135">
        <v>37839282</v>
      </c>
      <c r="AO49" s="135">
        <v>1437770</v>
      </c>
      <c r="AP49" s="135">
        <v>6261484</v>
      </c>
      <c r="AQ49" s="135">
        <v>26230228</v>
      </c>
      <c r="AR49" s="135">
        <v>3534190</v>
      </c>
      <c r="AT49" s="135">
        <v>160989</v>
      </c>
      <c r="AX49" s="135">
        <v>34056</v>
      </c>
      <c r="AZ49" s="82">
        <v>12213960.199999999</v>
      </c>
      <c r="BA49" s="82">
        <v>6106980.0999999996</v>
      </c>
      <c r="BB49" s="117">
        <v>0</v>
      </c>
      <c r="BC49" s="118">
        <v>9547659</v>
      </c>
      <c r="BD49" s="118">
        <v>19095318</v>
      </c>
      <c r="BE49" s="117">
        <v>22707128</v>
      </c>
      <c r="BF49" s="117">
        <v>22707128</v>
      </c>
      <c r="BG49" s="117">
        <v>86431080</v>
      </c>
      <c r="BH49" s="117">
        <v>80033339</v>
      </c>
      <c r="BI49" s="117">
        <v>0</v>
      </c>
      <c r="BJ49" s="117">
        <v>0</v>
      </c>
      <c r="BK49" s="138"/>
      <c r="BL49" s="86">
        <v>979275923.27893448</v>
      </c>
      <c r="BM49" s="86">
        <v>697963458.17893445</v>
      </c>
      <c r="BN49" s="87">
        <v>1223021</v>
      </c>
      <c r="BP49" s="86">
        <v>593934129</v>
      </c>
      <c r="BQ49" s="86">
        <v>160259009</v>
      </c>
      <c r="BR49" s="86">
        <v>2658350</v>
      </c>
      <c r="BS49" s="86">
        <v>65507280</v>
      </c>
      <c r="BT49" s="86">
        <v>822358768</v>
      </c>
    </row>
    <row r="50" spans="1:72" x14ac:dyDescent="0.25">
      <c r="A50" s="91" t="s">
        <v>104</v>
      </c>
      <c r="B50" s="135">
        <v>533216033</v>
      </c>
      <c r="C50" s="135">
        <v>242610469</v>
      </c>
      <c r="D50" s="135">
        <v>138070723</v>
      </c>
      <c r="E50" s="135">
        <v>15000</v>
      </c>
      <c r="F50" s="135">
        <v>51416638</v>
      </c>
      <c r="G50" s="135">
        <v>4352362</v>
      </c>
      <c r="H50" s="135">
        <v>17688898</v>
      </c>
      <c r="I50" s="135">
        <v>1198724</v>
      </c>
      <c r="J50" s="135">
        <v>81000</v>
      </c>
      <c r="K50" s="135">
        <v>0</v>
      </c>
      <c r="L50" s="135">
        <v>319412397</v>
      </c>
      <c r="M50" s="135">
        <v>167614164</v>
      </c>
      <c r="N50" s="135">
        <v>1733</v>
      </c>
      <c r="O50" s="135">
        <v>143</v>
      </c>
      <c r="P50" s="135">
        <v>6806189</v>
      </c>
      <c r="Q50" s="135">
        <v>3301319</v>
      </c>
      <c r="R50" s="135">
        <v>2871100</v>
      </c>
      <c r="S50" s="135">
        <v>306925</v>
      </c>
      <c r="T50" s="135">
        <v>30602</v>
      </c>
      <c r="U50" s="135">
        <v>79542</v>
      </c>
      <c r="V50" s="135">
        <v>6806189</v>
      </c>
      <c r="W50" s="135">
        <v>3328448</v>
      </c>
      <c r="X50" s="135">
        <v>2871100</v>
      </c>
      <c r="Y50" s="135">
        <v>306925</v>
      </c>
      <c r="Z50" s="135">
        <v>37818</v>
      </c>
      <c r="AA50" s="135">
        <v>79542</v>
      </c>
      <c r="AB50" s="135">
        <v>-1328053</v>
      </c>
      <c r="AC50" s="135">
        <v>-76764</v>
      </c>
      <c r="AD50" s="135">
        <v>0</v>
      </c>
      <c r="AE50" s="135">
        <v>0</v>
      </c>
      <c r="AF50" s="135">
        <v>6838</v>
      </c>
      <c r="AG50" s="135">
        <v>190264</v>
      </c>
      <c r="AH50" s="135">
        <v>0</v>
      </c>
      <c r="AI50" s="135">
        <v>0</v>
      </c>
      <c r="AJ50" s="139"/>
      <c r="AK50" s="82">
        <v>150705933</v>
      </c>
      <c r="AL50" s="82">
        <v>4061963</v>
      </c>
      <c r="AN50" s="135">
        <v>27968114</v>
      </c>
      <c r="AO50" s="135">
        <v>5179903</v>
      </c>
      <c r="AP50" s="135">
        <v>72897443</v>
      </c>
      <c r="AQ50" s="135">
        <v>17836538</v>
      </c>
      <c r="AR50" s="135">
        <v>20027075</v>
      </c>
      <c r="AS50" s="135">
        <v>1144109</v>
      </c>
      <c r="AT50" s="135">
        <v>2161243</v>
      </c>
      <c r="AV50" s="135">
        <v>31330</v>
      </c>
      <c r="AX50" s="135">
        <v>3509</v>
      </c>
      <c r="AY50" s="135">
        <v>468898</v>
      </c>
      <c r="AZ50" s="82">
        <v>11485883.25</v>
      </c>
      <c r="BA50" s="82">
        <v>5742941.6299999999</v>
      </c>
      <c r="BB50" s="117">
        <v>0</v>
      </c>
      <c r="BC50" s="118">
        <v>2477807</v>
      </c>
      <c r="BD50" s="118">
        <v>4955613</v>
      </c>
      <c r="BE50" s="117">
        <v>19045853</v>
      </c>
      <c r="BF50" s="117">
        <v>19045853</v>
      </c>
      <c r="BG50" s="117">
        <v>59664178</v>
      </c>
      <c r="BH50" s="117">
        <v>54699441</v>
      </c>
      <c r="BI50" s="117">
        <v>0</v>
      </c>
      <c r="BJ50" s="117">
        <v>0</v>
      </c>
      <c r="BK50" s="138"/>
      <c r="BL50" s="86">
        <v>1201615718.6300001</v>
      </c>
      <c r="BM50" s="86">
        <v>964881780</v>
      </c>
      <c r="BN50" s="87">
        <v>1487302</v>
      </c>
      <c r="BP50" s="86">
        <v>913897225</v>
      </c>
      <c r="BQ50" s="86">
        <v>150705933</v>
      </c>
      <c r="BR50" s="86">
        <v>4061963</v>
      </c>
      <c r="BS50" s="86">
        <v>52128664</v>
      </c>
      <c r="BT50" s="86">
        <v>1120793785</v>
      </c>
    </row>
    <row r="51" spans="1:72" x14ac:dyDescent="0.25">
      <c r="A51" s="91" t="s">
        <v>105</v>
      </c>
      <c r="B51" s="135">
        <v>363085112</v>
      </c>
      <c r="C51" s="135">
        <v>294801568</v>
      </c>
      <c r="D51" s="135">
        <v>190551388</v>
      </c>
      <c r="E51" s="135">
        <v>23649433</v>
      </c>
      <c r="F51" s="135">
        <v>47319100</v>
      </c>
      <c r="G51" s="135">
        <v>12618400</v>
      </c>
      <c r="H51" s="135">
        <v>21997900</v>
      </c>
      <c r="I51" s="135">
        <v>3455500</v>
      </c>
      <c r="J51" s="135">
        <v>40500</v>
      </c>
      <c r="K51" s="135">
        <v>40500</v>
      </c>
      <c r="L51" s="135">
        <v>407136552</v>
      </c>
      <c r="M51" s="135">
        <v>198422900</v>
      </c>
      <c r="N51" s="135">
        <v>1794</v>
      </c>
      <c r="O51" s="135">
        <v>455</v>
      </c>
      <c r="P51" s="135">
        <v>8855650</v>
      </c>
      <c r="Q51" s="135">
        <v>7334600</v>
      </c>
      <c r="R51" s="135">
        <v>4022100</v>
      </c>
      <c r="S51" s="135">
        <v>1572250</v>
      </c>
      <c r="T51" s="135">
        <v>1511969</v>
      </c>
      <c r="U51" s="135">
        <v>214373</v>
      </c>
      <c r="V51" s="135">
        <v>8855650</v>
      </c>
      <c r="W51" s="135">
        <v>7378000</v>
      </c>
      <c r="X51" s="135">
        <v>4022100</v>
      </c>
      <c r="Y51" s="135">
        <v>1572250</v>
      </c>
      <c r="Z51" s="135">
        <v>2877100</v>
      </c>
      <c r="AA51" s="135">
        <v>214373</v>
      </c>
      <c r="AB51" s="135">
        <v>-1560850</v>
      </c>
      <c r="AC51" s="135">
        <v>27587</v>
      </c>
      <c r="AD51" s="135">
        <v>101182</v>
      </c>
      <c r="AE51" s="135">
        <v>0</v>
      </c>
      <c r="AF51" s="135">
        <v>0</v>
      </c>
      <c r="AG51" s="135">
        <v>234640</v>
      </c>
      <c r="AH51" s="135">
        <v>685086.0652459017</v>
      </c>
      <c r="AI51" s="135">
        <v>102465.16393442622</v>
      </c>
      <c r="AJ51" s="139"/>
      <c r="AK51" s="82">
        <v>112457507</v>
      </c>
      <c r="AL51" s="82">
        <v>5029022</v>
      </c>
      <c r="AN51" s="135">
        <v>21205997</v>
      </c>
      <c r="AO51" s="135">
        <v>7059675</v>
      </c>
      <c r="AP51" s="135">
        <v>224490001</v>
      </c>
      <c r="AQ51" s="135">
        <v>24001953</v>
      </c>
      <c r="AR51" s="135">
        <v>44760194</v>
      </c>
      <c r="AS51" s="135">
        <v>10738608</v>
      </c>
      <c r="AT51" s="135">
        <v>823630</v>
      </c>
      <c r="AW51" s="135">
        <v>3854060</v>
      </c>
      <c r="AX51" s="135">
        <v>10750</v>
      </c>
      <c r="AZ51" s="82">
        <v>8570822.4700000007</v>
      </c>
      <c r="BA51" s="82">
        <v>4285411.24</v>
      </c>
      <c r="BB51" s="117">
        <v>0</v>
      </c>
      <c r="BC51" s="118">
        <v>1627293</v>
      </c>
      <c r="BD51" s="118">
        <v>3254585</v>
      </c>
      <c r="BE51" s="117">
        <v>20416969</v>
      </c>
      <c r="BF51" s="117">
        <v>20416969</v>
      </c>
      <c r="BG51" s="117">
        <v>71982941</v>
      </c>
      <c r="BH51" s="117">
        <v>68486734</v>
      </c>
      <c r="BI51" s="117">
        <v>0</v>
      </c>
      <c r="BJ51" s="117">
        <v>0</v>
      </c>
      <c r="BK51" s="138"/>
      <c r="BL51" s="86">
        <v>1113796180.4691803</v>
      </c>
      <c r="BM51" s="86">
        <v>901493244.22918034</v>
      </c>
      <c r="BN51" s="87">
        <v>1467726</v>
      </c>
      <c r="BP51" s="86">
        <v>848438068</v>
      </c>
      <c r="BQ51" s="86">
        <v>112457507</v>
      </c>
      <c r="BR51" s="86">
        <v>5029022</v>
      </c>
      <c r="BS51" s="86">
        <v>63006233</v>
      </c>
      <c r="BT51" s="86">
        <v>1028930830</v>
      </c>
    </row>
    <row r="52" spans="1:72" x14ac:dyDescent="0.25">
      <c r="A52" s="91" t="s">
        <v>106</v>
      </c>
      <c r="B52" s="135">
        <v>1448588665</v>
      </c>
      <c r="C52" s="135">
        <v>308431075</v>
      </c>
      <c r="D52" s="135">
        <v>639046121</v>
      </c>
      <c r="E52" s="135">
        <v>12674350</v>
      </c>
      <c r="F52" s="135">
        <v>151900954</v>
      </c>
      <c r="G52" s="135">
        <v>14357285</v>
      </c>
      <c r="H52" s="135">
        <v>11215451</v>
      </c>
      <c r="I52" s="135">
        <v>567000</v>
      </c>
      <c r="J52" s="135">
        <v>324000</v>
      </c>
      <c r="K52" s="135">
        <v>0</v>
      </c>
      <c r="L52" s="135">
        <v>933454646</v>
      </c>
      <c r="M52" s="135">
        <v>94298600</v>
      </c>
      <c r="N52" s="135">
        <v>4195</v>
      </c>
      <c r="O52" s="135">
        <v>422</v>
      </c>
      <c r="P52" s="135">
        <v>13430460</v>
      </c>
      <c r="Q52" s="135">
        <v>971500</v>
      </c>
      <c r="R52" s="135">
        <v>32416100</v>
      </c>
      <c r="S52" s="135">
        <v>3202327</v>
      </c>
      <c r="T52" s="135">
        <v>2831180</v>
      </c>
      <c r="U52" s="135">
        <v>3525960</v>
      </c>
      <c r="V52" s="135">
        <v>13402460</v>
      </c>
      <c r="W52" s="135">
        <v>3026200</v>
      </c>
      <c r="X52" s="135">
        <v>32416100</v>
      </c>
      <c r="Y52" s="135">
        <v>3319627</v>
      </c>
      <c r="Z52" s="135">
        <v>4484000</v>
      </c>
      <c r="AA52" s="135">
        <v>3525960</v>
      </c>
      <c r="AB52" s="135">
        <v>-2190494</v>
      </c>
      <c r="AC52" s="135">
        <v>-102404685</v>
      </c>
      <c r="AD52" s="135">
        <v>40301</v>
      </c>
      <c r="AE52" s="135">
        <v>5159</v>
      </c>
      <c r="AF52" s="135">
        <v>24584022</v>
      </c>
      <c r="AG52" s="135">
        <v>283341</v>
      </c>
      <c r="AH52" s="135">
        <v>28128110.655163936</v>
      </c>
      <c r="AI52" s="135">
        <v>0</v>
      </c>
      <c r="AJ52" s="139">
        <v>20475000</v>
      </c>
      <c r="AK52" s="82">
        <v>345412321</v>
      </c>
      <c r="AL52" s="82">
        <v>14570212</v>
      </c>
      <c r="AM52" s="135">
        <v>3833</v>
      </c>
      <c r="AN52" s="135">
        <v>115789657</v>
      </c>
      <c r="AO52" s="135">
        <v>29927164</v>
      </c>
      <c r="AP52" s="135">
        <v>430756114</v>
      </c>
      <c r="AQ52" s="135">
        <v>167828306</v>
      </c>
      <c r="AR52" s="135">
        <v>147208718</v>
      </c>
      <c r="AS52" s="135">
        <v>136406888</v>
      </c>
      <c r="AT52" s="135">
        <v>6502418</v>
      </c>
      <c r="AV52" s="135">
        <v>927519</v>
      </c>
      <c r="AW52" s="135">
        <v>3800572</v>
      </c>
      <c r="AX52" s="135">
        <v>4677150</v>
      </c>
      <c r="AY52" s="135">
        <v>1287397</v>
      </c>
      <c r="AZ52" s="82">
        <v>26325211.719999999</v>
      </c>
      <c r="BA52" s="82">
        <v>13162605.859999999</v>
      </c>
      <c r="BB52" s="117">
        <v>82137274.879116058</v>
      </c>
      <c r="BC52" s="118">
        <v>3141427</v>
      </c>
      <c r="BD52" s="118">
        <v>6282853</v>
      </c>
      <c r="BE52" s="117">
        <v>37837527</v>
      </c>
      <c r="BF52" s="117">
        <v>37837527</v>
      </c>
      <c r="BG52" s="117">
        <v>121576775</v>
      </c>
      <c r="BH52" s="117">
        <v>117656319</v>
      </c>
      <c r="BI52" s="117">
        <v>0</v>
      </c>
      <c r="BJ52" s="117">
        <v>0</v>
      </c>
      <c r="BK52" s="138"/>
      <c r="BL52" s="86">
        <v>3289994510.5151639</v>
      </c>
      <c r="BM52" s="86">
        <v>2758214098.6551638</v>
      </c>
      <c r="BN52" s="87">
        <v>3909417</v>
      </c>
      <c r="BP52" s="86">
        <v>2396065861</v>
      </c>
      <c r="BQ52" s="86">
        <v>345412321</v>
      </c>
      <c r="BR52" s="86">
        <v>14570212</v>
      </c>
      <c r="BS52" s="86">
        <v>449952015</v>
      </c>
      <c r="BT52" s="86">
        <v>3206000409</v>
      </c>
    </row>
    <row r="53" spans="1:72" x14ac:dyDescent="0.25">
      <c r="A53" s="91" t="s">
        <v>107</v>
      </c>
      <c r="B53" s="135">
        <v>521708900</v>
      </c>
      <c r="C53" s="135">
        <v>263744200</v>
      </c>
      <c r="D53" s="135">
        <v>100787700</v>
      </c>
      <c r="E53" s="135">
        <v>0</v>
      </c>
      <c r="F53" s="135">
        <v>45965500</v>
      </c>
      <c r="G53" s="135">
        <v>5267500</v>
      </c>
      <c r="H53" s="135">
        <v>16722800</v>
      </c>
      <c r="I53" s="135">
        <v>895800</v>
      </c>
      <c r="J53" s="135">
        <v>81000</v>
      </c>
      <c r="K53" s="135">
        <v>0</v>
      </c>
      <c r="L53" s="135">
        <v>427306789</v>
      </c>
      <c r="M53" s="135">
        <v>193904500</v>
      </c>
      <c r="N53" s="135">
        <v>1570</v>
      </c>
      <c r="O53" s="135">
        <v>155</v>
      </c>
      <c r="P53" s="135">
        <v>13641400</v>
      </c>
      <c r="Q53" s="135">
        <v>9384800</v>
      </c>
      <c r="R53" s="135">
        <v>5574600</v>
      </c>
      <c r="S53" s="135">
        <v>5935800</v>
      </c>
      <c r="T53" s="135">
        <v>2753000</v>
      </c>
      <c r="U53" s="135">
        <v>1096900</v>
      </c>
      <c r="V53" s="135">
        <v>13641400</v>
      </c>
      <c r="W53" s="135">
        <v>10179500</v>
      </c>
      <c r="X53" s="135">
        <v>5574600</v>
      </c>
      <c r="Y53" s="135">
        <v>5935800</v>
      </c>
      <c r="Z53" s="135">
        <v>4386900</v>
      </c>
      <c r="AA53" s="135">
        <v>1096900</v>
      </c>
      <c r="AB53" s="135">
        <v>-2796500</v>
      </c>
      <c r="AC53" s="135">
        <v>-2455</v>
      </c>
      <c r="AD53" s="135">
        <v>41789</v>
      </c>
      <c r="AE53" s="135">
        <v>36339</v>
      </c>
      <c r="AF53" s="135">
        <v>213379600</v>
      </c>
      <c r="AG53" s="135">
        <v>168167</v>
      </c>
      <c r="AH53" s="135">
        <v>0</v>
      </c>
      <c r="AI53" s="135">
        <v>394424.18032786885</v>
      </c>
      <c r="AJ53" s="139"/>
      <c r="AK53" s="82">
        <v>132442799</v>
      </c>
      <c r="AL53" s="82">
        <v>3185656</v>
      </c>
      <c r="AN53" s="135">
        <v>16394542</v>
      </c>
      <c r="AO53" s="135">
        <v>2174422</v>
      </c>
      <c r="AP53" s="135">
        <v>24881539</v>
      </c>
      <c r="AQ53" s="135">
        <v>15080537</v>
      </c>
      <c r="AR53" s="135">
        <v>37389496</v>
      </c>
      <c r="AS53" s="135">
        <v>10735726</v>
      </c>
      <c r="AT53" s="135">
        <v>2323917</v>
      </c>
      <c r="AW53" s="135">
        <v>20719</v>
      </c>
      <c r="AX53" s="135">
        <v>7933</v>
      </c>
      <c r="AY53" s="135">
        <v>171000</v>
      </c>
      <c r="AZ53" s="82">
        <v>10093979.029999999</v>
      </c>
      <c r="BA53" s="82">
        <v>5046989.5199999996</v>
      </c>
      <c r="BB53" s="117">
        <v>5399462.2928502588</v>
      </c>
      <c r="BC53" s="118">
        <v>1095082</v>
      </c>
      <c r="BD53" s="118">
        <v>2190165</v>
      </c>
      <c r="BE53" s="117">
        <v>9274299.1999999993</v>
      </c>
      <c r="BF53" s="117">
        <v>9274299.1999999993</v>
      </c>
      <c r="BG53" s="117">
        <v>53694582</v>
      </c>
      <c r="BH53" s="117">
        <v>51959691</v>
      </c>
      <c r="BI53" s="117">
        <v>801557</v>
      </c>
      <c r="BJ53" s="117">
        <v>0</v>
      </c>
      <c r="BK53" s="138"/>
      <c r="BL53" s="86">
        <v>1124090798.9003279</v>
      </c>
      <c r="BM53" s="86">
        <v>920284725.18032789</v>
      </c>
      <c r="BN53" s="87">
        <v>436200</v>
      </c>
      <c r="BP53" s="86">
        <v>886240800</v>
      </c>
      <c r="BQ53" s="86">
        <v>132442799</v>
      </c>
      <c r="BR53" s="86">
        <v>3185656</v>
      </c>
      <c r="BS53" s="86">
        <v>44385227</v>
      </c>
      <c r="BT53" s="86">
        <v>1066254482</v>
      </c>
    </row>
    <row r="54" spans="1:72" x14ac:dyDescent="0.25">
      <c r="A54" s="91" t="s">
        <v>108</v>
      </c>
      <c r="B54" s="135">
        <v>76034514</v>
      </c>
      <c r="C54" s="135">
        <v>124271992</v>
      </c>
      <c r="D54" s="135">
        <v>24557999</v>
      </c>
      <c r="E54" s="135">
        <v>0</v>
      </c>
      <c r="F54" s="135">
        <v>16744777</v>
      </c>
      <c r="G54" s="135">
        <v>3387000</v>
      </c>
      <c r="H54" s="135">
        <v>5991060</v>
      </c>
      <c r="I54" s="135">
        <v>283500</v>
      </c>
      <c r="J54" s="135">
        <v>0</v>
      </c>
      <c r="K54" s="135">
        <v>0</v>
      </c>
      <c r="L54" s="135">
        <v>445926767</v>
      </c>
      <c r="M54" s="135">
        <v>32168214</v>
      </c>
      <c r="N54" s="135">
        <v>629</v>
      </c>
      <c r="O54" s="135">
        <v>113</v>
      </c>
      <c r="P54" s="135">
        <v>1214900</v>
      </c>
      <c r="Q54" s="135">
        <v>1206209</v>
      </c>
      <c r="R54" s="135">
        <v>2120000</v>
      </c>
      <c r="S54" s="135">
        <v>678517</v>
      </c>
      <c r="T54" s="135">
        <v>764118</v>
      </c>
      <c r="U54" s="135">
        <v>414864</v>
      </c>
      <c r="V54" s="135">
        <v>1214900</v>
      </c>
      <c r="W54" s="135">
        <v>1242450</v>
      </c>
      <c r="X54" s="135">
        <v>2120000</v>
      </c>
      <c r="Y54" s="135">
        <v>678517</v>
      </c>
      <c r="Z54" s="135">
        <v>1366533</v>
      </c>
      <c r="AA54" s="135">
        <v>414864</v>
      </c>
      <c r="AB54" s="135">
        <v>-598150</v>
      </c>
      <c r="AC54" s="135">
        <v>0</v>
      </c>
      <c r="AD54" s="135">
        <v>15017</v>
      </c>
      <c r="AE54" s="135">
        <v>216</v>
      </c>
      <c r="AF54" s="135">
        <v>118840514</v>
      </c>
      <c r="AG54" s="135">
        <v>144147</v>
      </c>
      <c r="AH54" s="135">
        <v>0</v>
      </c>
      <c r="AI54" s="135">
        <v>9258.1967213114767</v>
      </c>
      <c r="AJ54" s="139"/>
      <c r="AK54" s="82">
        <v>42084598</v>
      </c>
      <c r="AL54" s="82">
        <v>1274448</v>
      </c>
      <c r="AN54" s="135">
        <v>13438147</v>
      </c>
      <c r="AO54" s="135">
        <v>24701</v>
      </c>
      <c r="AP54" s="135">
        <v>27106</v>
      </c>
      <c r="AQ54" s="135">
        <v>13636977</v>
      </c>
      <c r="AR54" s="135">
        <v>5051066</v>
      </c>
      <c r="AS54" s="135">
        <v>529880</v>
      </c>
      <c r="AT54" s="135">
        <v>1797997</v>
      </c>
      <c r="AV54" s="135">
        <v>36138</v>
      </c>
      <c r="AW54" s="135">
        <v>1159029</v>
      </c>
      <c r="AZ54" s="82">
        <v>3207430.32</v>
      </c>
      <c r="BA54" s="82">
        <v>1603715.16</v>
      </c>
      <c r="BB54" s="117">
        <v>10580764.493060103</v>
      </c>
      <c r="BC54" s="118">
        <v>1744831</v>
      </c>
      <c r="BD54" s="118">
        <v>3489663</v>
      </c>
      <c r="BE54" s="117">
        <v>35202610</v>
      </c>
      <c r="BF54" s="117">
        <v>35202610</v>
      </c>
      <c r="BG54" s="117">
        <v>74333289</v>
      </c>
      <c r="BH54" s="117">
        <v>49546776</v>
      </c>
      <c r="BI54" s="117">
        <v>0</v>
      </c>
      <c r="BJ54" s="117">
        <v>0</v>
      </c>
      <c r="BK54" s="138"/>
      <c r="BL54" s="86">
        <v>383430566.35672134</v>
      </c>
      <c r="BM54" s="86">
        <v>251973588.19672132</v>
      </c>
      <c r="BN54" s="87">
        <v>316000</v>
      </c>
      <c r="BP54" s="86">
        <v>224864505</v>
      </c>
      <c r="BQ54" s="86">
        <v>42084598</v>
      </c>
      <c r="BR54" s="86">
        <v>1274448</v>
      </c>
      <c r="BS54" s="86">
        <v>27629705</v>
      </c>
      <c r="BT54" s="86">
        <v>295853256</v>
      </c>
    </row>
    <row r="55" spans="1:72" x14ac:dyDescent="0.25">
      <c r="A55" s="91" t="s">
        <v>109</v>
      </c>
      <c r="B55" s="135">
        <v>1335861859</v>
      </c>
      <c r="C55" s="135">
        <v>304519839</v>
      </c>
      <c r="D55" s="135">
        <v>502477970</v>
      </c>
      <c r="E55" s="135">
        <v>13600000</v>
      </c>
      <c r="F55" s="135">
        <v>134234995</v>
      </c>
      <c r="G55" s="135">
        <v>40911510</v>
      </c>
      <c r="H55" s="135">
        <v>17707400</v>
      </c>
      <c r="I55" s="135">
        <v>4269040</v>
      </c>
      <c r="J55" s="135">
        <v>94200</v>
      </c>
      <c r="K55" s="135">
        <v>76000</v>
      </c>
      <c r="L55" s="135">
        <v>352033485</v>
      </c>
      <c r="M55" s="135">
        <v>185177050</v>
      </c>
      <c r="N55" s="135">
        <v>3977</v>
      </c>
      <c r="O55" s="135">
        <v>1300</v>
      </c>
      <c r="P55" s="135">
        <v>23754606</v>
      </c>
      <c r="Q55" s="135">
        <v>11214250</v>
      </c>
      <c r="R55" s="135">
        <v>15236880</v>
      </c>
      <c r="S55" s="135">
        <v>8653922</v>
      </c>
      <c r="T55" s="135">
        <v>5276650</v>
      </c>
      <c r="U55" s="135">
        <v>6366698</v>
      </c>
      <c r="V55" s="135">
        <v>23754606</v>
      </c>
      <c r="W55" s="135">
        <v>22827250</v>
      </c>
      <c r="X55" s="135">
        <v>15236880</v>
      </c>
      <c r="Y55" s="135">
        <v>8653922</v>
      </c>
      <c r="Z55" s="135">
        <v>10888200</v>
      </c>
      <c r="AA55" s="135">
        <v>6366698</v>
      </c>
      <c r="AB55" s="135">
        <v>-239800</v>
      </c>
      <c r="AC55" s="135">
        <v>-420920</v>
      </c>
      <c r="AD55" s="135">
        <v>86037</v>
      </c>
      <c r="AE55" s="135">
        <v>37756</v>
      </c>
      <c r="AF55" s="135">
        <v>17449793</v>
      </c>
      <c r="AG55" s="135">
        <v>323283</v>
      </c>
      <c r="AH55" s="135">
        <v>4514221.3128688522</v>
      </c>
      <c r="AI55" s="135">
        <v>340327.86885245901</v>
      </c>
      <c r="AJ55" s="139">
        <v>18010237.704918034</v>
      </c>
      <c r="AK55" s="82">
        <v>347760935</v>
      </c>
      <c r="AL55" s="82">
        <v>12112063</v>
      </c>
      <c r="AN55" s="135">
        <v>217659939</v>
      </c>
      <c r="AO55" s="135">
        <v>10752881</v>
      </c>
      <c r="AP55" s="135">
        <v>177555337</v>
      </c>
      <c r="AQ55" s="135">
        <v>101471123</v>
      </c>
      <c r="AR55" s="135">
        <v>106285642</v>
      </c>
      <c r="AS55" s="135">
        <v>233216219</v>
      </c>
      <c r="AT55" s="135">
        <v>7262093</v>
      </c>
      <c r="AV55" s="135">
        <v>1902139</v>
      </c>
      <c r="AW55" s="135">
        <v>4863008</v>
      </c>
      <c r="AX55" s="135">
        <v>2260319</v>
      </c>
      <c r="AY55" s="135">
        <v>3454000</v>
      </c>
      <c r="AZ55" s="82">
        <v>26504208.690000001</v>
      </c>
      <c r="BA55" s="82">
        <v>13252104.35</v>
      </c>
      <c r="BB55" s="117">
        <v>1199880.5095222797</v>
      </c>
      <c r="BC55" s="118">
        <v>11215835</v>
      </c>
      <c r="BD55" s="118">
        <v>22431669</v>
      </c>
      <c r="BE55" s="117">
        <v>106594559</v>
      </c>
      <c r="BF55" s="117">
        <v>101435977</v>
      </c>
      <c r="BG55" s="117">
        <v>229621370</v>
      </c>
      <c r="BH55" s="117">
        <v>217039605</v>
      </c>
      <c r="BI55" s="117">
        <v>0</v>
      </c>
      <c r="BJ55" s="117">
        <v>0</v>
      </c>
      <c r="BK55" s="138"/>
      <c r="BL55" s="86">
        <v>3198424917.236639</v>
      </c>
      <c r="BM55" s="86">
        <v>2495608397.8866391</v>
      </c>
      <c r="BN55" s="87">
        <v>5695116</v>
      </c>
      <c r="BP55" s="86">
        <v>2142859668</v>
      </c>
      <c r="BQ55" s="86">
        <v>347760935</v>
      </c>
      <c r="BR55" s="86">
        <v>12112063</v>
      </c>
      <c r="BS55" s="86">
        <v>563100162</v>
      </c>
      <c r="BT55" s="86">
        <v>3065832828</v>
      </c>
    </row>
    <row r="56" spans="1:72" x14ac:dyDescent="0.25">
      <c r="A56" s="91" t="s">
        <v>110</v>
      </c>
      <c r="B56" s="135">
        <v>152845231</v>
      </c>
      <c r="C56" s="135">
        <v>79228750</v>
      </c>
      <c r="D56" s="135">
        <v>42322900</v>
      </c>
      <c r="E56" s="135">
        <v>0</v>
      </c>
      <c r="F56" s="135">
        <v>26143000</v>
      </c>
      <c r="G56" s="135">
        <v>20702125</v>
      </c>
      <c r="H56" s="135">
        <v>13957450</v>
      </c>
      <c r="I56" s="135">
        <v>5751900</v>
      </c>
      <c r="J56" s="135">
        <v>111000</v>
      </c>
      <c r="K56" s="135">
        <v>40500</v>
      </c>
      <c r="L56" s="135">
        <v>123290500</v>
      </c>
      <c r="M56" s="135">
        <v>71511940</v>
      </c>
      <c r="N56" s="135">
        <v>1198</v>
      </c>
      <c r="O56" s="135">
        <v>859</v>
      </c>
      <c r="P56" s="135">
        <v>4179750</v>
      </c>
      <c r="Q56" s="135">
        <v>1464900</v>
      </c>
      <c r="R56" s="135">
        <v>0</v>
      </c>
      <c r="S56" s="135">
        <v>1150045</v>
      </c>
      <c r="T56" s="135">
        <v>817775</v>
      </c>
      <c r="U56" s="135">
        <v>242000</v>
      </c>
      <c r="V56" s="135">
        <v>4179750</v>
      </c>
      <c r="W56" s="135">
        <v>2153500</v>
      </c>
      <c r="X56" s="135">
        <v>0</v>
      </c>
      <c r="Y56" s="135">
        <v>1150045</v>
      </c>
      <c r="Z56" s="135">
        <v>1182000</v>
      </c>
      <c r="AA56" s="135">
        <v>242000</v>
      </c>
      <c r="AB56" s="135">
        <v>-2420671</v>
      </c>
      <c r="AC56" s="135">
        <v>0</v>
      </c>
      <c r="AD56" s="135">
        <v>74617</v>
      </c>
      <c r="AE56" s="135">
        <v>3048</v>
      </c>
      <c r="AF56" s="135">
        <v>3886376</v>
      </c>
      <c r="AG56" s="135">
        <v>141558</v>
      </c>
      <c r="AH56" s="135">
        <v>0</v>
      </c>
      <c r="AI56" s="135">
        <v>299711.06557377049</v>
      </c>
      <c r="AJ56" s="139"/>
      <c r="AK56" s="82">
        <v>81389076</v>
      </c>
      <c r="AL56" s="82">
        <v>2058697</v>
      </c>
      <c r="AN56" s="135">
        <v>9258126</v>
      </c>
      <c r="AO56" s="135">
        <v>214120</v>
      </c>
      <c r="AP56" s="135">
        <v>9228574</v>
      </c>
      <c r="AQ56" s="135">
        <v>5285840</v>
      </c>
      <c r="AR56" s="135">
        <v>543033</v>
      </c>
      <c r="AT56" s="135">
        <v>432903</v>
      </c>
      <c r="AZ56" s="82">
        <v>6202976.9299999997</v>
      </c>
      <c r="BA56" s="82">
        <v>3101488.47</v>
      </c>
      <c r="BB56" s="117">
        <v>0</v>
      </c>
      <c r="BC56" s="118">
        <v>0</v>
      </c>
      <c r="BD56" s="118">
        <v>0</v>
      </c>
      <c r="BE56" s="117">
        <v>5491074</v>
      </c>
      <c r="BF56" s="117">
        <v>5491074</v>
      </c>
      <c r="BG56" s="117">
        <v>49805957</v>
      </c>
      <c r="BH56" s="117">
        <v>49788671</v>
      </c>
      <c r="BI56" s="117">
        <v>0</v>
      </c>
      <c r="BJ56" s="117">
        <v>0</v>
      </c>
      <c r="BK56" s="138"/>
      <c r="BL56" s="86">
        <v>431283684.53557378</v>
      </c>
      <c r="BM56" s="86">
        <v>289454678.06557375</v>
      </c>
      <c r="BN56" s="87">
        <v>3908000</v>
      </c>
      <c r="BP56" s="86">
        <v>274396881</v>
      </c>
      <c r="BQ56" s="86">
        <v>81389076</v>
      </c>
      <c r="BR56" s="86">
        <v>2058697</v>
      </c>
      <c r="BS56" s="86">
        <v>14758086</v>
      </c>
      <c r="BT56" s="86">
        <v>372602740</v>
      </c>
    </row>
    <row r="57" spans="1:72" x14ac:dyDescent="0.25">
      <c r="A57" s="91" t="s">
        <v>111</v>
      </c>
      <c r="B57" s="135">
        <v>47492965185</v>
      </c>
      <c r="C57" s="135">
        <v>170732150</v>
      </c>
      <c r="D57" s="135">
        <v>23945978353</v>
      </c>
      <c r="E57" s="135">
        <v>324646290</v>
      </c>
      <c r="F57" s="135">
        <v>2458129710</v>
      </c>
      <c r="G57" s="135">
        <v>162999270</v>
      </c>
      <c r="H57" s="135">
        <v>7731340</v>
      </c>
      <c r="I57" s="135">
        <v>162000</v>
      </c>
      <c r="J57" s="135">
        <v>4416050</v>
      </c>
      <c r="K57" s="135">
        <v>234680</v>
      </c>
      <c r="L57" s="135">
        <v>354711390</v>
      </c>
      <c r="M57" s="135">
        <v>533336880</v>
      </c>
      <c r="N57" s="135">
        <v>61698</v>
      </c>
      <c r="O57" s="135">
        <v>4211</v>
      </c>
      <c r="P57" s="135">
        <v>432907260</v>
      </c>
      <c r="Q57" s="135">
        <v>5560410</v>
      </c>
      <c r="R57" s="135">
        <v>787333196</v>
      </c>
      <c r="S57" s="135">
        <v>303009819</v>
      </c>
      <c r="T57" s="135">
        <v>10993850</v>
      </c>
      <c r="U57" s="135">
        <v>285370258</v>
      </c>
      <c r="V57" s="135">
        <v>432907260</v>
      </c>
      <c r="W57" s="135">
        <v>19011270</v>
      </c>
      <c r="X57" s="135">
        <v>787333196</v>
      </c>
      <c r="Y57" s="135">
        <v>303009819</v>
      </c>
      <c r="Z57" s="135">
        <v>52537430</v>
      </c>
      <c r="AA57" s="135">
        <v>285370258</v>
      </c>
      <c r="AB57" s="135">
        <v>-80894009</v>
      </c>
      <c r="AC57" s="135">
        <v>420811816</v>
      </c>
      <c r="AD57" s="135">
        <v>0</v>
      </c>
      <c r="AE57" s="135">
        <v>0</v>
      </c>
      <c r="AF57" s="135">
        <v>0</v>
      </c>
      <c r="AG57" s="135">
        <v>0</v>
      </c>
      <c r="AH57" s="135">
        <v>0</v>
      </c>
      <c r="AI57" s="135">
        <v>292868.85245901637</v>
      </c>
      <c r="AJ57" s="139"/>
      <c r="AK57" s="82">
        <v>5708987299</v>
      </c>
      <c r="AL57" s="82">
        <v>105180610</v>
      </c>
      <c r="AM57" s="135">
        <v>2801394</v>
      </c>
      <c r="AN57" s="135">
        <v>2830560571</v>
      </c>
      <c r="AO57" s="135">
        <v>184047475</v>
      </c>
      <c r="AP57" s="135">
        <v>4381896109</v>
      </c>
      <c r="AQ57" s="135">
        <v>2334363109</v>
      </c>
      <c r="AR57" s="135">
        <v>1797451922</v>
      </c>
      <c r="AS57" s="135">
        <v>3977106242</v>
      </c>
      <c r="AT57" s="135">
        <f>6406701+2181005040</f>
        <v>2187411741</v>
      </c>
      <c r="AV57" s="135">
        <v>127065</v>
      </c>
      <c r="AW57" s="135">
        <v>60908248</v>
      </c>
      <c r="AX57" s="135">
        <v>24210417</v>
      </c>
      <c r="AY57" s="135">
        <v>108369340</v>
      </c>
      <c r="AZ57" s="82">
        <v>435104048.67000002</v>
      </c>
      <c r="BA57" s="82">
        <v>217552024.34</v>
      </c>
      <c r="BB57" s="117">
        <v>40795937.323757507</v>
      </c>
      <c r="BC57" s="118">
        <v>22836850</v>
      </c>
      <c r="BD57" s="118">
        <v>45673700</v>
      </c>
      <c r="BE57" s="117">
        <v>1020088192.22</v>
      </c>
      <c r="BF57" s="117">
        <v>1015766090.22</v>
      </c>
      <c r="BG57" s="117">
        <v>2006946227.6600001</v>
      </c>
      <c r="BH57" s="117">
        <v>1881816027.6600001</v>
      </c>
      <c r="BI57" s="117">
        <v>256182196</v>
      </c>
      <c r="BJ57" s="117">
        <v>0</v>
      </c>
      <c r="BK57" s="138"/>
      <c r="BL57" s="86">
        <v>86167260809.072464</v>
      </c>
      <c r="BM57" s="86">
        <v>76958939711.852463</v>
      </c>
      <c r="BN57" s="87">
        <v>121936770</v>
      </c>
      <c r="BP57" s="86">
        <v>71609675688</v>
      </c>
      <c r="BQ57" s="86">
        <v>5708987299</v>
      </c>
      <c r="BR57" s="86">
        <v>105180610</v>
      </c>
      <c r="BS57" s="86">
        <v>9326077397</v>
      </c>
      <c r="BT57" s="86">
        <v>86749920994</v>
      </c>
    </row>
    <row r="58" spans="1:72" x14ac:dyDescent="0.25">
      <c r="A58" s="91" t="s">
        <v>112</v>
      </c>
      <c r="B58" s="135">
        <v>3399627182</v>
      </c>
      <c r="C58" s="135">
        <v>294393159</v>
      </c>
      <c r="D58" s="135">
        <v>818828666</v>
      </c>
      <c r="E58" s="135">
        <v>0</v>
      </c>
      <c r="F58" s="135">
        <v>141513957</v>
      </c>
      <c r="G58" s="135">
        <v>16365035</v>
      </c>
      <c r="H58" s="135">
        <v>12623234</v>
      </c>
      <c r="I58" s="135">
        <v>1225945</v>
      </c>
      <c r="J58" s="135">
        <v>162000</v>
      </c>
      <c r="K58" s="135">
        <v>0</v>
      </c>
      <c r="L58" s="135">
        <v>551214404</v>
      </c>
      <c r="M58" s="135">
        <v>223381270</v>
      </c>
      <c r="N58" s="135">
        <v>3849</v>
      </c>
      <c r="O58" s="135">
        <v>445</v>
      </c>
      <c r="P58" s="135">
        <v>107454541</v>
      </c>
      <c r="Q58" s="135">
        <v>962208</v>
      </c>
      <c r="R58" s="135">
        <v>29623500</v>
      </c>
      <c r="S58" s="135">
        <v>10973168</v>
      </c>
      <c r="T58" s="135">
        <v>993393</v>
      </c>
      <c r="U58" s="135">
        <v>17009296</v>
      </c>
      <c r="V58" s="135">
        <v>107454541</v>
      </c>
      <c r="W58" s="135">
        <v>7518137</v>
      </c>
      <c r="X58" s="135">
        <v>29623500</v>
      </c>
      <c r="Y58" s="135">
        <v>10973168</v>
      </c>
      <c r="Z58" s="135">
        <v>5990290</v>
      </c>
      <c r="AA58" s="135">
        <v>17009296</v>
      </c>
      <c r="AB58" s="135">
        <v>-8118238</v>
      </c>
      <c r="AC58" s="135">
        <v>-1436070</v>
      </c>
      <c r="AD58" s="135">
        <v>0</v>
      </c>
      <c r="AE58" s="135">
        <v>0</v>
      </c>
      <c r="AF58" s="135">
        <v>0</v>
      </c>
      <c r="AG58" s="135">
        <v>82627.150899999993</v>
      </c>
      <c r="AH58" s="135">
        <v>0</v>
      </c>
      <c r="AI58" s="135">
        <v>538883.19672131143</v>
      </c>
      <c r="AJ58" s="139"/>
      <c r="AK58" s="82">
        <v>386944368</v>
      </c>
      <c r="AL58" s="82">
        <v>16943223</v>
      </c>
      <c r="AN58" s="135">
        <v>105968719</v>
      </c>
      <c r="AO58" s="135">
        <v>3490034</v>
      </c>
      <c r="AP58" s="135">
        <v>101689686</v>
      </c>
      <c r="AQ58" s="135">
        <v>101510125</v>
      </c>
      <c r="AR58" s="135">
        <v>84560564</v>
      </c>
      <c r="AS58" s="135">
        <v>54731721</v>
      </c>
      <c r="AT58" s="135">
        <v>4863638</v>
      </c>
      <c r="AV58" s="135">
        <v>30759</v>
      </c>
      <c r="AX58" s="135">
        <v>36533</v>
      </c>
      <c r="AY58" s="135">
        <v>5365900</v>
      </c>
      <c r="AZ58" s="82">
        <v>29490530.059999999</v>
      </c>
      <c r="BA58" s="82">
        <v>14745265.029999999</v>
      </c>
      <c r="BB58" s="117">
        <v>0</v>
      </c>
      <c r="BC58" s="118">
        <v>1756512</v>
      </c>
      <c r="BD58" s="118">
        <v>3513025</v>
      </c>
      <c r="BE58" s="117">
        <v>45840220</v>
      </c>
      <c r="BF58" s="117">
        <v>45840220</v>
      </c>
      <c r="BG58" s="117">
        <v>70479875</v>
      </c>
      <c r="BH58" s="117">
        <v>66141410</v>
      </c>
      <c r="BI58" s="117">
        <v>33961616</v>
      </c>
      <c r="BJ58" s="117">
        <v>0</v>
      </c>
      <c r="BK58" s="138"/>
      <c r="BL58" s="86">
        <v>5290689382.2267208</v>
      </c>
      <c r="BM58" s="86">
        <v>4724356768.1967211</v>
      </c>
      <c r="BN58" s="87">
        <v>2032350</v>
      </c>
      <c r="BP58" s="86">
        <v>4512849007</v>
      </c>
      <c r="BQ58" s="86">
        <v>386944368</v>
      </c>
      <c r="BR58" s="86">
        <v>16943223</v>
      </c>
      <c r="BS58" s="86">
        <v>265700599</v>
      </c>
      <c r="BT58" s="86">
        <v>5182437197</v>
      </c>
    </row>
    <row r="59" spans="1:72" x14ac:dyDescent="0.25">
      <c r="A59" s="91" t="s">
        <v>113</v>
      </c>
      <c r="B59" s="135">
        <v>449987834</v>
      </c>
      <c r="C59" s="135">
        <v>101916127</v>
      </c>
      <c r="D59" s="135">
        <v>201624465</v>
      </c>
      <c r="E59" s="135">
        <v>0</v>
      </c>
      <c r="F59" s="135">
        <v>66868730</v>
      </c>
      <c r="G59" s="135">
        <v>27922900</v>
      </c>
      <c r="H59" s="135">
        <v>20364262</v>
      </c>
      <c r="I59" s="135">
        <v>6747393</v>
      </c>
      <c r="J59" s="135">
        <v>0</v>
      </c>
      <c r="K59" s="135">
        <v>40500</v>
      </c>
      <c r="L59" s="135">
        <v>111356904</v>
      </c>
      <c r="M59" s="135">
        <v>100063815</v>
      </c>
      <c r="N59" s="135">
        <v>2423</v>
      </c>
      <c r="O59" s="135">
        <v>1089</v>
      </c>
      <c r="P59" s="135">
        <v>576020</v>
      </c>
      <c r="Q59" s="135">
        <v>855000</v>
      </c>
      <c r="R59" s="135">
        <v>916000</v>
      </c>
      <c r="S59" s="135">
        <v>1250540</v>
      </c>
      <c r="T59" s="135">
        <v>160875</v>
      </c>
      <c r="U59" s="135">
        <v>270000</v>
      </c>
      <c r="V59" s="135">
        <v>576020</v>
      </c>
      <c r="W59" s="135">
        <v>938125</v>
      </c>
      <c r="X59" s="135">
        <v>916000</v>
      </c>
      <c r="Y59" s="135">
        <v>1250540</v>
      </c>
      <c r="Z59" s="135">
        <v>77000</v>
      </c>
      <c r="AA59" s="135">
        <v>270000</v>
      </c>
      <c r="AB59" s="135">
        <v>-4969812</v>
      </c>
      <c r="AD59" s="135">
        <v>163538</v>
      </c>
      <c r="AE59" s="135">
        <v>2</v>
      </c>
      <c r="AF59" s="135">
        <v>0</v>
      </c>
      <c r="AG59" s="135">
        <v>170915</v>
      </c>
      <c r="AH59" s="135">
        <v>1379815.573442623</v>
      </c>
      <c r="AI59" s="135">
        <v>4567872.9508196721</v>
      </c>
      <c r="AJ59" s="139">
        <v>1558000</v>
      </c>
      <c r="AK59" s="82">
        <v>136726863</v>
      </c>
      <c r="AL59" s="82">
        <v>5792139</v>
      </c>
      <c r="AM59" s="135">
        <v>755000</v>
      </c>
      <c r="AN59" s="135">
        <v>39734703</v>
      </c>
      <c r="AO59" s="135">
        <v>1183973</v>
      </c>
      <c r="AP59" s="135">
        <v>2361608</v>
      </c>
      <c r="AQ59" s="135">
        <v>25594882</v>
      </c>
      <c r="AR59" s="135">
        <v>12733734</v>
      </c>
      <c r="AS59" s="135">
        <v>1160424</v>
      </c>
      <c r="AX59" s="135">
        <v>24138</v>
      </c>
      <c r="AY59" s="135">
        <v>45000</v>
      </c>
      <c r="AZ59" s="82">
        <v>10420484.15</v>
      </c>
      <c r="BA59" s="82">
        <v>5210242.08</v>
      </c>
      <c r="BB59" s="117">
        <v>0</v>
      </c>
      <c r="BC59" s="118">
        <v>2966943</v>
      </c>
      <c r="BD59" s="118">
        <v>5933887</v>
      </c>
      <c r="BE59" s="117">
        <v>62949189</v>
      </c>
      <c r="BF59" s="117">
        <v>62949189</v>
      </c>
      <c r="BG59" s="117">
        <v>89879746</v>
      </c>
      <c r="BH59" s="117">
        <v>87857845</v>
      </c>
      <c r="BI59" s="117">
        <v>0</v>
      </c>
      <c r="BJ59" s="117">
        <v>0</v>
      </c>
      <c r="BK59" s="138"/>
      <c r="BL59" s="86">
        <v>1129050893.6042624</v>
      </c>
      <c r="BM59" s="86">
        <v>827547672.52426231</v>
      </c>
      <c r="BN59" s="87">
        <v>9393195</v>
      </c>
      <c r="BP59" s="86">
        <v>753528426</v>
      </c>
      <c r="BQ59" s="86">
        <v>136726863</v>
      </c>
      <c r="BR59" s="86">
        <v>5792139</v>
      </c>
      <c r="BS59" s="86">
        <v>67673982</v>
      </c>
      <c r="BT59" s="86">
        <v>963721410</v>
      </c>
    </row>
    <row r="60" spans="1:72" x14ac:dyDescent="0.25">
      <c r="A60" s="91" t="s">
        <v>114</v>
      </c>
      <c r="B60" s="135">
        <v>9170497545</v>
      </c>
      <c r="C60" s="135">
        <v>141923700</v>
      </c>
      <c r="D60" s="135">
        <v>2875915352</v>
      </c>
      <c r="E60" s="135">
        <v>2889000</v>
      </c>
      <c r="F60" s="135">
        <v>493238600</v>
      </c>
      <c r="G60" s="135">
        <v>27764400</v>
      </c>
      <c r="H60" s="135">
        <v>8875600</v>
      </c>
      <c r="I60" s="135">
        <v>375400</v>
      </c>
      <c r="J60" s="135">
        <v>1296000</v>
      </c>
      <c r="K60" s="135">
        <v>0</v>
      </c>
      <c r="L60" s="135">
        <v>206919800</v>
      </c>
      <c r="M60" s="135">
        <v>349512800</v>
      </c>
      <c r="N60" s="135">
        <v>12515</v>
      </c>
      <c r="O60" s="135">
        <v>711</v>
      </c>
      <c r="P60" s="135">
        <v>202634000</v>
      </c>
      <c r="Q60" s="135">
        <v>11810300</v>
      </c>
      <c r="R60" s="135">
        <v>90790300</v>
      </c>
      <c r="S60" s="135">
        <v>27543750</v>
      </c>
      <c r="T60" s="135">
        <v>14140300</v>
      </c>
      <c r="U60" s="135">
        <v>99312052</v>
      </c>
      <c r="V60" s="135">
        <v>202634000</v>
      </c>
      <c r="W60" s="135">
        <v>11810300</v>
      </c>
      <c r="X60" s="135">
        <v>90790300</v>
      </c>
      <c r="Y60" s="135">
        <v>27543750</v>
      </c>
      <c r="Z60" s="135">
        <v>14140300</v>
      </c>
      <c r="AA60" s="135">
        <v>99312052</v>
      </c>
      <c r="AB60" s="135">
        <v>-62409500</v>
      </c>
      <c r="AC60" s="135">
        <v>15528480</v>
      </c>
      <c r="AD60" s="135">
        <v>69224.149999999994</v>
      </c>
      <c r="AE60" s="135">
        <v>0</v>
      </c>
      <c r="AF60" s="135">
        <v>0</v>
      </c>
      <c r="AG60" s="135">
        <v>40238.58</v>
      </c>
      <c r="AH60" s="135">
        <v>0</v>
      </c>
      <c r="AI60" s="135">
        <v>0</v>
      </c>
      <c r="AJ60" s="139"/>
      <c r="AK60" s="82">
        <v>1169276181</v>
      </c>
      <c r="AL60" s="82">
        <v>26519982</v>
      </c>
      <c r="AN60" s="135">
        <v>310695262</v>
      </c>
      <c r="AO60" s="135">
        <v>10536245</v>
      </c>
      <c r="AP60" s="135">
        <v>336770985</v>
      </c>
      <c r="AQ60" s="135">
        <v>248685543</v>
      </c>
      <c r="AR60" s="135">
        <v>268171386</v>
      </c>
      <c r="AS60" s="135">
        <v>178597829</v>
      </c>
      <c r="AT60" s="135">
        <v>38053</v>
      </c>
      <c r="AW60" s="135">
        <v>19642</v>
      </c>
      <c r="AX60" s="135">
        <v>422821</v>
      </c>
      <c r="AZ60" s="82">
        <v>89115069.579999998</v>
      </c>
      <c r="BA60" s="82">
        <v>44557534.789999999</v>
      </c>
      <c r="BB60" s="117">
        <v>11671564.956262177</v>
      </c>
      <c r="BC60" s="118">
        <v>14909183</v>
      </c>
      <c r="BD60" s="118">
        <v>29818366</v>
      </c>
      <c r="BE60" s="117">
        <v>200492633</v>
      </c>
      <c r="BF60" s="117">
        <v>200492633</v>
      </c>
      <c r="BG60" s="117">
        <v>313461992</v>
      </c>
      <c r="BH60" s="117">
        <v>301869798</v>
      </c>
      <c r="BI60" s="117">
        <v>9419</v>
      </c>
      <c r="BJ60" s="117">
        <v>0</v>
      </c>
      <c r="BK60" s="138"/>
      <c r="BL60" s="86">
        <v>14515888377.790001</v>
      </c>
      <c r="BM60" s="86">
        <v>12758253647</v>
      </c>
      <c r="BN60" s="87">
        <v>8183500</v>
      </c>
      <c r="BP60" s="86">
        <v>12188336597</v>
      </c>
      <c r="BQ60" s="86">
        <v>1169276181</v>
      </c>
      <c r="BR60" s="86">
        <v>26519982</v>
      </c>
      <c r="BS60" s="86">
        <v>748514879</v>
      </c>
      <c r="BT60" s="86">
        <v>14132647639</v>
      </c>
    </row>
    <row r="61" spans="1:72" x14ac:dyDescent="0.25">
      <c r="A61" s="91" t="s">
        <v>115</v>
      </c>
      <c r="B61" s="135">
        <v>164721083</v>
      </c>
      <c r="C61" s="135">
        <v>50633631</v>
      </c>
      <c r="D61" s="135">
        <v>76772726</v>
      </c>
      <c r="E61" s="135">
        <v>0</v>
      </c>
      <c r="F61" s="135">
        <v>40018866</v>
      </c>
      <c r="G61" s="135">
        <v>35044150</v>
      </c>
      <c r="H61" s="135">
        <v>15379632</v>
      </c>
      <c r="I61" s="135">
        <v>8383360</v>
      </c>
      <c r="J61" s="135">
        <v>202500</v>
      </c>
      <c r="K61" s="135">
        <v>40500</v>
      </c>
      <c r="L61" s="135">
        <v>72833622</v>
      </c>
      <c r="M61" s="135">
        <v>61088899</v>
      </c>
      <c r="N61" s="135">
        <v>1502</v>
      </c>
      <c r="O61" s="135">
        <v>1236</v>
      </c>
      <c r="P61" s="135">
        <v>4716200</v>
      </c>
      <c r="Q61" s="135">
        <v>973600</v>
      </c>
      <c r="R61" s="135">
        <v>876000</v>
      </c>
      <c r="S61" s="135">
        <v>2839000</v>
      </c>
      <c r="T61" s="135">
        <v>869600</v>
      </c>
      <c r="U61" s="135">
        <v>261500</v>
      </c>
      <c r="V61" s="135">
        <v>4716200</v>
      </c>
      <c r="W61" s="135">
        <v>1424800</v>
      </c>
      <c r="X61" s="135">
        <v>876000</v>
      </c>
      <c r="Y61" s="135">
        <v>2839000</v>
      </c>
      <c r="Z61" s="135">
        <v>939100</v>
      </c>
      <c r="AA61" s="135">
        <v>261500</v>
      </c>
      <c r="AB61" s="135">
        <v>-1641375</v>
      </c>
      <c r="AC61" s="135">
        <v>0</v>
      </c>
      <c r="AD61" s="135">
        <v>179770</v>
      </c>
      <c r="AE61" s="135">
        <v>0</v>
      </c>
      <c r="AF61" s="135">
        <v>0</v>
      </c>
      <c r="AG61" s="135">
        <v>3124</v>
      </c>
      <c r="AH61" s="135">
        <v>5194053.2768852469</v>
      </c>
      <c r="AI61" s="135">
        <v>49533266.393442631</v>
      </c>
      <c r="AJ61" s="139">
        <v>13710180.327868851</v>
      </c>
      <c r="AK61" s="82">
        <v>103591291</v>
      </c>
      <c r="AL61" s="82">
        <v>2053551</v>
      </c>
      <c r="AM61" s="135">
        <v>75000</v>
      </c>
      <c r="AN61" s="135">
        <v>20270855</v>
      </c>
      <c r="AO61" s="135">
        <v>173462</v>
      </c>
      <c r="AP61" s="135">
        <v>35549813</v>
      </c>
      <c r="AQ61" s="135">
        <v>4739106</v>
      </c>
      <c r="AR61" s="135">
        <v>121527</v>
      </c>
      <c r="AT61" s="135">
        <v>21770</v>
      </c>
      <c r="AZ61" s="82">
        <v>7895093.7800000003</v>
      </c>
      <c r="BA61" s="82">
        <v>3947546.89</v>
      </c>
      <c r="BB61" s="117">
        <v>0</v>
      </c>
      <c r="BC61" s="118">
        <v>1328700</v>
      </c>
      <c r="BD61" s="118">
        <v>2657400</v>
      </c>
      <c r="BE61" s="117">
        <v>11451271</v>
      </c>
      <c r="BF61" s="117">
        <v>11451271</v>
      </c>
      <c r="BG61" s="117">
        <v>90259024</v>
      </c>
      <c r="BH61" s="117">
        <v>89421587</v>
      </c>
      <c r="BI61" s="117">
        <v>0</v>
      </c>
      <c r="BJ61" s="117">
        <v>0</v>
      </c>
      <c r="BK61" s="138"/>
      <c r="BL61" s="86">
        <v>597542309.88819671</v>
      </c>
      <c r="BM61" s="86">
        <v>385748362.99819678</v>
      </c>
      <c r="BN61" s="87">
        <v>2304650</v>
      </c>
      <c r="BP61" s="86">
        <v>292127440</v>
      </c>
      <c r="BQ61" s="86">
        <v>103591291</v>
      </c>
      <c r="BR61" s="86">
        <v>2053551</v>
      </c>
      <c r="BS61" s="86">
        <v>25183423</v>
      </c>
      <c r="BT61" s="86">
        <v>422955705</v>
      </c>
    </row>
    <row r="62" spans="1:72" x14ac:dyDescent="0.25">
      <c r="A62" s="91" t="s">
        <v>116</v>
      </c>
      <c r="B62" s="135">
        <v>541658981</v>
      </c>
      <c r="C62" s="135">
        <v>99617294</v>
      </c>
      <c r="D62" s="135">
        <v>250707345</v>
      </c>
      <c r="E62" s="135">
        <v>0</v>
      </c>
      <c r="F62" s="135">
        <v>87831836</v>
      </c>
      <c r="G62" s="135">
        <v>25919105</v>
      </c>
      <c r="H62" s="135">
        <v>18459676</v>
      </c>
      <c r="I62" s="135">
        <v>3841823</v>
      </c>
      <c r="J62" s="135">
        <v>339000</v>
      </c>
      <c r="K62" s="135">
        <v>79000</v>
      </c>
      <c r="L62" s="135">
        <v>176322452</v>
      </c>
      <c r="M62" s="135">
        <v>87843719</v>
      </c>
      <c r="N62" s="135">
        <v>3158</v>
      </c>
      <c r="O62" s="135">
        <v>1052</v>
      </c>
      <c r="P62" s="135">
        <v>6123339</v>
      </c>
      <c r="Q62" s="135">
        <v>2266005</v>
      </c>
      <c r="R62" s="135">
        <v>3901264</v>
      </c>
      <c r="S62" s="135">
        <v>3457670</v>
      </c>
      <c r="T62" s="135">
        <v>389732</v>
      </c>
      <c r="U62" s="135">
        <v>294800</v>
      </c>
      <c r="V62" s="135">
        <v>6123339</v>
      </c>
      <c r="W62" s="135">
        <v>2399000</v>
      </c>
      <c r="X62" s="135">
        <v>3901264</v>
      </c>
      <c r="Y62" s="135">
        <v>3457670</v>
      </c>
      <c r="Z62" s="135">
        <v>539000</v>
      </c>
      <c r="AA62" s="135">
        <v>294800</v>
      </c>
      <c r="AB62" s="135">
        <v>-5428499</v>
      </c>
      <c r="AC62" s="135">
        <v>-62725</v>
      </c>
      <c r="AD62" s="135">
        <v>138930</v>
      </c>
      <c r="AE62" s="135">
        <v>0</v>
      </c>
      <c r="AF62" s="135">
        <v>0</v>
      </c>
      <c r="AG62" s="135">
        <v>0</v>
      </c>
      <c r="AH62" s="135">
        <v>10775684.42704918</v>
      </c>
      <c r="AI62" s="135">
        <v>8752450.8196721319</v>
      </c>
      <c r="AJ62" s="139">
        <v>1364000</v>
      </c>
      <c r="AK62" s="82">
        <v>179147584</v>
      </c>
      <c r="AL62" s="82">
        <v>5724625</v>
      </c>
      <c r="AN62" s="135">
        <v>33516330</v>
      </c>
      <c r="AO62" s="135">
        <v>3591243</v>
      </c>
      <c r="AP62" s="135">
        <v>35591003</v>
      </c>
      <c r="AQ62" s="135">
        <v>28297525</v>
      </c>
      <c r="AR62" s="135">
        <v>41667382</v>
      </c>
      <c r="AS62" s="135">
        <v>22469510</v>
      </c>
      <c r="AT62" s="135">
        <v>666254</v>
      </c>
      <c r="AX62" s="135">
        <v>121349</v>
      </c>
      <c r="AZ62" s="82">
        <v>13653531.710000001</v>
      </c>
      <c r="BA62" s="82">
        <v>6826765.8600000003</v>
      </c>
      <c r="BB62" s="117">
        <v>0</v>
      </c>
      <c r="BC62" s="118">
        <v>3299118</v>
      </c>
      <c r="BD62" s="118">
        <v>6598237</v>
      </c>
      <c r="BE62" s="117">
        <v>27082824</v>
      </c>
      <c r="BF62" s="117">
        <v>27082824</v>
      </c>
      <c r="BG62" s="117">
        <v>70487928</v>
      </c>
      <c r="BH62" s="117">
        <v>66985608</v>
      </c>
      <c r="BI62" s="117">
        <v>0</v>
      </c>
      <c r="BJ62" s="117">
        <v>0</v>
      </c>
      <c r="BK62" s="138"/>
      <c r="BL62" s="86">
        <v>1267347378.1067212</v>
      </c>
      <c r="BM62" s="86">
        <v>978280853.24672127</v>
      </c>
      <c r="BN62" s="87">
        <v>570090</v>
      </c>
      <c r="BP62" s="86">
        <v>891983620</v>
      </c>
      <c r="BQ62" s="86">
        <v>179147584</v>
      </c>
      <c r="BR62" s="86">
        <v>5724625</v>
      </c>
      <c r="BS62" s="86">
        <v>87874608</v>
      </c>
      <c r="BT62" s="86">
        <v>1164730437</v>
      </c>
    </row>
    <row r="63" spans="1:72" x14ac:dyDescent="0.25">
      <c r="A63" s="91" t="s">
        <v>117</v>
      </c>
      <c r="B63" s="135">
        <v>414975688</v>
      </c>
      <c r="C63" s="135">
        <v>171096258</v>
      </c>
      <c r="D63" s="135">
        <v>97695456</v>
      </c>
      <c r="E63" s="135">
        <v>0</v>
      </c>
      <c r="F63" s="135">
        <v>43405100</v>
      </c>
      <c r="G63" s="135">
        <v>10041222</v>
      </c>
      <c r="H63" s="135">
        <v>15631949</v>
      </c>
      <c r="I63" s="135">
        <v>1401250</v>
      </c>
      <c r="J63" s="135">
        <v>526500</v>
      </c>
      <c r="K63" s="135">
        <v>40500</v>
      </c>
      <c r="L63" s="135">
        <v>418506499</v>
      </c>
      <c r="M63" s="135">
        <v>124542539</v>
      </c>
      <c r="N63" s="135">
        <v>1495</v>
      </c>
      <c r="O63" s="135">
        <v>301</v>
      </c>
      <c r="P63" s="135">
        <v>10525063</v>
      </c>
      <c r="Q63" s="135">
        <v>3155985</v>
      </c>
      <c r="R63" s="135">
        <v>11586612</v>
      </c>
      <c r="S63" s="135">
        <v>11882538</v>
      </c>
      <c r="T63" s="135">
        <v>2979503</v>
      </c>
      <c r="U63" s="135">
        <v>663500</v>
      </c>
      <c r="V63" s="135">
        <v>10525063</v>
      </c>
      <c r="W63" s="135">
        <v>5745374</v>
      </c>
      <c r="X63" s="135">
        <v>11585612</v>
      </c>
      <c r="Y63" s="135">
        <v>11882538</v>
      </c>
      <c r="Z63" s="135">
        <v>5602254</v>
      </c>
      <c r="AA63" s="135">
        <v>663500</v>
      </c>
      <c r="AB63" s="135">
        <v>-2351690</v>
      </c>
      <c r="AC63" s="135">
        <v>15643</v>
      </c>
      <c r="AD63" s="135">
        <v>55795</v>
      </c>
      <c r="AG63" s="135">
        <v>150678</v>
      </c>
      <c r="AH63" s="135">
        <v>0</v>
      </c>
      <c r="AI63" s="135">
        <v>0</v>
      </c>
      <c r="AJ63" s="139"/>
      <c r="AK63" s="82">
        <v>108521822</v>
      </c>
      <c r="AL63" s="82">
        <v>3596120</v>
      </c>
      <c r="AN63" s="135">
        <v>10190100</v>
      </c>
      <c r="AO63" s="135">
        <v>251008</v>
      </c>
      <c r="AP63" s="135">
        <v>16130926</v>
      </c>
      <c r="AQ63" s="135">
        <v>16888515</v>
      </c>
      <c r="AR63" s="135">
        <v>13332558</v>
      </c>
      <c r="AS63" s="135">
        <v>4084058</v>
      </c>
      <c r="AT63" s="135">
        <v>2200105</v>
      </c>
      <c r="AV63" s="135">
        <v>25850</v>
      </c>
      <c r="AX63" s="135">
        <v>9738</v>
      </c>
      <c r="AZ63" s="82">
        <v>8270868.6600000001</v>
      </c>
      <c r="BA63" s="82">
        <v>4135434.33</v>
      </c>
      <c r="BB63" s="117">
        <v>0</v>
      </c>
      <c r="BC63" s="118">
        <v>89067</v>
      </c>
      <c r="BD63" s="118">
        <v>178133</v>
      </c>
      <c r="BE63" s="117">
        <v>22931955</v>
      </c>
      <c r="BF63" s="117">
        <v>22931955</v>
      </c>
      <c r="BG63" s="117">
        <v>75398810</v>
      </c>
      <c r="BH63" s="117">
        <v>75372880</v>
      </c>
      <c r="BI63" s="117">
        <v>0</v>
      </c>
      <c r="BJ63" s="117">
        <v>0</v>
      </c>
      <c r="BK63" s="138"/>
      <c r="BL63" s="86">
        <v>925744303.33000004</v>
      </c>
      <c r="BM63" s="86">
        <v>711097025</v>
      </c>
      <c r="BN63" s="87">
        <v>2495906</v>
      </c>
      <c r="BP63" s="86">
        <v>683767402</v>
      </c>
      <c r="BQ63" s="86">
        <v>108521822</v>
      </c>
      <c r="BR63" s="86">
        <v>3596120</v>
      </c>
      <c r="BS63" s="86">
        <v>31413681</v>
      </c>
      <c r="BT63" s="86">
        <v>827299025</v>
      </c>
    </row>
    <row r="64" spans="1:72" x14ac:dyDescent="0.25">
      <c r="A64" s="91" t="s">
        <v>118</v>
      </c>
      <c r="B64" s="135">
        <v>1729613563</v>
      </c>
      <c r="C64" s="135">
        <v>228005821</v>
      </c>
      <c r="D64" s="135">
        <v>816693938</v>
      </c>
      <c r="E64" s="135">
        <v>52595160</v>
      </c>
      <c r="F64" s="135">
        <v>187447353</v>
      </c>
      <c r="G64" s="135">
        <v>49683815</v>
      </c>
      <c r="H64" s="135">
        <v>32710795</v>
      </c>
      <c r="I64" s="135">
        <v>4088931</v>
      </c>
      <c r="J64" s="135">
        <v>364500</v>
      </c>
      <c r="K64" s="135">
        <v>46500</v>
      </c>
      <c r="L64" s="135">
        <v>452983597</v>
      </c>
      <c r="M64" s="135">
        <v>200910564</v>
      </c>
      <c r="N64" s="135">
        <v>5687</v>
      </c>
      <c r="O64" s="135">
        <v>1452</v>
      </c>
      <c r="P64" s="135">
        <v>7441800</v>
      </c>
      <c r="Q64" s="135">
        <v>5976892</v>
      </c>
      <c r="R64" s="135">
        <v>20925300</v>
      </c>
      <c r="S64" s="135">
        <v>9376532</v>
      </c>
      <c r="T64" s="135">
        <v>1200692</v>
      </c>
      <c r="U64" s="135">
        <v>2386400</v>
      </c>
      <c r="V64" s="135">
        <v>7441800</v>
      </c>
      <c r="W64" s="135">
        <v>6694500</v>
      </c>
      <c r="X64" s="135">
        <v>20925300</v>
      </c>
      <c r="Y64" s="135">
        <v>9376532</v>
      </c>
      <c r="Z64" s="135">
        <v>4218900</v>
      </c>
      <c r="AA64" s="135">
        <v>2386400</v>
      </c>
      <c r="AB64" s="135">
        <v>-8892960</v>
      </c>
      <c r="AC64" s="135">
        <v>2566948</v>
      </c>
      <c r="AD64" s="135">
        <v>85508</v>
      </c>
      <c r="AE64" s="135">
        <v>45000</v>
      </c>
      <c r="AF64" s="135">
        <v>0</v>
      </c>
      <c r="AG64" s="135">
        <v>168291</v>
      </c>
      <c r="AH64" s="135">
        <v>70922.131147540989</v>
      </c>
      <c r="AI64" s="135">
        <v>76655.737704918036</v>
      </c>
      <c r="AJ64" s="139">
        <v>2565.5700000000002</v>
      </c>
      <c r="AK64" s="82">
        <v>479138958</v>
      </c>
      <c r="AL64" s="82">
        <v>23636965</v>
      </c>
      <c r="AM64" s="135">
        <v>1473673</v>
      </c>
      <c r="AN64" s="135">
        <v>163888801</v>
      </c>
      <c r="AO64" s="135">
        <v>33645267</v>
      </c>
      <c r="AP64" s="135">
        <v>223994369</v>
      </c>
      <c r="AQ64" s="135">
        <v>137336312</v>
      </c>
      <c r="AR64" s="135">
        <v>128845496</v>
      </c>
      <c r="AS64" s="135">
        <v>42813001</v>
      </c>
      <c r="AT64" s="135">
        <v>3878795</v>
      </c>
      <c r="AV64" s="135">
        <v>31958</v>
      </c>
      <c r="AW64" s="135">
        <v>10604835</v>
      </c>
      <c r="AX64" s="135">
        <v>1596992</v>
      </c>
      <c r="AY64" s="135">
        <v>4663203</v>
      </c>
      <c r="AZ64" s="82">
        <v>36517037.009999998</v>
      </c>
      <c r="BA64" s="82">
        <v>18258518.510000002</v>
      </c>
      <c r="BB64" s="117">
        <v>0</v>
      </c>
      <c r="BC64" s="118">
        <v>2749387</v>
      </c>
      <c r="BD64" s="118">
        <v>5498774</v>
      </c>
      <c r="BE64" s="117">
        <v>37083389</v>
      </c>
      <c r="BF64" s="117">
        <v>37083389</v>
      </c>
      <c r="BG64" s="117">
        <v>130908028</v>
      </c>
      <c r="BH64" s="117">
        <v>122194726</v>
      </c>
      <c r="BI64" s="117">
        <v>0</v>
      </c>
      <c r="BJ64" s="117">
        <v>0</v>
      </c>
      <c r="BK64" s="138"/>
      <c r="BL64" s="86">
        <v>3792395788.9488525</v>
      </c>
      <c r="BM64" s="86">
        <v>3109333845.4388523</v>
      </c>
      <c r="BN64" s="87">
        <v>2843532</v>
      </c>
      <c r="BP64" s="86">
        <v>2774313322</v>
      </c>
      <c r="BQ64" s="86">
        <v>479138958</v>
      </c>
      <c r="BR64" s="86">
        <v>23636965</v>
      </c>
      <c r="BS64" s="86">
        <v>377683381</v>
      </c>
      <c r="BT64" s="86">
        <v>3654772626</v>
      </c>
    </row>
    <row r="65" spans="1:72" x14ac:dyDescent="0.25">
      <c r="A65" s="91" t="s">
        <v>119</v>
      </c>
      <c r="B65" s="135">
        <v>260439656</v>
      </c>
      <c r="C65" s="135">
        <v>106399071</v>
      </c>
      <c r="D65" s="135">
        <v>110357950</v>
      </c>
      <c r="E65" s="135">
        <v>0</v>
      </c>
      <c r="F65" s="135">
        <v>31349575</v>
      </c>
      <c r="G65" s="135">
        <v>20292822</v>
      </c>
      <c r="H65" s="135">
        <v>16536172</v>
      </c>
      <c r="I65" s="135">
        <v>7176907</v>
      </c>
      <c r="J65" s="135">
        <v>364500</v>
      </c>
      <c r="K65" s="135">
        <v>37500</v>
      </c>
      <c r="L65" s="135">
        <v>116865875</v>
      </c>
      <c r="M65" s="135">
        <v>83360300</v>
      </c>
      <c r="N65" s="135">
        <v>1377</v>
      </c>
      <c r="O65" s="135">
        <v>851</v>
      </c>
      <c r="P65" s="135">
        <v>3486500</v>
      </c>
      <c r="Q65" s="135">
        <v>1088000</v>
      </c>
      <c r="R65" s="135">
        <v>785000</v>
      </c>
      <c r="S65" s="135">
        <v>507500</v>
      </c>
      <c r="T65" s="135">
        <v>84000</v>
      </c>
      <c r="U65" s="135">
        <v>0</v>
      </c>
      <c r="V65" s="135">
        <v>3486500</v>
      </c>
      <c r="W65" s="135">
        <v>1088000</v>
      </c>
      <c r="X65" s="135">
        <v>785000</v>
      </c>
      <c r="Y65" s="135">
        <v>507500</v>
      </c>
      <c r="Z65" s="135">
        <v>84000</v>
      </c>
      <c r="AA65" s="135">
        <v>0</v>
      </c>
      <c r="AB65" s="135">
        <v>-2329140</v>
      </c>
      <c r="AC65" s="135">
        <v>0</v>
      </c>
      <c r="AD65" s="135">
        <v>192749</v>
      </c>
      <c r="AE65" s="135">
        <v>0</v>
      </c>
      <c r="AF65" s="135">
        <v>0</v>
      </c>
      <c r="AG65" s="135">
        <v>223088</v>
      </c>
      <c r="AH65" s="135">
        <v>39455045.082459018</v>
      </c>
      <c r="AI65" s="135">
        <v>8031741.8032786883</v>
      </c>
      <c r="AJ65" s="139">
        <v>273221.31147540984</v>
      </c>
      <c r="AK65" s="82">
        <v>114107131</v>
      </c>
      <c r="AL65" s="82">
        <v>4662274</v>
      </c>
      <c r="AM65" s="135">
        <v>86000</v>
      </c>
      <c r="AN65" s="135">
        <v>27426269</v>
      </c>
      <c r="AO65" s="135">
        <v>884490</v>
      </c>
      <c r="AP65" s="135">
        <v>15637595</v>
      </c>
      <c r="AQ65" s="135">
        <v>20451150</v>
      </c>
      <c r="AR65" s="135">
        <v>2334982</v>
      </c>
      <c r="AS65" s="135">
        <v>13585</v>
      </c>
      <c r="AT65" s="135">
        <v>95495</v>
      </c>
      <c r="AZ65" s="82">
        <v>8696546.6999999993</v>
      </c>
      <c r="BA65" s="82">
        <v>4348273.3499999996</v>
      </c>
      <c r="BB65" s="117">
        <v>0</v>
      </c>
      <c r="BC65" s="118">
        <v>3399136</v>
      </c>
      <c r="BD65" s="118">
        <v>6798272</v>
      </c>
      <c r="BE65" s="117">
        <v>85350792</v>
      </c>
      <c r="BF65" s="117">
        <v>85350792</v>
      </c>
      <c r="BG65" s="117">
        <v>99436071</v>
      </c>
      <c r="BH65" s="117">
        <v>95682877</v>
      </c>
      <c r="BI65" s="117">
        <v>0</v>
      </c>
      <c r="BJ65" s="117">
        <v>0</v>
      </c>
      <c r="BK65" s="138"/>
      <c r="BL65" s="86">
        <v>881269077.5472132</v>
      </c>
      <c r="BM65" s="86">
        <v>573718594.19721317</v>
      </c>
      <c r="BN65" s="87">
        <v>689500</v>
      </c>
      <c r="BP65" s="86">
        <v>477196677</v>
      </c>
      <c r="BQ65" s="86">
        <v>114107131</v>
      </c>
      <c r="BR65" s="86">
        <v>4662274</v>
      </c>
      <c r="BS65" s="86">
        <v>48775494</v>
      </c>
      <c r="BT65" s="86">
        <v>644741576</v>
      </c>
    </row>
    <row r="66" spans="1:72" x14ac:dyDescent="0.25">
      <c r="A66" s="91" t="s">
        <v>120</v>
      </c>
      <c r="B66" s="135">
        <v>103155431</v>
      </c>
      <c r="C66" s="135">
        <v>43941130</v>
      </c>
      <c r="D66" s="135">
        <v>58592049</v>
      </c>
      <c r="E66" s="135">
        <v>0</v>
      </c>
      <c r="F66" s="135">
        <v>17595075</v>
      </c>
      <c r="G66" s="135">
        <v>7536311</v>
      </c>
      <c r="H66" s="135">
        <v>7774116</v>
      </c>
      <c r="I66" s="135">
        <v>1884934</v>
      </c>
      <c r="J66" s="135">
        <v>0</v>
      </c>
      <c r="K66" s="135">
        <v>0</v>
      </c>
      <c r="L66" s="135">
        <v>65628754</v>
      </c>
      <c r="M66" s="135">
        <v>30814775</v>
      </c>
      <c r="N66" s="135">
        <v>763</v>
      </c>
      <c r="O66" s="135">
        <v>330</v>
      </c>
      <c r="P66" s="135">
        <v>2487300</v>
      </c>
      <c r="Q66" s="135">
        <v>728750</v>
      </c>
      <c r="R66" s="135">
        <v>127750</v>
      </c>
      <c r="S66" s="135">
        <v>651850</v>
      </c>
      <c r="T66" s="135">
        <v>436250</v>
      </c>
      <c r="U66" s="135">
        <v>131500</v>
      </c>
      <c r="V66" s="135">
        <v>2487300</v>
      </c>
      <c r="W66" s="135">
        <v>678450</v>
      </c>
      <c r="X66" s="135">
        <v>127750</v>
      </c>
      <c r="Y66" s="135">
        <v>651850</v>
      </c>
      <c r="Z66" s="135">
        <v>374600</v>
      </c>
      <c r="AA66" s="135">
        <v>131500</v>
      </c>
      <c r="AB66" s="135">
        <v>-1022700</v>
      </c>
      <c r="AC66" s="135">
        <v>-588425</v>
      </c>
      <c r="AD66" s="135">
        <v>113110</v>
      </c>
      <c r="AE66" s="135">
        <v>0</v>
      </c>
      <c r="AF66" s="135">
        <v>4</v>
      </c>
      <c r="AG66" s="135">
        <v>43025910</v>
      </c>
      <c r="AH66" s="135">
        <v>20281135.248032786</v>
      </c>
      <c r="AI66" s="135">
        <v>0</v>
      </c>
      <c r="AJ66" s="139"/>
      <c r="AK66" s="82">
        <v>36032477</v>
      </c>
      <c r="AL66" s="82">
        <v>845611</v>
      </c>
      <c r="AN66" s="135">
        <v>13734225</v>
      </c>
      <c r="AO66" s="135">
        <v>419109</v>
      </c>
      <c r="AP66" s="135">
        <v>776515</v>
      </c>
      <c r="AQ66" s="135">
        <v>8826663</v>
      </c>
      <c r="AR66" s="135">
        <v>508933</v>
      </c>
      <c r="AT66" s="135">
        <v>13500</v>
      </c>
      <c r="AZ66" s="82">
        <v>2746174.73</v>
      </c>
      <c r="BA66" s="82">
        <v>1373087.37</v>
      </c>
      <c r="BB66" s="117">
        <v>0</v>
      </c>
      <c r="BC66" s="118">
        <v>2440574</v>
      </c>
      <c r="BD66" s="118">
        <v>4881148</v>
      </c>
      <c r="BE66" s="117">
        <v>17069653</v>
      </c>
      <c r="BF66" s="117">
        <v>17069653</v>
      </c>
      <c r="BG66" s="117">
        <v>39821547</v>
      </c>
      <c r="BH66" s="117">
        <v>33708704</v>
      </c>
      <c r="BI66" s="117">
        <v>0</v>
      </c>
      <c r="BJ66" s="117">
        <v>0</v>
      </c>
      <c r="BK66" s="138"/>
      <c r="BL66" s="86">
        <v>340419848.61803281</v>
      </c>
      <c r="BM66" s="86">
        <v>248949742.24803278</v>
      </c>
      <c r="BN66" s="87">
        <v>472499</v>
      </c>
      <c r="BP66" s="86">
        <v>205688610</v>
      </c>
      <c r="BQ66" s="86">
        <v>36032477</v>
      </c>
      <c r="BR66" s="86">
        <v>845611</v>
      </c>
      <c r="BS66" s="86">
        <v>22979997</v>
      </c>
      <c r="BT66" s="86">
        <v>265546695</v>
      </c>
    </row>
    <row r="67" spans="1:72" x14ac:dyDescent="0.25">
      <c r="A67" s="91" t="s">
        <v>121</v>
      </c>
      <c r="B67" s="135">
        <v>116242714</v>
      </c>
      <c r="C67" s="135">
        <v>55892869</v>
      </c>
      <c r="D67" s="135">
        <v>34985786</v>
      </c>
      <c r="E67" s="135">
        <v>0</v>
      </c>
      <c r="F67" s="135">
        <v>26089530</v>
      </c>
      <c r="G67" s="135">
        <v>24532122</v>
      </c>
      <c r="H67" s="135">
        <v>6343611</v>
      </c>
      <c r="I67" s="135">
        <v>3361304</v>
      </c>
      <c r="J67" s="135">
        <v>51000</v>
      </c>
      <c r="K67" s="135">
        <v>14000</v>
      </c>
      <c r="L67" s="135">
        <v>46210842</v>
      </c>
      <c r="M67" s="135">
        <v>28511681</v>
      </c>
      <c r="N67" s="135">
        <v>1040</v>
      </c>
      <c r="O67" s="135">
        <v>981</v>
      </c>
      <c r="P67" s="135">
        <v>1401450</v>
      </c>
      <c r="Q67" s="135">
        <v>0</v>
      </c>
      <c r="R67" s="135">
        <v>21600</v>
      </c>
      <c r="S67" s="135">
        <v>1713730</v>
      </c>
      <c r="T67" s="135">
        <v>228200</v>
      </c>
      <c r="U67" s="135">
        <v>57540</v>
      </c>
      <c r="V67" s="135">
        <v>1401450</v>
      </c>
      <c r="W67" s="135">
        <v>0</v>
      </c>
      <c r="X67" s="135">
        <v>21600</v>
      </c>
      <c r="Y67" s="135">
        <v>1713730</v>
      </c>
      <c r="Z67" s="135">
        <v>80800</v>
      </c>
      <c r="AA67" s="135">
        <v>57540</v>
      </c>
      <c r="AB67" s="135">
        <v>-1270530</v>
      </c>
      <c r="AC67" s="135">
        <v>0</v>
      </c>
      <c r="AD67" s="135">
        <v>178476</v>
      </c>
      <c r="AE67" s="135">
        <v>0</v>
      </c>
      <c r="AF67" s="135">
        <v>0</v>
      </c>
      <c r="AG67" s="135">
        <v>188993</v>
      </c>
      <c r="AH67" s="135">
        <v>15775905.739836067</v>
      </c>
      <c r="AI67" s="135">
        <v>8720143.4426229522</v>
      </c>
      <c r="AJ67" s="139">
        <v>7908196.7213114761</v>
      </c>
      <c r="AK67" s="82">
        <v>69853101</v>
      </c>
      <c r="AL67" s="82">
        <v>2731189</v>
      </c>
      <c r="AN67" s="135">
        <v>17604330</v>
      </c>
      <c r="AO67" s="135">
        <v>271478</v>
      </c>
      <c r="AP67" s="135">
        <v>5830423</v>
      </c>
      <c r="AQ67" s="135">
        <v>3056322</v>
      </c>
      <c r="AR67" s="135">
        <v>175486</v>
      </c>
      <c r="AT67" s="135">
        <v>80153</v>
      </c>
      <c r="AZ67" s="82">
        <v>5323775.5599999996</v>
      </c>
      <c r="BA67" s="82">
        <v>2661887.7799999998</v>
      </c>
      <c r="BB67" s="117">
        <v>0</v>
      </c>
      <c r="BC67" s="118">
        <v>0</v>
      </c>
      <c r="BD67" s="118">
        <v>0</v>
      </c>
      <c r="BE67" s="117">
        <v>1439792</v>
      </c>
      <c r="BF67" s="117">
        <v>1439792</v>
      </c>
      <c r="BG67" s="117">
        <v>43536446</v>
      </c>
      <c r="BH67" s="117">
        <v>43423099</v>
      </c>
      <c r="BI67" s="117">
        <v>0</v>
      </c>
      <c r="BJ67" s="117">
        <v>0</v>
      </c>
      <c r="BK67" s="138"/>
      <c r="BL67" s="86">
        <v>380566813.68377048</v>
      </c>
      <c r="BM67" s="86">
        <v>260457744.90377051</v>
      </c>
      <c r="BN67" s="87">
        <v>542535</v>
      </c>
      <c r="BP67" s="86">
        <v>207121369</v>
      </c>
      <c r="BQ67" s="86">
        <v>69853101</v>
      </c>
      <c r="BR67" s="86">
        <v>2731189</v>
      </c>
      <c r="BS67" s="86">
        <v>20932130</v>
      </c>
      <c r="BT67" s="86">
        <v>300637789</v>
      </c>
    </row>
    <row r="68" spans="1:72" x14ac:dyDescent="0.25">
      <c r="A68" s="91" t="s">
        <v>122</v>
      </c>
      <c r="B68" s="135">
        <v>217764266</v>
      </c>
      <c r="C68" s="135">
        <v>45272985</v>
      </c>
      <c r="D68" s="135">
        <v>108557108</v>
      </c>
      <c r="E68" s="135">
        <v>0</v>
      </c>
      <c r="F68" s="135">
        <v>58918600</v>
      </c>
      <c r="G68" s="135">
        <v>36278250</v>
      </c>
      <c r="H68" s="135">
        <v>14601700</v>
      </c>
      <c r="I68" s="135">
        <v>6259550</v>
      </c>
      <c r="J68" s="135">
        <v>40500</v>
      </c>
      <c r="K68" s="135">
        <v>0</v>
      </c>
      <c r="L68" s="135">
        <v>73298425</v>
      </c>
      <c r="M68" s="135">
        <v>56916</v>
      </c>
      <c r="N68" s="135">
        <v>2597</v>
      </c>
      <c r="O68" s="135">
        <v>1533</v>
      </c>
      <c r="P68" s="135">
        <v>889000</v>
      </c>
      <c r="Q68" s="135">
        <v>56000</v>
      </c>
      <c r="R68" s="135">
        <v>0</v>
      </c>
      <c r="S68" s="135">
        <v>1051361</v>
      </c>
      <c r="T68" s="135">
        <v>85000</v>
      </c>
      <c r="U68" s="135">
        <v>161700</v>
      </c>
      <c r="V68" s="135">
        <v>889000</v>
      </c>
      <c r="W68" s="135">
        <v>234800</v>
      </c>
      <c r="X68" s="135">
        <v>0</v>
      </c>
      <c r="Y68" s="135">
        <v>1051361</v>
      </c>
      <c r="Z68" s="135">
        <v>55000</v>
      </c>
      <c r="AA68" s="135">
        <v>161700</v>
      </c>
      <c r="AB68" s="135">
        <v>-3228500</v>
      </c>
      <c r="AC68" s="135">
        <v>-3526911</v>
      </c>
      <c r="AH68" s="135">
        <v>11959614.75237705</v>
      </c>
      <c r="AI68" s="135">
        <v>45389487.704918034</v>
      </c>
      <c r="AJ68" s="139">
        <v>2093172.1311475411</v>
      </c>
      <c r="AK68" s="82">
        <v>160225533</v>
      </c>
      <c r="AL68" s="82">
        <v>3850703</v>
      </c>
      <c r="AN68" s="135">
        <v>13317410</v>
      </c>
      <c r="AO68" s="135">
        <v>438026</v>
      </c>
      <c r="AP68" s="135">
        <v>50223904</v>
      </c>
      <c r="AQ68" s="135">
        <v>15448098</v>
      </c>
      <c r="AR68" s="135">
        <v>2811808</v>
      </c>
      <c r="AS68" s="135">
        <v>87900</v>
      </c>
      <c r="AT68" s="135">
        <v>18322</v>
      </c>
      <c r="AX68" s="135">
        <v>57150</v>
      </c>
      <c r="AZ68" s="82">
        <v>12211408.859999999</v>
      </c>
      <c r="BA68" s="82">
        <v>6105704.4299999997</v>
      </c>
      <c r="BB68" s="117">
        <v>0</v>
      </c>
      <c r="BC68" s="118">
        <v>2985925</v>
      </c>
      <c r="BD68" s="118">
        <v>5971850</v>
      </c>
      <c r="BE68" s="117">
        <v>14194844</v>
      </c>
      <c r="BF68" s="117">
        <v>14194844</v>
      </c>
      <c r="BG68" s="117">
        <v>69447038</v>
      </c>
      <c r="BH68" s="117">
        <v>64988155</v>
      </c>
      <c r="BI68" s="117">
        <v>0</v>
      </c>
      <c r="BJ68" s="117">
        <v>0</v>
      </c>
      <c r="BK68" s="138"/>
      <c r="BL68" s="86">
        <v>712591032.01844251</v>
      </c>
      <c r="BM68" s="86">
        <v>460240167.58844262</v>
      </c>
      <c r="BN68" s="87">
        <v>144750</v>
      </c>
      <c r="BP68" s="86">
        <v>371594359</v>
      </c>
      <c r="BQ68" s="86">
        <v>160225533</v>
      </c>
      <c r="BR68" s="86">
        <v>3850703</v>
      </c>
      <c r="BS68" s="86">
        <v>29291434</v>
      </c>
      <c r="BT68" s="86">
        <v>564962029</v>
      </c>
    </row>
    <row r="69" spans="1:72" x14ac:dyDescent="0.25">
      <c r="A69" s="91" t="s">
        <v>123</v>
      </c>
      <c r="B69" s="135">
        <v>194362150</v>
      </c>
      <c r="C69" s="135">
        <v>118445359</v>
      </c>
      <c r="D69" s="135">
        <v>38729710</v>
      </c>
      <c r="E69" s="135">
        <v>0</v>
      </c>
      <c r="F69" s="135">
        <v>34560400</v>
      </c>
      <c r="G69" s="135">
        <v>13734700</v>
      </c>
      <c r="H69" s="135">
        <v>11880950</v>
      </c>
      <c r="I69" s="135">
        <v>2352250</v>
      </c>
      <c r="J69" s="135">
        <v>40500</v>
      </c>
      <c r="K69" s="135">
        <v>0</v>
      </c>
      <c r="L69" s="135">
        <v>178371512</v>
      </c>
      <c r="M69" s="135">
        <v>61109076</v>
      </c>
      <c r="N69" s="135">
        <v>1351</v>
      </c>
      <c r="O69" s="135">
        <v>510</v>
      </c>
      <c r="P69" s="135">
        <v>3240000</v>
      </c>
      <c r="Q69" s="135">
        <v>2491375</v>
      </c>
      <c r="R69" s="135">
        <v>81000</v>
      </c>
      <c r="S69" s="135">
        <v>1826930</v>
      </c>
      <c r="T69" s="135">
        <v>1365650</v>
      </c>
      <c r="U69" s="135">
        <v>163000</v>
      </c>
      <c r="V69" s="135">
        <v>3240000</v>
      </c>
      <c r="W69" s="135">
        <v>4931900</v>
      </c>
      <c r="X69" s="135">
        <v>81000</v>
      </c>
      <c r="Y69" s="135">
        <v>1826930</v>
      </c>
      <c r="Z69" s="135">
        <v>1275050</v>
      </c>
      <c r="AA69" s="135">
        <v>163000</v>
      </c>
      <c r="AB69" s="135">
        <v>-885900</v>
      </c>
      <c r="AC69" s="135">
        <v>0</v>
      </c>
      <c r="AD69" s="135">
        <v>202789</v>
      </c>
      <c r="AE69" s="135">
        <v>0</v>
      </c>
      <c r="AF69" s="135">
        <v>0</v>
      </c>
      <c r="AG69" s="135">
        <v>288199</v>
      </c>
      <c r="AH69" s="135">
        <v>0</v>
      </c>
      <c r="AI69" s="135">
        <v>73788.934426229505</v>
      </c>
      <c r="AJ69" s="139"/>
      <c r="AK69" s="82">
        <v>85056760</v>
      </c>
      <c r="AL69" s="82">
        <v>1564958</v>
      </c>
      <c r="AN69" s="135">
        <v>12103061</v>
      </c>
      <c r="AO69" s="135">
        <v>3724144</v>
      </c>
      <c r="AP69" s="135">
        <v>10345304</v>
      </c>
      <c r="AQ69" s="135">
        <v>8853368</v>
      </c>
      <c r="AR69" s="135">
        <v>2554800</v>
      </c>
      <c r="AT69" s="135">
        <v>201669</v>
      </c>
      <c r="AY69" s="135">
        <v>3500</v>
      </c>
      <c r="AZ69" s="82">
        <v>6482505.3399999999</v>
      </c>
      <c r="BA69" s="82">
        <v>3241252.67</v>
      </c>
      <c r="BB69" s="117">
        <v>47995220.380891189</v>
      </c>
      <c r="BC69" s="118">
        <v>3034839</v>
      </c>
      <c r="BD69" s="118">
        <v>6069677</v>
      </c>
      <c r="BE69" s="117">
        <v>57896317</v>
      </c>
      <c r="BF69" s="117">
        <v>57896317</v>
      </c>
      <c r="BG69" s="117">
        <v>57460050</v>
      </c>
      <c r="BH69" s="117">
        <v>46543232</v>
      </c>
      <c r="BI69" s="117">
        <v>0</v>
      </c>
      <c r="BJ69" s="117">
        <v>0</v>
      </c>
      <c r="BK69" s="138"/>
      <c r="BL69" s="86">
        <v>573628939.60442626</v>
      </c>
      <c r="BM69" s="86">
        <v>376291580.93442625</v>
      </c>
      <c r="BN69" s="87">
        <v>1787200</v>
      </c>
      <c r="BP69" s="86">
        <v>351537219</v>
      </c>
      <c r="BQ69" s="86">
        <v>85056760</v>
      </c>
      <c r="BR69" s="86">
        <v>1564958</v>
      </c>
      <c r="BS69" s="86">
        <v>24680573</v>
      </c>
      <c r="BT69" s="86">
        <v>462839510</v>
      </c>
    </row>
    <row r="70" spans="1:72" x14ac:dyDescent="0.25">
      <c r="A70" s="91" t="s">
        <v>124</v>
      </c>
      <c r="B70" s="135">
        <v>582538527</v>
      </c>
      <c r="C70" s="135">
        <v>217888555</v>
      </c>
      <c r="D70" s="135">
        <v>139260476</v>
      </c>
      <c r="E70" s="135">
        <v>0</v>
      </c>
      <c r="F70" s="135">
        <v>77457900</v>
      </c>
      <c r="G70" s="135">
        <v>19238133</v>
      </c>
      <c r="H70" s="135">
        <v>22697900</v>
      </c>
      <c r="I70" s="135">
        <v>2771475</v>
      </c>
      <c r="J70" s="135">
        <v>405000</v>
      </c>
      <c r="K70" s="135">
        <v>81000</v>
      </c>
      <c r="L70" s="135">
        <v>296775919</v>
      </c>
      <c r="M70" s="135">
        <v>124105512</v>
      </c>
      <c r="N70" s="135">
        <v>2744</v>
      </c>
      <c r="O70" s="135">
        <v>675</v>
      </c>
      <c r="P70" s="135">
        <v>9781795</v>
      </c>
      <c r="Q70" s="135">
        <v>6217546</v>
      </c>
      <c r="R70" s="135">
        <v>2078860</v>
      </c>
      <c r="S70" s="135">
        <v>4813750</v>
      </c>
      <c r="T70" s="135">
        <v>1996851</v>
      </c>
      <c r="U70" s="135">
        <v>745900</v>
      </c>
      <c r="V70" s="135">
        <v>9781795</v>
      </c>
      <c r="W70" s="135">
        <v>8261191</v>
      </c>
      <c r="X70" s="135">
        <v>2078860</v>
      </c>
      <c r="Y70" s="135">
        <v>4813750</v>
      </c>
      <c r="Z70" s="135">
        <v>2531827</v>
      </c>
      <c r="AA70" s="135">
        <v>745900</v>
      </c>
      <c r="AB70" s="135">
        <v>-4743530</v>
      </c>
      <c r="AC70" s="135">
        <v>-6130887</v>
      </c>
      <c r="AD70" s="135">
        <v>55437</v>
      </c>
      <c r="AE70" s="135">
        <v>0</v>
      </c>
      <c r="AF70" s="135">
        <v>0</v>
      </c>
      <c r="AG70" s="135">
        <v>196463</v>
      </c>
      <c r="AH70" s="135">
        <v>6303.2786885245905</v>
      </c>
      <c r="AI70" s="135">
        <v>6303.2786885245905</v>
      </c>
      <c r="AJ70" s="139"/>
      <c r="AK70" s="82">
        <v>170611077</v>
      </c>
      <c r="AL70" s="82">
        <v>5542324</v>
      </c>
      <c r="AN70" s="135">
        <v>18947527</v>
      </c>
      <c r="AO70" s="135">
        <v>5907939</v>
      </c>
      <c r="AP70" s="135">
        <v>15092424</v>
      </c>
      <c r="AQ70" s="135">
        <v>20620911</v>
      </c>
      <c r="AR70" s="135">
        <v>10585813</v>
      </c>
      <c r="AS70" s="135">
        <v>4365541</v>
      </c>
      <c r="AT70" s="135">
        <f>11204674+250</f>
        <v>11204924</v>
      </c>
      <c r="AW70" s="135">
        <v>24237</v>
      </c>
      <c r="AX70" s="135">
        <v>448359</v>
      </c>
      <c r="AZ70" s="82">
        <v>13002931.42</v>
      </c>
      <c r="BA70" s="82">
        <v>6501465.71</v>
      </c>
      <c r="BB70" s="117">
        <v>0</v>
      </c>
      <c r="BC70" s="118">
        <v>2619437</v>
      </c>
      <c r="BD70" s="118">
        <v>5238875</v>
      </c>
      <c r="BE70" s="117">
        <v>63229118.420000002</v>
      </c>
      <c r="BF70" s="117">
        <v>63229118.420000002</v>
      </c>
      <c r="BG70" s="117">
        <v>162229714.34</v>
      </c>
      <c r="BH70" s="117">
        <v>155559229.34</v>
      </c>
      <c r="BI70" s="117">
        <v>0</v>
      </c>
      <c r="BJ70" s="117">
        <v>0</v>
      </c>
      <c r="BK70" s="138"/>
      <c r="BL70" s="86">
        <v>1389239193.0273771</v>
      </c>
      <c r="BM70" s="86">
        <v>985176541.5573771</v>
      </c>
      <c r="BN70" s="87">
        <v>481000</v>
      </c>
      <c r="BP70" s="86">
        <v>939687558</v>
      </c>
      <c r="BQ70" s="86">
        <v>170611077</v>
      </c>
      <c r="BR70" s="86">
        <v>5542324</v>
      </c>
      <c r="BS70" s="86">
        <v>49841918</v>
      </c>
      <c r="BT70" s="86">
        <v>1165682877</v>
      </c>
    </row>
    <row r="71" spans="1:72" x14ac:dyDescent="0.25">
      <c r="A71" s="91" t="s">
        <v>125</v>
      </c>
      <c r="B71" s="135">
        <v>267466596</v>
      </c>
      <c r="C71" s="135">
        <v>138586590</v>
      </c>
      <c r="D71" s="135">
        <v>95454546</v>
      </c>
      <c r="E71" s="135">
        <v>0</v>
      </c>
      <c r="F71" s="135">
        <v>36784100</v>
      </c>
      <c r="G71" s="135">
        <v>6035900</v>
      </c>
      <c r="H71" s="135">
        <v>10215100</v>
      </c>
      <c r="I71" s="135">
        <v>1110000</v>
      </c>
      <c r="J71" s="135">
        <v>81000</v>
      </c>
      <c r="K71" s="135">
        <v>0</v>
      </c>
      <c r="L71" s="135">
        <v>262214228</v>
      </c>
      <c r="M71" s="135">
        <v>73036800</v>
      </c>
      <c r="N71" s="135">
        <v>1249</v>
      </c>
      <c r="O71" s="135">
        <v>204</v>
      </c>
      <c r="P71" s="135">
        <v>4600500</v>
      </c>
      <c r="Q71" s="135">
        <v>1759600</v>
      </c>
      <c r="R71" s="135">
        <v>11042007</v>
      </c>
      <c r="S71" s="135">
        <v>1826766</v>
      </c>
      <c r="T71" s="135">
        <v>1391550</v>
      </c>
      <c r="U71" s="135">
        <v>11381490</v>
      </c>
      <c r="V71" s="135">
        <v>4600500</v>
      </c>
      <c r="W71" s="135">
        <v>1779800</v>
      </c>
      <c r="X71" s="135">
        <v>11042007</v>
      </c>
      <c r="Y71" s="135">
        <v>1826766</v>
      </c>
      <c r="Z71" s="135">
        <v>1574179</v>
      </c>
      <c r="AA71" s="135">
        <v>11381490</v>
      </c>
      <c r="AB71" s="135">
        <v>-1145450</v>
      </c>
      <c r="AC71" s="135">
        <v>-1004529</v>
      </c>
      <c r="AD71" s="135">
        <v>87716</v>
      </c>
      <c r="AE71" s="135">
        <v>0</v>
      </c>
      <c r="AF71" s="135">
        <v>0</v>
      </c>
      <c r="AG71" s="135">
        <v>175714</v>
      </c>
      <c r="AH71" s="135">
        <v>0</v>
      </c>
      <c r="AI71" s="135">
        <v>15341596.311475411</v>
      </c>
      <c r="AJ71" s="139"/>
      <c r="AK71" s="82">
        <v>82973150</v>
      </c>
      <c r="AL71" s="82">
        <v>7032418</v>
      </c>
      <c r="AM71" s="135">
        <v>6189738</v>
      </c>
      <c r="AN71" s="135">
        <v>60599807</v>
      </c>
      <c r="AO71" s="135">
        <v>2762899</v>
      </c>
      <c r="AP71" s="135">
        <v>97111623</v>
      </c>
      <c r="AQ71" s="135">
        <v>39976284</v>
      </c>
      <c r="AR71" s="135">
        <v>6557625</v>
      </c>
      <c r="AS71" s="135">
        <v>19092386</v>
      </c>
      <c r="AT71" s="135">
        <v>2199219</v>
      </c>
      <c r="AZ71" s="82">
        <v>6323705.3399999999</v>
      </c>
      <c r="BA71" s="82">
        <v>3161852.67</v>
      </c>
      <c r="BB71" s="117">
        <v>86118696.569803625</v>
      </c>
      <c r="BC71" s="118">
        <v>416861</v>
      </c>
      <c r="BD71" s="118">
        <v>833723</v>
      </c>
      <c r="BE71" s="117">
        <v>162426089</v>
      </c>
      <c r="BF71" s="117">
        <v>161993930</v>
      </c>
      <c r="BG71" s="117">
        <v>65702654</v>
      </c>
      <c r="BH71" s="117">
        <v>65034912</v>
      </c>
      <c r="BI71" s="117">
        <v>0</v>
      </c>
      <c r="BJ71" s="117">
        <v>0</v>
      </c>
      <c r="BK71" s="138"/>
      <c r="BL71" s="86">
        <v>940801441.98147535</v>
      </c>
      <c r="BM71" s="86">
        <v>620188318.3114754</v>
      </c>
      <c r="BN71" s="87">
        <v>640466</v>
      </c>
      <c r="BP71" s="86">
        <v>501507732</v>
      </c>
      <c r="BQ71" s="86">
        <v>82973150</v>
      </c>
      <c r="BR71" s="86">
        <v>7032418</v>
      </c>
      <c r="BS71" s="86">
        <v>122431376</v>
      </c>
      <c r="BT71" s="86">
        <v>713944676</v>
      </c>
    </row>
    <row r="72" spans="1:72" x14ac:dyDescent="0.25">
      <c r="A72" s="91" t="s">
        <v>126</v>
      </c>
      <c r="B72" s="135">
        <v>741344482</v>
      </c>
      <c r="C72" s="135">
        <v>393686855</v>
      </c>
      <c r="D72" s="135">
        <v>296388316</v>
      </c>
      <c r="E72" s="135">
        <v>0</v>
      </c>
      <c r="F72" s="135">
        <v>81805525</v>
      </c>
      <c r="G72" s="135">
        <v>14474230</v>
      </c>
      <c r="H72" s="135">
        <v>18944450</v>
      </c>
      <c r="I72" s="135">
        <v>1394003</v>
      </c>
      <c r="J72" s="135">
        <v>110000</v>
      </c>
      <c r="K72" s="135">
        <v>0</v>
      </c>
      <c r="L72" s="135">
        <v>1229505309</v>
      </c>
      <c r="M72" s="135">
        <v>150192533</v>
      </c>
      <c r="N72" s="135">
        <v>2625</v>
      </c>
      <c r="O72" s="135">
        <v>430</v>
      </c>
      <c r="P72" s="135">
        <v>16510392</v>
      </c>
      <c r="Q72" s="135">
        <v>4599011</v>
      </c>
      <c r="R72" s="135">
        <v>15535280</v>
      </c>
      <c r="S72" s="135">
        <v>1896309</v>
      </c>
      <c r="T72" s="135">
        <v>3028108</v>
      </c>
      <c r="U72" s="135">
        <v>3233531</v>
      </c>
      <c r="V72" s="135">
        <v>16510392</v>
      </c>
      <c r="W72" s="135">
        <v>6343196</v>
      </c>
      <c r="X72" s="135">
        <v>15535280</v>
      </c>
      <c r="Y72" s="135">
        <v>1896309</v>
      </c>
      <c r="Z72" s="135">
        <v>5067201</v>
      </c>
      <c r="AA72" s="135">
        <v>3233531</v>
      </c>
      <c r="AB72" s="135">
        <v>-3275577</v>
      </c>
      <c r="AC72" s="135">
        <v>-4905</v>
      </c>
      <c r="AD72" s="135">
        <v>108231</v>
      </c>
      <c r="AE72" s="135">
        <v>42</v>
      </c>
      <c r="AF72" s="135">
        <v>795282672</v>
      </c>
      <c r="AG72" s="135">
        <v>320359</v>
      </c>
      <c r="AH72" s="135">
        <v>36192.625</v>
      </c>
      <c r="AI72" s="135">
        <v>396926.22950819676</v>
      </c>
      <c r="AJ72" s="139"/>
      <c r="AK72" s="82">
        <v>210608126</v>
      </c>
      <c r="AL72" s="82">
        <v>7445240</v>
      </c>
      <c r="AN72" s="135">
        <v>43858000</v>
      </c>
      <c r="AO72" s="135">
        <v>28763654</v>
      </c>
      <c r="AP72" s="135">
        <v>982177713</v>
      </c>
      <c r="AQ72" s="135">
        <v>72412548</v>
      </c>
      <c r="AR72" s="135">
        <v>347291724</v>
      </c>
      <c r="AS72" s="135">
        <v>68475948</v>
      </c>
      <c r="AT72" s="135">
        <v>5569591</v>
      </c>
      <c r="AV72" s="135">
        <v>34380</v>
      </c>
      <c r="AW72" s="135">
        <v>23500393</v>
      </c>
      <c r="AX72" s="135">
        <v>7305522</v>
      </c>
      <c r="AY72" s="135">
        <v>1616200</v>
      </c>
      <c r="AZ72" s="82">
        <v>16051261.550000001</v>
      </c>
      <c r="BA72" s="82">
        <v>8025630.7800000003</v>
      </c>
      <c r="BB72" s="117">
        <v>0</v>
      </c>
      <c r="BC72" s="118">
        <v>2682952</v>
      </c>
      <c r="BD72" s="118">
        <v>5365904</v>
      </c>
      <c r="BE72" s="117">
        <v>19403564</v>
      </c>
      <c r="BF72" s="117">
        <v>19403564</v>
      </c>
      <c r="BG72" s="117">
        <v>70587902</v>
      </c>
      <c r="BH72" s="117">
        <v>63337322</v>
      </c>
      <c r="BI72" s="117">
        <v>0</v>
      </c>
      <c r="BJ72" s="117">
        <v>9007410</v>
      </c>
      <c r="BK72" s="138"/>
      <c r="BL72" s="86">
        <v>1897397218.6345081</v>
      </c>
      <c r="BM72" s="86">
        <v>1576886973.8545082</v>
      </c>
      <c r="BN72" s="87">
        <v>3733392</v>
      </c>
      <c r="BP72" s="86">
        <v>1431419653</v>
      </c>
      <c r="BQ72" s="86">
        <v>210608126</v>
      </c>
      <c r="BR72" s="86">
        <v>7445240</v>
      </c>
      <c r="BS72" s="86">
        <v>213510150</v>
      </c>
      <c r="BT72" s="86">
        <v>1862983169</v>
      </c>
    </row>
    <row r="73" spans="1:72" x14ac:dyDescent="0.25">
      <c r="A73" s="91" t="s">
        <v>127</v>
      </c>
      <c r="B73" s="135">
        <v>554424568</v>
      </c>
      <c r="C73" s="135">
        <v>72169982</v>
      </c>
      <c r="D73" s="135">
        <v>100125326</v>
      </c>
      <c r="E73" s="135">
        <v>0</v>
      </c>
      <c r="F73" s="135">
        <v>33810760</v>
      </c>
      <c r="G73" s="135">
        <v>6420217</v>
      </c>
      <c r="H73" s="135">
        <v>6415204</v>
      </c>
      <c r="I73" s="135">
        <v>832800</v>
      </c>
      <c r="J73" s="135">
        <v>121500</v>
      </c>
      <c r="K73" s="135">
        <v>40500</v>
      </c>
      <c r="L73" s="135">
        <v>166044107</v>
      </c>
      <c r="M73" s="135">
        <v>52790507</v>
      </c>
      <c r="N73" s="135">
        <v>1037</v>
      </c>
      <c r="O73" s="135">
        <v>197</v>
      </c>
      <c r="P73" s="135">
        <v>4353850</v>
      </c>
      <c r="Q73" s="135">
        <v>1473966</v>
      </c>
      <c r="R73" s="135">
        <v>528500</v>
      </c>
      <c r="S73" s="135">
        <v>3585151</v>
      </c>
      <c r="T73" s="135">
        <v>830013</v>
      </c>
      <c r="U73" s="135">
        <v>445350</v>
      </c>
      <c r="V73" s="135">
        <v>4353850</v>
      </c>
      <c r="W73" s="135">
        <v>1940649</v>
      </c>
      <c r="X73" s="135">
        <v>528500</v>
      </c>
      <c r="Y73" s="135">
        <v>3585151</v>
      </c>
      <c r="Z73" s="135">
        <v>5447524</v>
      </c>
      <c r="AA73" s="135">
        <v>445350</v>
      </c>
      <c r="AB73" s="135">
        <v>-2085360</v>
      </c>
      <c r="AC73" s="135">
        <v>-98519</v>
      </c>
      <c r="AD73" s="135">
        <v>28694</v>
      </c>
      <c r="AE73" s="135">
        <v>0</v>
      </c>
      <c r="AF73" s="135">
        <v>0</v>
      </c>
      <c r="AG73" s="135">
        <v>64484</v>
      </c>
      <c r="AH73" s="135">
        <v>0</v>
      </c>
      <c r="AI73" s="135">
        <v>0</v>
      </c>
      <c r="AJ73" s="139"/>
      <c r="AK73" s="82">
        <v>74382432</v>
      </c>
      <c r="AL73" s="82">
        <v>20576328</v>
      </c>
      <c r="AM73" s="135">
        <v>2684869</v>
      </c>
      <c r="AN73" s="135">
        <v>16957674</v>
      </c>
      <c r="AO73" s="135">
        <v>278890</v>
      </c>
      <c r="AP73" s="135">
        <v>3671560</v>
      </c>
      <c r="AQ73" s="135">
        <v>7688437</v>
      </c>
      <c r="AR73" s="135">
        <v>3103014</v>
      </c>
      <c r="AS73" s="135">
        <v>23141183</v>
      </c>
      <c r="AT73" s="135">
        <v>458005</v>
      </c>
      <c r="AX73" s="135">
        <v>2080</v>
      </c>
      <c r="AZ73" s="82">
        <v>5668971.9100000001</v>
      </c>
      <c r="BA73" s="82">
        <v>2834485.96</v>
      </c>
      <c r="BB73" s="117">
        <v>36269115.401468918</v>
      </c>
      <c r="BC73" s="118">
        <v>1092162</v>
      </c>
      <c r="BD73" s="118">
        <v>2184325</v>
      </c>
      <c r="BE73" s="117">
        <v>18722994</v>
      </c>
      <c r="BF73" s="117">
        <v>16487050</v>
      </c>
      <c r="BG73" s="117">
        <v>27205219</v>
      </c>
      <c r="BH73" s="117">
        <v>26066368</v>
      </c>
      <c r="BI73" s="117">
        <v>0</v>
      </c>
      <c r="BJ73" s="117">
        <v>0</v>
      </c>
      <c r="BK73" s="138"/>
      <c r="BL73" s="86">
        <v>893083702.96000004</v>
      </c>
      <c r="BM73" s="86">
        <v>751644877</v>
      </c>
      <c r="BN73" s="87">
        <v>684936</v>
      </c>
      <c r="BP73" s="86">
        <v>726719876</v>
      </c>
      <c r="BQ73" s="86">
        <v>74382432</v>
      </c>
      <c r="BR73" s="86">
        <v>20576328</v>
      </c>
      <c r="BS73" s="86">
        <v>48066184</v>
      </c>
      <c r="BT73" s="86">
        <v>869744820</v>
      </c>
    </row>
    <row r="74" spans="1:72" x14ac:dyDescent="0.25">
      <c r="A74" s="91" t="s">
        <v>128</v>
      </c>
      <c r="B74" s="135">
        <v>2875442551</v>
      </c>
      <c r="C74" s="135">
        <v>221742463</v>
      </c>
      <c r="D74" s="135">
        <v>1427277575</v>
      </c>
      <c r="E74" s="135">
        <v>8243860</v>
      </c>
      <c r="F74" s="135">
        <v>258650185</v>
      </c>
      <c r="G74" s="135">
        <v>18367201</v>
      </c>
      <c r="H74" s="135">
        <v>13926082</v>
      </c>
      <c r="I74" s="135">
        <v>729000</v>
      </c>
      <c r="J74" s="135">
        <v>743200</v>
      </c>
      <c r="K74" s="135">
        <v>0</v>
      </c>
      <c r="L74" s="135">
        <v>236305211</v>
      </c>
      <c r="M74" s="135">
        <v>163780144</v>
      </c>
      <c r="N74" s="135">
        <v>7026</v>
      </c>
      <c r="O74" s="135">
        <v>543</v>
      </c>
      <c r="P74" s="135">
        <v>56218015</v>
      </c>
      <c r="Q74" s="135">
        <v>8995928</v>
      </c>
      <c r="R74" s="135">
        <v>96221093</v>
      </c>
      <c r="S74" s="135">
        <v>61602895</v>
      </c>
      <c r="T74" s="135">
        <v>2504082</v>
      </c>
      <c r="U74" s="135">
        <v>44012703</v>
      </c>
      <c r="V74" s="135">
        <v>56218015</v>
      </c>
      <c r="W74" s="135">
        <v>15495938</v>
      </c>
      <c r="X74" s="135">
        <v>96221093</v>
      </c>
      <c r="Y74" s="135">
        <v>61602895</v>
      </c>
      <c r="Z74" s="135">
        <v>3264849</v>
      </c>
      <c r="AA74" s="135">
        <v>44012703</v>
      </c>
      <c r="AB74" s="135">
        <v>-8757081</v>
      </c>
      <c r="AC74" s="135">
        <v>-3389248</v>
      </c>
      <c r="AD74" s="135">
        <v>0</v>
      </c>
      <c r="AE74" s="135">
        <v>0</v>
      </c>
      <c r="AF74" s="135">
        <v>0</v>
      </c>
      <c r="AG74" s="135">
        <v>805</v>
      </c>
      <c r="AH74" s="135">
        <v>0</v>
      </c>
      <c r="AI74" s="135">
        <v>1178.2786885245903</v>
      </c>
      <c r="AJ74" s="139"/>
      <c r="AK74" s="82">
        <v>556530985</v>
      </c>
      <c r="AL74" s="82">
        <v>20193623</v>
      </c>
      <c r="AN74" s="135">
        <f>224651234</f>
        <v>224651234</v>
      </c>
      <c r="AO74" s="135">
        <v>11465542</v>
      </c>
      <c r="AP74" s="135">
        <v>73796082</v>
      </c>
      <c r="AQ74" s="135">
        <v>253778152</v>
      </c>
      <c r="AR74" s="135">
        <v>95476276</v>
      </c>
      <c r="AS74" s="135">
        <v>38531401</v>
      </c>
      <c r="AT74" s="135">
        <f>4307992+156</f>
        <v>4308148</v>
      </c>
      <c r="AV74" s="135">
        <v>12612</v>
      </c>
      <c r="AW74" s="135">
        <v>1</v>
      </c>
      <c r="AX74" s="135">
        <v>9659924</v>
      </c>
      <c r="AY74" s="135">
        <v>21230352</v>
      </c>
      <c r="AZ74" s="82">
        <v>42415383.340000004</v>
      </c>
      <c r="BA74" s="82">
        <v>21207691.670000002</v>
      </c>
      <c r="BB74" s="117">
        <v>35014694.868786529</v>
      </c>
      <c r="BC74" s="118">
        <v>5376125</v>
      </c>
      <c r="BD74" s="118">
        <v>10752250</v>
      </c>
      <c r="BE74" s="117">
        <v>107244908</v>
      </c>
      <c r="BF74" s="117">
        <v>96877094</v>
      </c>
      <c r="BG74" s="117">
        <v>151045408</v>
      </c>
      <c r="BH74" s="117">
        <v>121731166</v>
      </c>
      <c r="BI74" s="117">
        <v>33634</v>
      </c>
      <c r="BJ74" s="117">
        <v>71119598</v>
      </c>
      <c r="BK74" s="138"/>
      <c r="BL74" s="86">
        <v>5907428611.9486885</v>
      </c>
      <c r="BM74" s="86">
        <v>5014358695.2786884</v>
      </c>
      <c r="BN74" s="87">
        <v>4296757</v>
      </c>
      <c r="BP74" s="86">
        <v>4524462589</v>
      </c>
      <c r="BQ74" s="86">
        <v>556530985</v>
      </c>
      <c r="BR74" s="86">
        <v>20193623</v>
      </c>
      <c r="BS74" s="86">
        <v>528426329</v>
      </c>
      <c r="BT74" s="86">
        <v>5629613526</v>
      </c>
    </row>
    <row r="75" spans="1:72" x14ac:dyDescent="0.25">
      <c r="A75" s="91" t="s">
        <v>129</v>
      </c>
      <c r="B75" s="135">
        <v>273967160</v>
      </c>
      <c r="C75" s="135">
        <v>46987249</v>
      </c>
      <c r="D75" s="135">
        <v>89892810</v>
      </c>
      <c r="E75" s="135">
        <v>0</v>
      </c>
      <c r="F75" s="135">
        <v>48102000</v>
      </c>
      <c r="G75" s="135">
        <v>19995634</v>
      </c>
      <c r="H75" s="135">
        <v>6515000</v>
      </c>
      <c r="I75" s="135">
        <v>1413500</v>
      </c>
      <c r="J75" s="135">
        <v>141500</v>
      </c>
      <c r="K75" s="135">
        <v>0</v>
      </c>
      <c r="L75" s="135">
        <v>31508751</v>
      </c>
      <c r="M75" s="135">
        <v>0</v>
      </c>
      <c r="N75" s="135">
        <v>1519</v>
      </c>
      <c r="O75" s="135">
        <v>660</v>
      </c>
      <c r="P75" s="135">
        <v>5975600</v>
      </c>
      <c r="Q75" s="135">
        <v>3403859</v>
      </c>
      <c r="R75" s="135">
        <v>836500</v>
      </c>
      <c r="S75" s="135">
        <v>5689900</v>
      </c>
      <c r="T75" s="135">
        <v>2075246</v>
      </c>
      <c r="U75" s="135">
        <v>1491000</v>
      </c>
      <c r="V75" s="135">
        <v>5975600</v>
      </c>
      <c r="W75" s="135">
        <v>5803700</v>
      </c>
      <c r="X75" s="135">
        <v>836500</v>
      </c>
      <c r="Y75" s="135">
        <v>5689900</v>
      </c>
      <c r="Z75" s="135">
        <v>580000</v>
      </c>
      <c r="AA75" s="135">
        <v>1491000</v>
      </c>
      <c r="AB75" s="135">
        <v>-2930550</v>
      </c>
      <c r="AC75" s="135">
        <v>12809</v>
      </c>
      <c r="AD75" s="135">
        <v>31896</v>
      </c>
      <c r="AE75" s="135">
        <v>0</v>
      </c>
      <c r="AF75" s="135">
        <v>0</v>
      </c>
      <c r="AG75" s="135">
        <v>13057</v>
      </c>
      <c r="AH75" s="135">
        <v>43532.7868852459</v>
      </c>
      <c r="AI75" s="135">
        <v>486823.7704918033</v>
      </c>
      <c r="AJ75" s="139">
        <v>26081.967213114756</v>
      </c>
      <c r="AK75" s="82">
        <v>75548198</v>
      </c>
      <c r="AL75" s="82">
        <v>2554441</v>
      </c>
      <c r="AN75" s="135">
        <v>7622168</v>
      </c>
      <c r="AO75" s="135">
        <v>244150</v>
      </c>
      <c r="AP75" s="135">
        <v>9368177</v>
      </c>
      <c r="AQ75" s="135">
        <v>8921836</v>
      </c>
      <c r="AR75" s="135">
        <v>14145775</v>
      </c>
      <c r="AT75" s="135">
        <v>1266770</v>
      </c>
      <c r="AY75" s="135">
        <v>3500</v>
      </c>
      <c r="AZ75" s="82">
        <v>5757820.9800000004</v>
      </c>
      <c r="BA75" s="82">
        <v>2878910.49</v>
      </c>
      <c r="BB75" s="117">
        <v>0</v>
      </c>
      <c r="BC75" s="118">
        <v>3929156</v>
      </c>
      <c r="BD75" s="118">
        <v>7858312</v>
      </c>
      <c r="BE75" s="117">
        <v>43407795</v>
      </c>
      <c r="BF75" s="117">
        <v>43407795</v>
      </c>
      <c r="BG75" s="117">
        <v>45370441</v>
      </c>
      <c r="BH75" s="117">
        <v>37463467</v>
      </c>
      <c r="BI75" s="117">
        <v>0</v>
      </c>
      <c r="BJ75" s="117">
        <v>0</v>
      </c>
      <c r="BK75" s="138"/>
      <c r="BL75" s="86">
        <v>593973779.01459014</v>
      </c>
      <c r="BM75" s="86">
        <v>428191811.52459013</v>
      </c>
      <c r="BN75" s="87">
        <v>642100</v>
      </c>
      <c r="BP75" s="86">
        <v>410847219</v>
      </c>
      <c r="BQ75" s="86">
        <v>75548198</v>
      </c>
      <c r="BR75" s="86">
        <v>2554441</v>
      </c>
      <c r="BS75" s="86">
        <v>16788154</v>
      </c>
      <c r="BT75" s="86">
        <v>505738012</v>
      </c>
    </row>
    <row r="76" spans="1:72" x14ac:dyDescent="0.25">
      <c r="A76" s="91" t="s">
        <v>130</v>
      </c>
      <c r="B76" s="135">
        <v>208955984</v>
      </c>
      <c r="C76" s="135">
        <v>162140205</v>
      </c>
      <c r="D76" s="135">
        <v>66946307</v>
      </c>
      <c r="E76" s="135">
        <v>0</v>
      </c>
      <c r="F76" s="135">
        <v>32560710</v>
      </c>
      <c r="G76" s="135">
        <v>8910550</v>
      </c>
      <c r="H76" s="135">
        <v>7268050</v>
      </c>
      <c r="I76" s="135">
        <v>794600</v>
      </c>
      <c r="J76" s="135">
        <v>58600</v>
      </c>
      <c r="K76" s="135">
        <v>0</v>
      </c>
      <c r="L76" s="135">
        <v>479373507</v>
      </c>
      <c r="M76" s="135">
        <v>53591150</v>
      </c>
      <c r="N76" s="135">
        <v>1074</v>
      </c>
      <c r="O76" s="135">
        <v>279</v>
      </c>
      <c r="P76" s="135">
        <v>2811784</v>
      </c>
      <c r="Q76" s="135">
        <v>2562567</v>
      </c>
      <c r="R76" s="135">
        <v>50400</v>
      </c>
      <c r="S76" s="135">
        <v>178700</v>
      </c>
      <c r="T76" s="135">
        <v>350520</v>
      </c>
      <c r="U76" s="135">
        <v>0</v>
      </c>
      <c r="V76" s="135">
        <v>2811784</v>
      </c>
      <c r="W76" s="135">
        <v>2562567</v>
      </c>
      <c r="X76" s="135">
        <v>50400</v>
      </c>
      <c r="Y76" s="135">
        <v>178700</v>
      </c>
      <c r="Z76" s="135">
        <v>350520</v>
      </c>
      <c r="AA76" s="135">
        <v>0</v>
      </c>
      <c r="AB76" s="135">
        <v>-1538450</v>
      </c>
      <c r="AC76" s="135">
        <v>-602101</v>
      </c>
      <c r="AD76" s="135">
        <v>15620</v>
      </c>
      <c r="AE76" s="135">
        <v>2941</v>
      </c>
      <c r="AF76" s="135">
        <v>6182280</v>
      </c>
      <c r="AG76" s="135">
        <v>152886</v>
      </c>
      <c r="AH76" s="135">
        <v>6135922.1304098368</v>
      </c>
      <c r="AI76" s="135">
        <v>1245.9016393442625</v>
      </c>
      <c r="AJ76" s="139">
        <v>1524377.0491803279</v>
      </c>
      <c r="AK76" s="82">
        <v>84852110</v>
      </c>
      <c r="AL76" s="82">
        <v>3005866</v>
      </c>
      <c r="AN76" s="135">
        <v>15178551</v>
      </c>
      <c r="AO76" s="135">
        <v>1537479</v>
      </c>
      <c r="AP76" s="135">
        <v>5109520</v>
      </c>
      <c r="AQ76" s="135">
        <v>13973904</v>
      </c>
      <c r="AR76" s="135">
        <v>5215413</v>
      </c>
      <c r="AT76" s="135">
        <v>18664844</v>
      </c>
      <c r="AV76" s="135">
        <v>1415145</v>
      </c>
      <c r="AW76" s="135">
        <v>15696825</v>
      </c>
      <c r="AY76" s="135">
        <v>254271</v>
      </c>
      <c r="AZ76" s="82">
        <v>6466908.1699999999</v>
      </c>
      <c r="BA76" s="82">
        <v>3233454.09</v>
      </c>
      <c r="BB76" s="117">
        <v>15598446.623789638</v>
      </c>
      <c r="BC76" s="118">
        <v>0</v>
      </c>
      <c r="BD76" s="118">
        <v>0</v>
      </c>
      <c r="BE76" s="117">
        <v>11016909</v>
      </c>
      <c r="BF76" s="117">
        <v>11016909</v>
      </c>
      <c r="BG76" s="117">
        <v>28964224</v>
      </c>
      <c r="BH76" s="117">
        <v>28964224</v>
      </c>
      <c r="BI76" s="117">
        <v>0</v>
      </c>
      <c r="BJ76" s="117">
        <v>0</v>
      </c>
      <c r="BK76" s="138"/>
      <c r="BL76" s="86">
        <v>607466538.17122948</v>
      </c>
      <c r="BM76" s="86">
        <v>476393975.08122951</v>
      </c>
      <c r="BN76" s="87">
        <v>577342</v>
      </c>
      <c r="BP76" s="86">
        <v>438042496</v>
      </c>
      <c r="BQ76" s="86">
        <v>84852110</v>
      </c>
      <c r="BR76" s="86">
        <v>3005866</v>
      </c>
      <c r="BS76" s="86">
        <v>30689934</v>
      </c>
      <c r="BT76" s="86">
        <v>556590406</v>
      </c>
    </row>
    <row r="77" spans="1:72" x14ac:dyDescent="0.25">
      <c r="A77" s="91" t="s">
        <v>131</v>
      </c>
      <c r="B77" s="135">
        <v>4060920731</v>
      </c>
      <c r="C77" s="135">
        <v>324796023</v>
      </c>
      <c r="D77" s="135">
        <v>1273088896</v>
      </c>
      <c r="E77" s="135">
        <v>0</v>
      </c>
      <c r="F77" s="135">
        <v>259079327</v>
      </c>
      <c r="G77" s="135">
        <v>22488813</v>
      </c>
      <c r="H77" s="135">
        <v>24417584</v>
      </c>
      <c r="I77" s="135">
        <v>826000</v>
      </c>
      <c r="J77" s="135">
        <v>526500</v>
      </c>
      <c r="K77" s="135">
        <v>0</v>
      </c>
      <c r="L77" s="135">
        <v>537364618</v>
      </c>
      <c r="M77" s="135">
        <v>226384133</v>
      </c>
      <c r="N77" s="135">
        <v>7223</v>
      </c>
      <c r="O77" s="135">
        <v>616</v>
      </c>
      <c r="P77" s="135">
        <v>117041398</v>
      </c>
      <c r="Q77" s="135">
        <v>8365300</v>
      </c>
      <c r="R77" s="135">
        <v>68897981</v>
      </c>
      <c r="S77" s="135">
        <v>36235363</v>
      </c>
      <c r="T77" s="135">
        <v>7167395</v>
      </c>
      <c r="U77" s="135">
        <v>18450155</v>
      </c>
      <c r="V77" s="135">
        <v>117041398</v>
      </c>
      <c r="W77" s="135">
        <v>9728350</v>
      </c>
      <c r="X77" s="135">
        <v>68897981</v>
      </c>
      <c r="Y77" s="135">
        <v>36235363</v>
      </c>
      <c r="Z77" s="135">
        <v>10015465</v>
      </c>
      <c r="AA77" s="135">
        <v>18450155</v>
      </c>
      <c r="AB77" s="135">
        <v>-5686776</v>
      </c>
      <c r="AC77" s="135">
        <v>-1645274</v>
      </c>
      <c r="AD77" s="135">
        <v>1993</v>
      </c>
      <c r="AE77" s="135">
        <v>0</v>
      </c>
      <c r="AF77" s="135">
        <v>0</v>
      </c>
      <c r="AG77" s="135">
        <v>210655.4926</v>
      </c>
      <c r="AH77" s="135">
        <v>0</v>
      </c>
      <c r="AI77" s="135">
        <v>1173602.4590163934</v>
      </c>
      <c r="AJ77" s="139"/>
      <c r="AK77" s="82">
        <v>659671241</v>
      </c>
      <c r="AL77" s="82">
        <v>20311716</v>
      </c>
      <c r="AN77" s="135">
        <v>170683815</v>
      </c>
      <c r="AO77" s="135">
        <v>22457104</v>
      </c>
      <c r="AP77" s="135">
        <v>528098634</v>
      </c>
      <c r="AQ77" s="135">
        <v>133240697</v>
      </c>
      <c r="AR77" s="135">
        <v>184904932</v>
      </c>
      <c r="AS77" s="135">
        <v>61280189</v>
      </c>
      <c r="AT77" s="135">
        <f>5242419+124945810</f>
        <v>130188229</v>
      </c>
      <c r="AW77" s="135">
        <v>942908</v>
      </c>
      <c r="AX77" s="135">
        <v>116501</v>
      </c>
      <c r="AY77" s="135">
        <v>1151539</v>
      </c>
      <c r="AZ77" s="82">
        <v>50276102</v>
      </c>
      <c r="BA77" s="82">
        <v>25138051</v>
      </c>
      <c r="BB77" s="117">
        <v>0</v>
      </c>
      <c r="BC77" s="118">
        <v>2148552</v>
      </c>
      <c r="BD77" s="118">
        <v>4297104</v>
      </c>
      <c r="BE77" s="117">
        <v>57691429</v>
      </c>
      <c r="BF77" s="117">
        <v>57691429</v>
      </c>
      <c r="BG77" s="117">
        <v>213588107</v>
      </c>
      <c r="BH77" s="117">
        <v>208800533</v>
      </c>
      <c r="BI77" s="117">
        <v>0</v>
      </c>
      <c r="BJ77" s="117">
        <v>0</v>
      </c>
      <c r="BK77" s="138"/>
      <c r="BL77" s="86">
        <v>6960122390.4590168</v>
      </c>
      <c r="BM77" s="86">
        <v>5986360868.4590168</v>
      </c>
      <c r="BN77" s="87">
        <v>3304114</v>
      </c>
      <c r="BP77" s="86">
        <v>5658805650</v>
      </c>
      <c r="BQ77" s="86">
        <v>659671241</v>
      </c>
      <c r="BR77" s="86">
        <v>20311716</v>
      </c>
      <c r="BS77" s="86">
        <v>387661805</v>
      </c>
      <c r="BT77" s="86">
        <v>6726450412</v>
      </c>
    </row>
    <row r="78" spans="1:72" x14ac:dyDescent="0.25">
      <c r="A78" s="91" t="s">
        <v>132</v>
      </c>
      <c r="B78" s="135">
        <v>109568000</v>
      </c>
      <c r="C78" s="135">
        <v>47621965</v>
      </c>
      <c r="D78" s="135">
        <v>53600466</v>
      </c>
      <c r="E78" s="135">
        <v>0</v>
      </c>
      <c r="F78" s="135">
        <v>24466500</v>
      </c>
      <c r="G78" s="135">
        <v>24926410</v>
      </c>
      <c r="H78" s="135">
        <v>10908421</v>
      </c>
      <c r="I78" s="135">
        <v>7153440</v>
      </c>
      <c r="J78" s="135">
        <v>0</v>
      </c>
      <c r="L78" s="135">
        <v>82865983</v>
      </c>
      <c r="M78" s="135">
        <v>38629050</v>
      </c>
      <c r="N78" s="135">
        <v>1151</v>
      </c>
      <c r="O78" s="135">
        <v>1190</v>
      </c>
      <c r="P78" s="135">
        <v>1355000</v>
      </c>
      <c r="Q78" s="135">
        <v>81600</v>
      </c>
      <c r="R78" s="135">
        <v>0</v>
      </c>
      <c r="S78" s="135">
        <v>1912700</v>
      </c>
      <c r="T78" s="135">
        <v>161400</v>
      </c>
      <c r="U78" s="135">
        <v>97700</v>
      </c>
      <c r="V78" s="135">
        <v>1355000</v>
      </c>
      <c r="W78" s="135">
        <v>104500</v>
      </c>
      <c r="X78" s="135">
        <v>0</v>
      </c>
      <c r="Y78" s="135">
        <v>1912700</v>
      </c>
      <c r="Z78" s="135">
        <v>350200</v>
      </c>
      <c r="AA78" s="135">
        <v>97700</v>
      </c>
      <c r="AB78" s="135">
        <v>-759300</v>
      </c>
      <c r="AC78" s="135">
        <v>0</v>
      </c>
      <c r="AD78" s="135">
        <v>146378</v>
      </c>
      <c r="AE78" s="135">
        <v>0</v>
      </c>
      <c r="AF78" s="135">
        <v>0</v>
      </c>
      <c r="AG78" s="135">
        <v>2451596</v>
      </c>
      <c r="AH78" s="135">
        <v>5107782.7845081966</v>
      </c>
      <c r="AI78" s="135">
        <v>1920819.6721311477</v>
      </c>
      <c r="AJ78" s="139">
        <v>25000</v>
      </c>
      <c r="AK78" s="82">
        <v>82719676</v>
      </c>
      <c r="AL78" s="82">
        <v>2185323</v>
      </c>
      <c r="AN78" s="135">
        <v>13973043</v>
      </c>
      <c r="AO78" s="135">
        <v>106699</v>
      </c>
      <c r="AP78" s="135">
        <v>1824055</v>
      </c>
      <c r="AQ78" s="135">
        <v>9737378</v>
      </c>
      <c r="AR78" s="135">
        <v>824966</v>
      </c>
      <c r="AT78" s="135">
        <v>126484</v>
      </c>
      <c r="AZ78" s="82">
        <v>6304387.1100000003</v>
      </c>
      <c r="BA78" s="82">
        <v>3152193.56</v>
      </c>
      <c r="BB78" s="117">
        <v>0</v>
      </c>
      <c r="BC78" s="118">
        <v>0</v>
      </c>
      <c r="BD78" s="118">
        <v>0</v>
      </c>
      <c r="BE78" s="117">
        <v>726692</v>
      </c>
      <c r="BF78" s="117">
        <v>726692</v>
      </c>
      <c r="BG78" s="117">
        <v>42302479</v>
      </c>
      <c r="BH78" s="117">
        <v>42299598</v>
      </c>
      <c r="BI78" s="117">
        <v>0</v>
      </c>
      <c r="BJ78" s="117">
        <v>0</v>
      </c>
      <c r="BK78" s="138"/>
      <c r="BL78" s="86">
        <v>372744636.01663935</v>
      </c>
      <c r="BM78" s="86">
        <v>241661153.45663935</v>
      </c>
      <c r="BN78" s="87">
        <v>347414</v>
      </c>
      <c r="BP78" s="86">
        <v>210790431</v>
      </c>
      <c r="BQ78" s="86">
        <v>82719676</v>
      </c>
      <c r="BR78" s="86">
        <v>2185323</v>
      </c>
      <c r="BS78" s="86">
        <v>23817120</v>
      </c>
      <c r="BT78" s="86">
        <v>319512550</v>
      </c>
    </row>
    <row r="79" spans="1:72" x14ac:dyDescent="0.25">
      <c r="A79" s="91" t="s">
        <v>133</v>
      </c>
      <c r="B79" s="135">
        <v>571824456</v>
      </c>
      <c r="C79" s="135">
        <v>213837781</v>
      </c>
      <c r="D79" s="135">
        <v>336542299</v>
      </c>
      <c r="E79" s="135">
        <v>40200000</v>
      </c>
      <c r="F79" s="135">
        <v>56246755</v>
      </c>
      <c r="G79" s="135">
        <v>12776620</v>
      </c>
      <c r="H79" s="135">
        <v>16772500</v>
      </c>
      <c r="I79" s="135">
        <v>2296300</v>
      </c>
      <c r="J79" s="135">
        <v>162000</v>
      </c>
      <c r="K79" s="135">
        <v>0</v>
      </c>
      <c r="L79" s="135">
        <v>411093393</v>
      </c>
      <c r="M79" s="135">
        <v>142238400</v>
      </c>
      <c r="N79" s="135">
        <v>1859</v>
      </c>
      <c r="O79" s="135">
        <v>411</v>
      </c>
      <c r="P79" s="135">
        <v>9514700</v>
      </c>
      <c r="Q79" s="135">
        <v>2333800</v>
      </c>
      <c r="R79" s="135">
        <v>12274900</v>
      </c>
      <c r="S79" s="135">
        <v>2039290</v>
      </c>
      <c r="T79" s="135">
        <v>2226000</v>
      </c>
      <c r="U79" s="135">
        <v>517700</v>
      </c>
      <c r="V79" s="135">
        <v>9514700</v>
      </c>
      <c r="W79" s="135">
        <v>3228499</v>
      </c>
      <c r="X79" s="135">
        <v>12274900</v>
      </c>
      <c r="Y79" s="135">
        <v>2039290</v>
      </c>
      <c r="Z79" s="135">
        <v>3607959</v>
      </c>
      <c r="AA79" s="135">
        <v>517700</v>
      </c>
      <c r="AB79" s="135">
        <v>-754300</v>
      </c>
      <c r="AC79" s="135">
        <v>-265388</v>
      </c>
      <c r="AD79" s="135">
        <v>53052</v>
      </c>
      <c r="AE79" s="135">
        <v>0</v>
      </c>
      <c r="AF79" s="135">
        <v>0</v>
      </c>
      <c r="AG79" s="135">
        <v>236623</v>
      </c>
      <c r="AH79" s="135">
        <v>0</v>
      </c>
      <c r="AI79" s="135">
        <v>244235.65573770495</v>
      </c>
      <c r="AJ79" s="139"/>
      <c r="AK79" s="82">
        <v>142064954</v>
      </c>
      <c r="AL79" s="82">
        <v>3719716</v>
      </c>
      <c r="AN79" s="135">
        <v>37955986</v>
      </c>
      <c r="AO79" s="135">
        <v>17988299</v>
      </c>
      <c r="AP79" s="135">
        <v>349059754</v>
      </c>
      <c r="AQ79" s="135">
        <v>36170580</v>
      </c>
      <c r="AR79" s="135">
        <v>94380352</v>
      </c>
      <c r="AS79" s="135">
        <v>15509399</v>
      </c>
      <c r="AT79" s="135">
        <v>12120191</v>
      </c>
      <c r="AW79" s="135">
        <v>22747</v>
      </c>
      <c r="AX79" s="135">
        <v>219701</v>
      </c>
      <c r="AY79" s="135">
        <v>21000</v>
      </c>
      <c r="AZ79" s="82">
        <v>10827320.75</v>
      </c>
      <c r="BA79" s="82">
        <v>5413660.3799999999</v>
      </c>
      <c r="BB79" s="117">
        <v>0</v>
      </c>
      <c r="BC79" s="118">
        <v>0</v>
      </c>
      <c r="BD79" s="118">
        <v>0</v>
      </c>
      <c r="BE79" s="117">
        <v>46923900</v>
      </c>
      <c r="BF79" s="117">
        <v>46923900</v>
      </c>
      <c r="BG79" s="117">
        <v>49545859</v>
      </c>
      <c r="BH79" s="117">
        <v>49276748</v>
      </c>
      <c r="BI79" s="117">
        <v>238466622</v>
      </c>
      <c r="BJ79" s="117">
        <v>0</v>
      </c>
      <c r="BK79" s="138"/>
      <c r="BL79" s="86">
        <v>1700429237.0357378</v>
      </c>
      <c r="BM79" s="86">
        <v>1214563636.6557376</v>
      </c>
      <c r="BN79" s="87">
        <v>1115000</v>
      </c>
      <c r="BP79" s="86">
        <v>1122204536</v>
      </c>
      <c r="BQ79" s="86">
        <v>142064954</v>
      </c>
      <c r="BR79" s="86">
        <v>3719716</v>
      </c>
      <c r="BS79" s="86">
        <v>107624264</v>
      </c>
      <c r="BT79" s="86">
        <v>1375613470</v>
      </c>
    </row>
    <row r="80" spans="1:72" x14ac:dyDescent="0.25">
      <c r="A80" s="91" t="s">
        <v>134</v>
      </c>
      <c r="B80" s="135">
        <v>1442614619</v>
      </c>
      <c r="C80" s="135">
        <v>229412198</v>
      </c>
      <c r="D80" s="135">
        <v>462326935</v>
      </c>
      <c r="E80" s="135">
        <v>0</v>
      </c>
      <c r="F80" s="135">
        <v>132633033</v>
      </c>
      <c r="G80" s="135">
        <v>15828640</v>
      </c>
      <c r="H80" s="135">
        <v>23665079</v>
      </c>
      <c r="I80" s="135">
        <v>1565430</v>
      </c>
      <c r="J80" s="135">
        <v>493500</v>
      </c>
      <c r="K80" s="135">
        <v>0</v>
      </c>
      <c r="L80" s="135">
        <v>248563758</v>
      </c>
      <c r="M80" s="135">
        <v>165881591</v>
      </c>
      <c r="N80" s="135">
        <v>4112</v>
      </c>
      <c r="O80" s="135">
        <v>495</v>
      </c>
      <c r="P80" s="135">
        <v>29410931</v>
      </c>
      <c r="Q80" s="135">
        <v>7618794</v>
      </c>
      <c r="R80" s="135">
        <v>6430900</v>
      </c>
      <c r="S80" s="135">
        <v>16608787</v>
      </c>
      <c r="T80" s="135">
        <v>2288087</v>
      </c>
      <c r="U80" s="135">
        <v>2467963</v>
      </c>
      <c r="V80" s="135">
        <v>29410931</v>
      </c>
      <c r="W80" s="135">
        <v>8419900</v>
      </c>
      <c r="X80" s="135">
        <v>6430900</v>
      </c>
      <c r="Y80" s="135">
        <v>16608787</v>
      </c>
      <c r="Z80" s="135">
        <v>5911414</v>
      </c>
      <c r="AA80" s="135">
        <v>2467963</v>
      </c>
      <c r="AB80" s="135">
        <v>-11124528</v>
      </c>
      <c r="AC80" s="135">
        <v>-343310</v>
      </c>
      <c r="AD80" s="135">
        <v>0</v>
      </c>
      <c r="AE80" s="135">
        <v>0</v>
      </c>
      <c r="AF80" s="135">
        <v>0</v>
      </c>
      <c r="AG80" s="135">
        <v>130336.09</v>
      </c>
      <c r="AH80" s="135">
        <v>0</v>
      </c>
      <c r="AI80" s="135">
        <v>22108.606557377054</v>
      </c>
      <c r="AJ80" s="139"/>
      <c r="AK80" s="82">
        <v>306412465</v>
      </c>
      <c r="AL80" s="82">
        <v>38352148</v>
      </c>
      <c r="AM80" s="135">
        <v>3460610</v>
      </c>
      <c r="AN80" s="135">
        <v>118076695</v>
      </c>
      <c r="AO80" s="135">
        <v>47070907</v>
      </c>
      <c r="AP80" s="135">
        <v>1062130667</v>
      </c>
      <c r="AQ80" s="135">
        <v>69112558</v>
      </c>
      <c r="AR80" s="135">
        <v>121454995</v>
      </c>
      <c r="AS80" s="135">
        <v>88556583</v>
      </c>
      <c r="AT80" s="135">
        <v>5806634</v>
      </c>
      <c r="AV80" s="135">
        <v>439460</v>
      </c>
      <c r="AX80" s="135">
        <v>1294724</v>
      </c>
      <c r="AY80" s="135">
        <v>155500</v>
      </c>
      <c r="AZ80" s="82">
        <v>23352881.539999999</v>
      </c>
      <c r="BA80" s="82">
        <v>11676440.77</v>
      </c>
      <c r="BB80" s="117">
        <v>19252628.175516579</v>
      </c>
      <c r="BC80" s="118">
        <v>1298768</v>
      </c>
      <c r="BD80" s="118">
        <v>2597536</v>
      </c>
      <c r="BE80" s="117">
        <v>35869326</v>
      </c>
      <c r="BF80" s="117">
        <v>29601054</v>
      </c>
      <c r="BG80" s="117">
        <v>67225623</v>
      </c>
      <c r="BH80" s="117">
        <v>65625718</v>
      </c>
      <c r="BI80" s="117">
        <v>0</v>
      </c>
      <c r="BJ80" s="117">
        <v>12145971</v>
      </c>
      <c r="BK80" s="138"/>
      <c r="BL80" s="86">
        <v>2833748585.3765574</v>
      </c>
      <c r="BM80" s="86">
        <v>2368636020.6065574</v>
      </c>
      <c r="BN80" s="87">
        <v>2145973</v>
      </c>
      <c r="BP80" s="86">
        <v>2134353752</v>
      </c>
      <c r="BQ80" s="86">
        <v>306412465</v>
      </c>
      <c r="BR80" s="86">
        <v>38352148</v>
      </c>
      <c r="BS80" s="86">
        <v>322816743</v>
      </c>
      <c r="BT80" s="86">
        <v>2801935108</v>
      </c>
    </row>
    <row r="81" spans="1:72" x14ac:dyDescent="0.25">
      <c r="A81" s="91" t="s">
        <v>135</v>
      </c>
      <c r="B81" s="135">
        <v>97793760</v>
      </c>
      <c r="C81" s="135">
        <v>30085127</v>
      </c>
      <c r="D81" s="135">
        <v>78207721</v>
      </c>
      <c r="E81" s="135">
        <v>0</v>
      </c>
      <c r="F81" s="135">
        <v>28936535</v>
      </c>
      <c r="G81" s="135">
        <v>15572195</v>
      </c>
      <c r="H81" s="135">
        <v>9295550</v>
      </c>
      <c r="I81" s="135">
        <v>2786600</v>
      </c>
      <c r="J81" s="135">
        <v>81000</v>
      </c>
      <c r="K81" s="135">
        <v>0</v>
      </c>
      <c r="L81" s="135">
        <v>16498331</v>
      </c>
      <c r="M81" s="135">
        <v>28316675</v>
      </c>
      <c r="N81" s="135">
        <v>1212</v>
      </c>
      <c r="O81" s="135">
        <v>639</v>
      </c>
      <c r="P81" s="135">
        <v>906000</v>
      </c>
      <c r="Q81" s="135">
        <v>35750</v>
      </c>
      <c r="R81" s="135">
        <v>10000</v>
      </c>
      <c r="S81" s="135">
        <v>833095</v>
      </c>
      <c r="T81" s="135">
        <v>172600</v>
      </c>
      <c r="U81" s="135">
        <v>43000</v>
      </c>
      <c r="V81" s="135">
        <v>906000</v>
      </c>
      <c r="W81" s="135">
        <v>36500</v>
      </c>
      <c r="X81" s="135">
        <v>10000</v>
      </c>
      <c r="Y81" s="135">
        <v>833095</v>
      </c>
      <c r="Z81" s="135">
        <v>169350</v>
      </c>
      <c r="AA81" s="135">
        <v>43000</v>
      </c>
      <c r="AB81" s="135">
        <v>-1801775</v>
      </c>
      <c r="AD81" s="135">
        <v>1</v>
      </c>
      <c r="AG81" s="135">
        <v>60</v>
      </c>
      <c r="AH81" s="135">
        <v>484122.94934426225</v>
      </c>
      <c r="AI81" s="135">
        <v>19601581.967213117</v>
      </c>
      <c r="AJ81" s="139">
        <v>8022270.4918032791</v>
      </c>
      <c r="AK81" s="82">
        <v>76623504</v>
      </c>
      <c r="AL81" s="82">
        <v>3155910</v>
      </c>
      <c r="AN81" s="135">
        <v>7742552</v>
      </c>
      <c r="AO81" s="135">
        <v>86550</v>
      </c>
      <c r="AP81" s="135">
        <v>27158250</v>
      </c>
      <c r="AQ81" s="135">
        <v>5560091</v>
      </c>
      <c r="AR81" s="135">
        <v>2385745</v>
      </c>
      <c r="AT81" s="135">
        <v>168732</v>
      </c>
      <c r="AY81" s="135">
        <v>4157358</v>
      </c>
      <c r="AZ81" s="82">
        <v>5839774.21</v>
      </c>
      <c r="BA81" s="82">
        <v>2919887.11</v>
      </c>
      <c r="BB81" s="117">
        <v>0</v>
      </c>
      <c r="BC81" s="118">
        <v>4424133</v>
      </c>
      <c r="BD81" s="118">
        <v>8848266</v>
      </c>
      <c r="BE81" s="117">
        <v>34718856</v>
      </c>
      <c r="BF81" s="117">
        <v>34718856</v>
      </c>
      <c r="BG81" s="117">
        <v>50471150</v>
      </c>
      <c r="BH81" s="117">
        <v>44737665</v>
      </c>
      <c r="BI81" s="117">
        <v>0</v>
      </c>
      <c r="BJ81" s="117">
        <v>0</v>
      </c>
      <c r="BK81" s="138"/>
      <c r="BL81" s="86">
        <v>414163731.51836067</v>
      </c>
      <c r="BM81" s="86">
        <v>247583776.40836066</v>
      </c>
      <c r="BN81" s="87">
        <v>1288730</v>
      </c>
      <c r="BP81" s="86">
        <v>206086608</v>
      </c>
      <c r="BQ81" s="86">
        <v>76623504</v>
      </c>
      <c r="BR81" s="86">
        <v>3155910</v>
      </c>
      <c r="BS81" s="86">
        <v>13389193</v>
      </c>
      <c r="BT81" s="86">
        <v>299255215</v>
      </c>
    </row>
    <row r="82" spans="1:72" x14ac:dyDescent="0.25">
      <c r="A82" s="91" t="s">
        <v>136</v>
      </c>
      <c r="B82" s="135">
        <v>428806786</v>
      </c>
      <c r="C82" s="135">
        <v>121782226</v>
      </c>
      <c r="D82" s="135">
        <v>241585895</v>
      </c>
      <c r="E82" s="135">
        <v>32755207</v>
      </c>
      <c r="F82" s="135">
        <v>53958446</v>
      </c>
      <c r="G82" s="135">
        <v>8609126</v>
      </c>
      <c r="H82" s="135">
        <v>8436914</v>
      </c>
      <c r="I82" s="135">
        <v>1134000</v>
      </c>
      <c r="J82" s="135">
        <v>121500</v>
      </c>
      <c r="K82" s="135">
        <v>0</v>
      </c>
      <c r="L82" s="135">
        <v>289602025</v>
      </c>
      <c r="M82" s="135">
        <v>75042254</v>
      </c>
      <c r="P82" s="135">
        <v>1519050</v>
      </c>
      <c r="Q82" s="135">
        <v>326683</v>
      </c>
      <c r="R82" s="135">
        <v>0</v>
      </c>
      <c r="S82" s="135">
        <v>1745637</v>
      </c>
      <c r="T82" s="135">
        <v>195626</v>
      </c>
      <c r="U82" s="135">
        <v>273515</v>
      </c>
      <c r="V82" s="135">
        <v>1519050</v>
      </c>
      <c r="W82" s="135">
        <v>326683</v>
      </c>
      <c r="X82" s="135">
        <v>0</v>
      </c>
      <c r="Y82" s="135">
        <v>1745637</v>
      </c>
      <c r="Z82" s="135">
        <v>522423</v>
      </c>
      <c r="AA82" s="135">
        <v>273515</v>
      </c>
      <c r="AB82" s="135">
        <v>-2090137</v>
      </c>
      <c r="AC82" s="135">
        <v>1381244</v>
      </c>
      <c r="AH82" s="135">
        <v>0</v>
      </c>
      <c r="AI82" s="135">
        <v>1803918.0327868853</v>
      </c>
      <c r="AJ82" s="139"/>
      <c r="AK82" s="82">
        <v>127578620</v>
      </c>
      <c r="AL82" s="82">
        <v>2903038</v>
      </c>
      <c r="AN82" s="135">
        <v>61417460</v>
      </c>
      <c r="AO82" s="135">
        <v>17213415</v>
      </c>
      <c r="AP82" s="135">
        <v>309096444</v>
      </c>
      <c r="AQ82" s="135">
        <v>41528938</v>
      </c>
      <c r="AR82" s="135">
        <v>47127413</v>
      </c>
      <c r="AS82" s="135">
        <v>27184766</v>
      </c>
      <c r="AV82" s="135">
        <v>57260</v>
      </c>
      <c r="AW82" s="135">
        <v>8790429</v>
      </c>
      <c r="AX82" s="135">
        <v>719362</v>
      </c>
      <c r="AY82" s="135">
        <v>631000</v>
      </c>
      <c r="AZ82" s="82">
        <v>9723261.0899999999</v>
      </c>
      <c r="BA82" s="82">
        <v>4861630.55</v>
      </c>
      <c r="BB82" s="117">
        <v>21706929.217721242</v>
      </c>
      <c r="BC82" s="118">
        <v>3775114</v>
      </c>
      <c r="BD82" s="118">
        <v>7550229</v>
      </c>
      <c r="BE82" s="117">
        <v>304955865</v>
      </c>
      <c r="BF82" s="117">
        <v>304955865</v>
      </c>
      <c r="BG82" s="117">
        <v>95778098</v>
      </c>
      <c r="BH82" s="117">
        <v>89916981</v>
      </c>
      <c r="BI82" s="117">
        <v>36550</v>
      </c>
      <c r="BJ82" s="117">
        <v>0</v>
      </c>
      <c r="BK82" s="138"/>
      <c r="BL82" s="86">
        <v>1448166436.5827868</v>
      </c>
      <c r="BM82" s="86">
        <v>914138638.03278685</v>
      </c>
      <c r="BN82" s="87">
        <v>550424</v>
      </c>
      <c r="BP82" s="86">
        <v>792174907</v>
      </c>
      <c r="BQ82" s="86">
        <v>127578620</v>
      </c>
      <c r="BR82" s="86">
        <v>2903038</v>
      </c>
      <c r="BS82" s="86">
        <v>147344579</v>
      </c>
      <c r="BT82" s="86">
        <v>1070001144</v>
      </c>
    </row>
    <row r="83" spans="1:72" x14ac:dyDescent="0.25">
      <c r="A83" s="91" t="s">
        <v>137</v>
      </c>
      <c r="B83" s="135">
        <v>1040209932</v>
      </c>
      <c r="C83" s="135">
        <v>204480102</v>
      </c>
      <c r="D83" s="135">
        <v>148860700</v>
      </c>
      <c r="E83" s="135">
        <v>0</v>
      </c>
      <c r="F83" s="135">
        <v>82393568</v>
      </c>
      <c r="G83" s="135">
        <v>15718270</v>
      </c>
      <c r="H83" s="135">
        <v>18495729</v>
      </c>
      <c r="I83" s="135">
        <v>1262599</v>
      </c>
      <c r="J83" s="135">
        <v>81000</v>
      </c>
      <c r="K83" s="135">
        <v>0</v>
      </c>
      <c r="L83" s="135">
        <v>455556170</v>
      </c>
      <c r="M83" s="135">
        <v>152878300</v>
      </c>
      <c r="N83" s="135">
        <v>2591</v>
      </c>
      <c r="O83" s="135">
        <v>450</v>
      </c>
      <c r="P83" s="135">
        <v>26170000</v>
      </c>
      <c r="Q83" s="135">
        <v>7853500</v>
      </c>
      <c r="R83" s="135">
        <v>1163500</v>
      </c>
      <c r="S83" s="135">
        <v>1647700</v>
      </c>
      <c r="T83" s="135">
        <v>332500</v>
      </c>
      <c r="U83" s="135">
        <v>5536000</v>
      </c>
      <c r="V83" s="135">
        <v>26170000</v>
      </c>
      <c r="W83" s="135">
        <v>7853500</v>
      </c>
      <c r="X83" s="135">
        <v>1163500</v>
      </c>
      <c r="Y83" s="135">
        <v>1647700</v>
      </c>
      <c r="Z83" s="135">
        <v>332500</v>
      </c>
      <c r="AA83" s="135">
        <v>5536000</v>
      </c>
      <c r="AB83" s="135">
        <v>-3516050</v>
      </c>
      <c r="AC83" s="135">
        <v>0</v>
      </c>
      <c r="AD83" s="135">
        <v>56552</v>
      </c>
      <c r="AE83" s="135">
        <v>0</v>
      </c>
      <c r="AF83" s="135">
        <v>0</v>
      </c>
      <c r="AG83" s="135">
        <v>137657</v>
      </c>
      <c r="AH83" s="135">
        <v>0</v>
      </c>
      <c r="AI83" s="135">
        <v>16884967.295081966</v>
      </c>
      <c r="AJ83" s="139"/>
      <c r="AK83" s="82">
        <v>227327245</v>
      </c>
      <c r="AL83" s="82">
        <v>11002160</v>
      </c>
      <c r="AN83" s="135">
        <v>49188851</v>
      </c>
      <c r="AO83" s="135">
        <v>3575392</v>
      </c>
      <c r="AP83" s="135">
        <v>64277825</v>
      </c>
      <c r="AQ83" s="135">
        <v>21000534</v>
      </c>
      <c r="AR83" s="135">
        <v>24061422</v>
      </c>
      <c r="AS83" s="135">
        <v>19404763</v>
      </c>
      <c r="AT83" s="135">
        <v>1036692</v>
      </c>
      <c r="AW83" s="135">
        <v>3885788</v>
      </c>
      <c r="AX83" s="135">
        <v>12050</v>
      </c>
      <c r="AZ83" s="82">
        <v>17325490.41</v>
      </c>
      <c r="BA83" s="82">
        <v>8662745.2100000009</v>
      </c>
      <c r="BB83" s="117">
        <v>62175626.402518138</v>
      </c>
      <c r="BC83" s="118">
        <v>2008381</v>
      </c>
      <c r="BD83" s="118">
        <v>4016763</v>
      </c>
      <c r="BE83" s="117">
        <v>34479358</v>
      </c>
      <c r="BF83" s="117">
        <v>33994742</v>
      </c>
      <c r="BG83" s="117">
        <v>78873678</v>
      </c>
      <c r="BH83" s="117">
        <v>76655864</v>
      </c>
      <c r="BI83" s="117">
        <v>0</v>
      </c>
      <c r="BJ83" s="117">
        <v>0</v>
      </c>
      <c r="BK83" s="138"/>
      <c r="BL83" s="86">
        <v>1843851615.5050819</v>
      </c>
      <c r="BM83" s="86">
        <v>1484200478.2950819</v>
      </c>
      <c r="BN83" s="87">
        <v>4170300</v>
      </c>
      <c r="BP83" s="86">
        <v>1393550734</v>
      </c>
      <c r="BQ83" s="86">
        <v>227327245</v>
      </c>
      <c r="BR83" s="86">
        <v>11002160</v>
      </c>
      <c r="BS83" s="86">
        <v>93169540</v>
      </c>
      <c r="BT83" s="86">
        <v>1725049679</v>
      </c>
    </row>
    <row r="84" spans="1:72" x14ac:dyDescent="0.25">
      <c r="A84" s="91" t="s">
        <v>138</v>
      </c>
      <c r="B84" s="135">
        <v>112719238</v>
      </c>
      <c r="C84" s="135">
        <v>36518822</v>
      </c>
      <c r="D84" s="135">
        <v>13009030</v>
      </c>
      <c r="E84" s="135">
        <v>0</v>
      </c>
      <c r="F84" s="135">
        <v>14541050</v>
      </c>
      <c r="G84" s="135">
        <v>13348431</v>
      </c>
      <c r="H84" s="135">
        <v>5859275</v>
      </c>
      <c r="I84" s="135">
        <v>2153890</v>
      </c>
      <c r="J84" s="135">
        <v>0</v>
      </c>
      <c r="K84" s="135">
        <v>0</v>
      </c>
      <c r="L84" s="135">
        <v>39601067</v>
      </c>
      <c r="M84" s="135">
        <v>25361619</v>
      </c>
      <c r="N84" s="135">
        <v>566</v>
      </c>
      <c r="O84" s="135">
        <v>437</v>
      </c>
      <c r="P84" s="135">
        <v>5966580</v>
      </c>
      <c r="Q84" s="135">
        <v>0</v>
      </c>
      <c r="R84" s="135">
        <v>1736000</v>
      </c>
      <c r="S84" s="135">
        <v>1814468</v>
      </c>
      <c r="T84" s="135">
        <v>0</v>
      </c>
      <c r="U84" s="135">
        <v>90000</v>
      </c>
      <c r="V84" s="135">
        <v>5966580</v>
      </c>
      <c r="W84" s="135">
        <v>0</v>
      </c>
      <c r="X84" s="135">
        <v>1736000</v>
      </c>
      <c r="Y84" s="135">
        <v>1814468</v>
      </c>
      <c r="Z84" s="135">
        <v>0</v>
      </c>
      <c r="AA84" s="135">
        <v>90000</v>
      </c>
      <c r="AB84" s="135">
        <v>-1665963</v>
      </c>
      <c r="AC84" s="135">
        <v>-5894</v>
      </c>
      <c r="AH84" s="135">
        <v>0</v>
      </c>
      <c r="AI84" s="135">
        <v>142334.01639344264</v>
      </c>
      <c r="AJ84" s="139"/>
      <c r="AK84" s="82">
        <v>38664891</v>
      </c>
      <c r="AL84" s="82">
        <v>1535993</v>
      </c>
      <c r="AN84" s="135">
        <v>2662890</v>
      </c>
      <c r="AO84" s="135">
        <v>19481</v>
      </c>
      <c r="AP84" s="135">
        <v>7540078</v>
      </c>
      <c r="AQ84" s="135">
        <v>3360713</v>
      </c>
      <c r="AR84" s="135">
        <v>2809338</v>
      </c>
      <c r="AT84" s="135">
        <v>251169</v>
      </c>
      <c r="AZ84" s="82">
        <v>2946801.2</v>
      </c>
      <c r="BA84" s="82">
        <v>1473400.6</v>
      </c>
      <c r="BB84" s="117">
        <v>0</v>
      </c>
      <c r="BC84" s="118">
        <v>0</v>
      </c>
      <c r="BD84" s="118">
        <v>0</v>
      </c>
      <c r="BE84" s="117">
        <v>4784478</v>
      </c>
      <c r="BF84" s="117">
        <v>4784478</v>
      </c>
      <c r="BG84" s="117">
        <v>48209956</v>
      </c>
      <c r="BH84" s="117">
        <v>48198431</v>
      </c>
      <c r="BI84" s="117">
        <v>0</v>
      </c>
      <c r="BJ84" s="117">
        <v>0</v>
      </c>
      <c r="BK84" s="138"/>
      <c r="BL84" s="86">
        <v>263089701.61639345</v>
      </c>
      <c r="BM84" s="86">
        <v>168432508.01639345</v>
      </c>
      <c r="BN84" s="87">
        <v>210092</v>
      </c>
      <c r="BP84" s="86">
        <v>162247090</v>
      </c>
      <c r="BQ84" s="86">
        <v>38664891</v>
      </c>
      <c r="BR84" s="86">
        <v>1535993</v>
      </c>
      <c r="BS84" s="86">
        <v>6043084</v>
      </c>
      <c r="BT84" s="86">
        <v>208491058</v>
      </c>
    </row>
    <row r="85" spans="1:72" x14ac:dyDescent="0.25">
      <c r="A85" s="91" t="s">
        <v>139</v>
      </c>
      <c r="B85" s="135">
        <v>881003202</v>
      </c>
      <c r="C85" s="135">
        <v>273058073</v>
      </c>
      <c r="D85" s="135">
        <v>236742451</v>
      </c>
      <c r="E85" s="135">
        <v>0</v>
      </c>
      <c r="F85" s="135">
        <v>74583422</v>
      </c>
      <c r="G85" s="135">
        <v>12123522</v>
      </c>
      <c r="H85" s="135">
        <v>21286723</v>
      </c>
      <c r="I85" s="135">
        <v>2903766</v>
      </c>
      <c r="J85" s="135">
        <v>202500</v>
      </c>
      <c r="K85" s="135">
        <v>40500</v>
      </c>
      <c r="L85" s="135">
        <v>339233956</v>
      </c>
      <c r="M85" s="135">
        <v>210387991</v>
      </c>
      <c r="N85" s="135">
        <v>2408</v>
      </c>
      <c r="O85" s="135">
        <v>383</v>
      </c>
      <c r="P85" s="135">
        <v>12366794</v>
      </c>
      <c r="Q85" s="135">
        <v>5539678</v>
      </c>
      <c r="R85" s="135">
        <v>2031738</v>
      </c>
      <c r="S85" s="135">
        <v>8138672</v>
      </c>
      <c r="T85" s="135">
        <v>593566</v>
      </c>
      <c r="U85" s="135">
        <v>1679064</v>
      </c>
      <c r="V85" s="135">
        <v>12366794</v>
      </c>
      <c r="W85" s="135">
        <v>5683593</v>
      </c>
      <c r="X85" s="135">
        <v>2031738</v>
      </c>
      <c r="Y85" s="135">
        <v>8138672</v>
      </c>
      <c r="Z85" s="135">
        <v>1268358</v>
      </c>
      <c r="AA85" s="135">
        <v>1679064</v>
      </c>
      <c r="AB85" s="135">
        <v>-3031698</v>
      </c>
      <c r="AC85" s="135">
        <v>-16993</v>
      </c>
      <c r="AD85" s="135">
        <v>3645</v>
      </c>
      <c r="AE85" s="135">
        <v>0</v>
      </c>
      <c r="AF85" s="135">
        <v>0</v>
      </c>
      <c r="AG85" s="135">
        <v>136017</v>
      </c>
      <c r="AH85" s="135">
        <v>0</v>
      </c>
      <c r="AI85" s="135">
        <v>216961.06557377049</v>
      </c>
      <c r="AJ85" s="139"/>
      <c r="AK85" s="82">
        <v>180728468</v>
      </c>
      <c r="AL85" s="82">
        <v>12097355</v>
      </c>
      <c r="AM85" s="135">
        <v>231579</v>
      </c>
      <c r="AN85" s="135">
        <v>34964069</v>
      </c>
      <c r="AO85" s="135">
        <v>717632</v>
      </c>
      <c r="AP85" s="135">
        <v>460598868</v>
      </c>
      <c r="AQ85" s="135">
        <v>14548130</v>
      </c>
      <c r="AR85" s="135">
        <v>65892918</v>
      </c>
      <c r="AT85" s="135">
        <f>343115+227049833</f>
        <v>227392948</v>
      </c>
      <c r="AW85" s="135">
        <v>22076</v>
      </c>
      <c r="AX85" s="135">
        <v>174494</v>
      </c>
      <c r="AZ85" s="82">
        <v>13774017</v>
      </c>
      <c r="BA85" s="82">
        <v>6887008.5</v>
      </c>
      <c r="BB85" s="117">
        <v>0</v>
      </c>
      <c r="BC85" s="118">
        <v>2510659</v>
      </c>
      <c r="BD85" s="118">
        <v>5021318</v>
      </c>
      <c r="BE85" s="117">
        <v>68542620</v>
      </c>
      <c r="BF85" s="117">
        <v>68542620</v>
      </c>
      <c r="BG85" s="117">
        <v>82941531</v>
      </c>
      <c r="BH85" s="117">
        <v>78877926</v>
      </c>
      <c r="BI85" s="117">
        <v>0</v>
      </c>
      <c r="BJ85" s="117">
        <v>0</v>
      </c>
      <c r="BK85" s="138"/>
      <c r="BL85" s="86">
        <v>1790894554.5655737</v>
      </c>
      <c r="BM85" s="86">
        <v>1441250518.0655737</v>
      </c>
      <c r="BN85" s="87">
        <v>823913</v>
      </c>
      <c r="BP85" s="86">
        <v>1390803726</v>
      </c>
      <c r="BQ85" s="86">
        <v>180728468</v>
      </c>
      <c r="BR85" s="86">
        <v>12097355</v>
      </c>
      <c r="BS85" s="86">
        <v>50229831</v>
      </c>
      <c r="BT85" s="86">
        <v>1633859380</v>
      </c>
    </row>
    <row r="86" spans="1:72" x14ac:dyDescent="0.25">
      <c r="A86" s="91" t="s">
        <v>140</v>
      </c>
      <c r="B86" s="135">
        <v>130535148</v>
      </c>
      <c r="C86" s="135">
        <v>120905920</v>
      </c>
      <c r="D86" s="135">
        <v>51454886</v>
      </c>
      <c r="E86" s="135">
        <v>0</v>
      </c>
      <c r="F86" s="135">
        <v>24808800</v>
      </c>
      <c r="G86" s="135">
        <v>7213490</v>
      </c>
      <c r="H86" s="135">
        <v>16929898</v>
      </c>
      <c r="I86" s="135">
        <v>2235168</v>
      </c>
      <c r="J86" s="135">
        <v>118500</v>
      </c>
      <c r="K86" s="135">
        <v>0</v>
      </c>
      <c r="L86" s="135">
        <v>223685051</v>
      </c>
      <c r="M86" s="135">
        <v>81453030</v>
      </c>
      <c r="N86" s="135">
        <v>1147</v>
      </c>
      <c r="O86" s="135">
        <v>305</v>
      </c>
      <c r="P86" s="135">
        <v>2302750</v>
      </c>
      <c r="Q86" s="135">
        <v>1670717</v>
      </c>
      <c r="R86" s="135">
        <v>1240500</v>
      </c>
      <c r="S86" s="135">
        <v>631432</v>
      </c>
      <c r="T86" s="135">
        <v>338862</v>
      </c>
      <c r="U86" s="135">
        <v>409000</v>
      </c>
      <c r="V86" s="135">
        <v>2302750</v>
      </c>
      <c r="W86" s="135">
        <v>1819000</v>
      </c>
      <c r="X86" s="135">
        <v>1240500</v>
      </c>
      <c r="Y86" s="135">
        <v>631432</v>
      </c>
      <c r="Z86" s="135">
        <v>883140</v>
      </c>
      <c r="AA86" s="135">
        <v>409000</v>
      </c>
      <c r="AB86" s="135">
        <v>-357426</v>
      </c>
      <c r="AC86" s="135">
        <v>-30546</v>
      </c>
      <c r="AD86" s="135">
        <v>72683</v>
      </c>
      <c r="AE86" s="135">
        <v>0</v>
      </c>
      <c r="AF86" s="135">
        <v>0</v>
      </c>
      <c r="AG86" s="135">
        <v>112279</v>
      </c>
      <c r="AH86" s="135">
        <v>330655.73729508196</v>
      </c>
      <c r="AI86" s="135">
        <v>0</v>
      </c>
      <c r="AJ86" s="139"/>
      <c r="AK86" s="82">
        <v>64431926</v>
      </c>
      <c r="AL86" s="82">
        <v>1827030</v>
      </c>
      <c r="AN86" s="135">
        <v>6391608</v>
      </c>
      <c r="AO86" s="135">
        <v>2084015</v>
      </c>
      <c r="AP86" s="135">
        <v>73853055</v>
      </c>
      <c r="AQ86" s="135">
        <v>15560606</v>
      </c>
      <c r="AR86" s="135">
        <v>40586962</v>
      </c>
      <c r="AS86" s="135">
        <v>3504177</v>
      </c>
      <c r="AT86" s="135">
        <v>2231388</v>
      </c>
      <c r="AZ86" s="82">
        <v>4910606.8</v>
      </c>
      <c r="BA86" s="82">
        <v>2455303.4</v>
      </c>
      <c r="BB86" s="117">
        <v>0</v>
      </c>
      <c r="BC86" s="118">
        <v>0</v>
      </c>
      <c r="BD86" s="118">
        <v>0</v>
      </c>
      <c r="BE86" s="117">
        <v>32387247</v>
      </c>
      <c r="BF86" s="117">
        <v>32387247</v>
      </c>
      <c r="BG86" s="117">
        <v>113876470</v>
      </c>
      <c r="BH86" s="117">
        <v>113867733</v>
      </c>
      <c r="BI86" s="117">
        <v>0</v>
      </c>
      <c r="BJ86" s="117">
        <v>0</v>
      </c>
      <c r="BK86" s="138"/>
      <c r="BL86" s="86">
        <v>542232078.13729501</v>
      </c>
      <c r="BM86" s="86">
        <v>327262838.73729509</v>
      </c>
      <c r="BN86" s="87">
        <v>613398</v>
      </c>
      <c r="BP86" s="86">
        <v>302895954</v>
      </c>
      <c r="BQ86" s="86">
        <v>64431926</v>
      </c>
      <c r="BR86" s="86">
        <v>1827030</v>
      </c>
      <c r="BS86" s="86">
        <v>27540406</v>
      </c>
      <c r="BT86" s="86">
        <v>396695316</v>
      </c>
    </row>
    <row r="87" spans="1:72" x14ac:dyDescent="0.25">
      <c r="A87" s="91" t="s">
        <v>141</v>
      </c>
      <c r="B87" s="135">
        <v>226275050</v>
      </c>
      <c r="C87" s="135">
        <v>172540775</v>
      </c>
      <c r="D87" s="135">
        <v>61643159</v>
      </c>
      <c r="E87" s="135">
        <v>0</v>
      </c>
      <c r="F87" s="135">
        <v>35353525</v>
      </c>
      <c r="G87" s="135">
        <v>7818300</v>
      </c>
      <c r="H87" s="135">
        <v>11457300</v>
      </c>
      <c r="I87" s="135">
        <v>874600</v>
      </c>
      <c r="J87" s="135">
        <v>0</v>
      </c>
      <c r="K87" s="135">
        <v>0</v>
      </c>
      <c r="L87" s="135">
        <v>437743832</v>
      </c>
      <c r="M87" s="135">
        <v>0</v>
      </c>
      <c r="N87" s="135">
        <v>1232</v>
      </c>
      <c r="O87" s="135">
        <v>267</v>
      </c>
      <c r="P87" s="135">
        <v>1529827</v>
      </c>
      <c r="Q87" s="135">
        <v>879236</v>
      </c>
      <c r="R87" s="135">
        <v>1427637</v>
      </c>
      <c r="S87" s="135">
        <v>3266559</v>
      </c>
      <c r="T87" s="135">
        <v>1033230</v>
      </c>
      <c r="U87" s="135">
        <v>333000</v>
      </c>
      <c r="V87" s="135">
        <v>1529827</v>
      </c>
      <c r="W87" s="135">
        <v>1463371</v>
      </c>
      <c r="X87" s="135">
        <v>1427637</v>
      </c>
      <c r="Y87" s="135">
        <v>3266559</v>
      </c>
      <c r="Z87" s="135">
        <v>1878205</v>
      </c>
      <c r="AA87" s="135">
        <v>333000</v>
      </c>
      <c r="AB87" s="135">
        <v>-1761059</v>
      </c>
      <c r="AC87" s="135">
        <v>-259747</v>
      </c>
      <c r="AD87" s="135">
        <v>118038</v>
      </c>
      <c r="AE87" s="135">
        <v>0</v>
      </c>
      <c r="AF87" s="135">
        <v>0</v>
      </c>
      <c r="AG87" s="135">
        <v>198303</v>
      </c>
      <c r="AH87" s="135">
        <v>420020.48991803278</v>
      </c>
      <c r="AI87" s="135">
        <v>158258.19672131148</v>
      </c>
      <c r="AJ87" s="139"/>
      <c r="AK87" s="82">
        <v>76201444</v>
      </c>
      <c r="AL87" s="82">
        <v>1765025</v>
      </c>
      <c r="AN87" s="135">
        <v>20612709</v>
      </c>
      <c r="AO87" s="135">
        <v>306790</v>
      </c>
      <c r="AP87" s="135">
        <v>23957715</v>
      </c>
      <c r="AQ87" s="135">
        <v>17725349</v>
      </c>
      <c r="AR87" s="135">
        <v>17349335</v>
      </c>
      <c r="AT87" s="135">
        <v>2327496</v>
      </c>
      <c r="AX87" s="135">
        <v>2165</v>
      </c>
      <c r="AZ87" s="82">
        <v>5807607.3899999997</v>
      </c>
      <c r="BA87" s="82">
        <v>2903803.7</v>
      </c>
      <c r="BB87" s="117">
        <v>0</v>
      </c>
      <c r="BC87" s="118">
        <v>0</v>
      </c>
      <c r="BD87" s="118">
        <v>0</v>
      </c>
      <c r="BE87" s="117">
        <v>18678076</v>
      </c>
      <c r="BF87" s="117">
        <v>18678076</v>
      </c>
      <c r="BG87" s="117">
        <v>101894011</v>
      </c>
      <c r="BH87" s="117">
        <v>101744802</v>
      </c>
      <c r="BI87" s="117">
        <v>0</v>
      </c>
      <c r="BJ87" s="117">
        <v>0</v>
      </c>
      <c r="BK87" s="138"/>
      <c r="BL87" s="86">
        <v>700975261.38663936</v>
      </c>
      <c r="BM87" s="86">
        <v>499682110.68663937</v>
      </c>
      <c r="BN87" s="87">
        <v>427016</v>
      </c>
      <c r="BP87" s="86">
        <v>460458984</v>
      </c>
      <c r="BQ87" s="86">
        <v>76201444</v>
      </c>
      <c r="BR87" s="86">
        <v>1765025</v>
      </c>
      <c r="BS87" s="86">
        <v>38644848</v>
      </c>
      <c r="BT87" s="86">
        <v>577070301</v>
      </c>
    </row>
    <row r="88" spans="1:72" x14ac:dyDescent="0.25">
      <c r="A88" s="91" t="s">
        <v>142</v>
      </c>
      <c r="B88" s="135">
        <v>822849512</v>
      </c>
      <c r="C88" s="135">
        <v>128614677</v>
      </c>
      <c r="D88" s="135">
        <v>349710441</v>
      </c>
      <c r="E88" s="135">
        <v>19360000</v>
      </c>
      <c r="F88" s="135">
        <v>78616230</v>
      </c>
      <c r="G88" s="135">
        <v>20509231</v>
      </c>
      <c r="H88" s="135">
        <v>12134600</v>
      </c>
      <c r="I88" s="135">
        <v>2805500</v>
      </c>
      <c r="J88" s="135">
        <v>283500</v>
      </c>
      <c r="K88" s="135">
        <v>40500</v>
      </c>
      <c r="L88" s="135">
        <v>288580862</v>
      </c>
      <c r="M88" s="135">
        <v>102266150</v>
      </c>
      <c r="N88" s="135">
        <v>2334</v>
      </c>
      <c r="O88" s="135">
        <v>650</v>
      </c>
      <c r="P88" s="135">
        <v>7456500</v>
      </c>
      <c r="Q88" s="135">
        <v>2041000</v>
      </c>
      <c r="R88" s="135">
        <v>2850000</v>
      </c>
      <c r="S88" s="135">
        <v>2089545</v>
      </c>
      <c r="T88" s="135">
        <v>457000</v>
      </c>
      <c r="U88" s="135">
        <v>8363000</v>
      </c>
      <c r="V88" s="135">
        <v>7456500</v>
      </c>
      <c r="W88" s="135">
        <v>1983500</v>
      </c>
      <c r="X88" s="135">
        <v>2850000</v>
      </c>
      <c r="Y88" s="135">
        <v>2089545</v>
      </c>
      <c r="Z88" s="135">
        <v>623400</v>
      </c>
      <c r="AA88" s="135">
        <v>8363000</v>
      </c>
      <c r="AB88" s="135">
        <v>-1960900</v>
      </c>
      <c r="AC88" s="135">
        <v>-109102</v>
      </c>
      <c r="AD88" s="135">
        <v>5338</v>
      </c>
      <c r="AE88" s="135">
        <v>1012018</v>
      </c>
      <c r="AF88" s="135">
        <v>0</v>
      </c>
      <c r="AG88" s="135">
        <v>109162</v>
      </c>
      <c r="AH88" s="135">
        <v>0</v>
      </c>
      <c r="AI88" s="135">
        <v>129141.39344262295</v>
      </c>
      <c r="AJ88" s="139"/>
      <c r="AK88" s="82">
        <v>203818328</v>
      </c>
      <c r="AL88" s="82">
        <v>6059270</v>
      </c>
      <c r="AN88" s="135">
        <v>51973434</v>
      </c>
      <c r="AO88" s="135">
        <v>10692560</v>
      </c>
      <c r="AP88" s="135">
        <v>133659439</v>
      </c>
      <c r="AQ88" s="135">
        <v>52317431</v>
      </c>
      <c r="AR88" s="135">
        <v>50326148</v>
      </c>
      <c r="AS88" s="135">
        <v>30586604</v>
      </c>
      <c r="AT88" s="135">
        <v>898689</v>
      </c>
      <c r="AU88" s="135">
        <v>1478995</v>
      </c>
      <c r="AW88" s="135">
        <v>822890</v>
      </c>
      <c r="AX88" s="135">
        <v>275140</v>
      </c>
      <c r="AY88" s="135">
        <v>3624628</v>
      </c>
      <c r="AZ88" s="131">
        <v>15533784.73</v>
      </c>
      <c r="BA88" s="82">
        <v>7766892.3700000001</v>
      </c>
      <c r="BB88" s="117">
        <v>0</v>
      </c>
      <c r="BC88" s="118">
        <v>0</v>
      </c>
      <c r="BD88" s="118">
        <v>0</v>
      </c>
      <c r="BE88" s="117">
        <v>50305473.280000001</v>
      </c>
      <c r="BF88" s="117">
        <v>50305473.280000001</v>
      </c>
      <c r="BG88" s="117">
        <v>62031962.100000001</v>
      </c>
      <c r="BH88" s="117">
        <v>60992628.100000001</v>
      </c>
      <c r="BI88" s="117">
        <v>0</v>
      </c>
      <c r="BJ88" s="117">
        <v>0</v>
      </c>
      <c r="BK88" s="138"/>
      <c r="BL88" s="86">
        <v>1745229788.1434424</v>
      </c>
      <c r="BM88" s="86">
        <v>1416287196.3934426</v>
      </c>
      <c r="BN88" s="87">
        <v>1307100</v>
      </c>
      <c r="BP88" s="86">
        <v>1301174630</v>
      </c>
      <c r="BQ88" s="86">
        <v>203818328</v>
      </c>
      <c r="BR88" s="86">
        <v>6059270</v>
      </c>
      <c r="BS88" s="86">
        <v>145570029</v>
      </c>
      <c r="BT88" s="86">
        <v>1656622257</v>
      </c>
    </row>
    <row r="89" spans="1:72" x14ac:dyDescent="0.25">
      <c r="A89" s="91" t="s">
        <v>143</v>
      </c>
      <c r="B89" s="135">
        <v>133186900</v>
      </c>
      <c r="C89" s="135">
        <v>97724150</v>
      </c>
      <c r="D89" s="135">
        <v>53136040</v>
      </c>
      <c r="E89" s="135">
        <v>0</v>
      </c>
      <c r="F89" s="135">
        <v>22657200</v>
      </c>
      <c r="G89" s="135">
        <v>17728700</v>
      </c>
      <c r="H89" s="135">
        <v>13145700</v>
      </c>
      <c r="I89" s="135">
        <v>8466500</v>
      </c>
      <c r="J89" s="135">
        <v>40500</v>
      </c>
      <c r="K89" s="135">
        <v>0</v>
      </c>
      <c r="L89" s="135">
        <v>83141075</v>
      </c>
      <c r="M89" s="135">
        <v>27364000</v>
      </c>
      <c r="N89" s="135">
        <v>1066</v>
      </c>
      <c r="O89" s="135">
        <v>830</v>
      </c>
      <c r="P89" s="135">
        <v>1582200</v>
      </c>
      <c r="Q89" s="135">
        <v>608000</v>
      </c>
      <c r="R89" s="135">
        <v>0</v>
      </c>
      <c r="S89" s="135">
        <v>43600</v>
      </c>
      <c r="T89" s="135">
        <v>0</v>
      </c>
      <c r="U89" s="135">
        <v>0</v>
      </c>
      <c r="V89" s="135">
        <v>1582200</v>
      </c>
      <c r="W89" s="135">
        <v>604000</v>
      </c>
      <c r="X89" s="135">
        <v>0</v>
      </c>
      <c r="Y89" s="135">
        <v>43600</v>
      </c>
      <c r="Z89" s="135">
        <v>0</v>
      </c>
      <c r="AA89" s="135">
        <v>0</v>
      </c>
      <c r="AB89" s="135">
        <v>-1735400</v>
      </c>
      <c r="AC89" s="135">
        <v>-14641</v>
      </c>
      <c r="AD89" s="135">
        <v>174635</v>
      </c>
      <c r="AE89" s="135">
        <v>50</v>
      </c>
      <c r="AG89" s="135">
        <v>209520</v>
      </c>
      <c r="AH89" s="135">
        <v>348786.88745901635</v>
      </c>
      <c r="AI89" s="135">
        <v>592227.4590163934</v>
      </c>
      <c r="AJ89" s="139">
        <v>6114.7540983606559</v>
      </c>
      <c r="AK89" s="87">
        <v>87952392</v>
      </c>
      <c r="AL89" s="82">
        <v>2175549</v>
      </c>
      <c r="AN89" s="135">
        <v>18224169</v>
      </c>
      <c r="AO89" s="135">
        <v>134196</v>
      </c>
      <c r="AP89" s="135">
        <v>5242699</v>
      </c>
      <c r="AQ89" s="135">
        <v>10328749</v>
      </c>
      <c r="AR89" s="135">
        <v>10838902</v>
      </c>
      <c r="AT89" s="135">
        <v>1743779</v>
      </c>
      <c r="AY89" s="135">
        <v>333786</v>
      </c>
      <c r="AZ89" s="82">
        <v>6703192.6799999997</v>
      </c>
      <c r="BA89" s="82">
        <v>3351596.34</v>
      </c>
      <c r="BB89" s="117">
        <v>0</v>
      </c>
      <c r="BC89" s="118">
        <v>0</v>
      </c>
      <c r="BD89" s="118">
        <v>0</v>
      </c>
      <c r="BE89" s="117">
        <v>2405318</v>
      </c>
      <c r="BF89" s="117">
        <v>2405318</v>
      </c>
      <c r="BG89" s="117">
        <v>49560457</v>
      </c>
      <c r="BH89" s="117">
        <v>48103576</v>
      </c>
      <c r="BI89" s="117">
        <v>0</v>
      </c>
      <c r="BJ89" s="117">
        <v>0</v>
      </c>
      <c r="BK89" s="138"/>
      <c r="BL89" s="86">
        <v>457669764.44057375</v>
      </c>
      <c r="BM89" s="86">
        <v>313681333.10057378</v>
      </c>
      <c r="BN89" s="87">
        <v>5830500</v>
      </c>
      <c r="BP89" s="86">
        <v>284047090</v>
      </c>
      <c r="BQ89" s="86">
        <v>87952392</v>
      </c>
      <c r="BR89" s="86">
        <v>2175549</v>
      </c>
      <c r="BS89" s="86">
        <v>28687114</v>
      </c>
      <c r="BT89" s="86">
        <v>402862145</v>
      </c>
    </row>
    <row r="90" spans="1:72" x14ac:dyDescent="0.25">
      <c r="A90" s="91" t="s">
        <v>144</v>
      </c>
      <c r="B90" s="135">
        <v>661941943</v>
      </c>
      <c r="C90" s="135">
        <v>191545622</v>
      </c>
      <c r="D90" s="135">
        <v>245399695</v>
      </c>
      <c r="E90" s="135">
        <v>0</v>
      </c>
      <c r="F90" s="135">
        <v>99309825</v>
      </c>
      <c r="G90" s="135">
        <v>31531063</v>
      </c>
      <c r="H90" s="135">
        <v>15701300</v>
      </c>
      <c r="I90" s="135">
        <v>2557900</v>
      </c>
      <c r="J90" s="135">
        <v>134500</v>
      </c>
      <c r="K90" s="135">
        <v>81000</v>
      </c>
      <c r="L90" s="135">
        <v>217342642</v>
      </c>
      <c r="M90" s="135">
        <v>113066690</v>
      </c>
      <c r="N90" s="135">
        <v>3038</v>
      </c>
      <c r="O90" s="135">
        <v>977</v>
      </c>
      <c r="P90" s="135">
        <v>9902850</v>
      </c>
      <c r="Q90" s="135">
        <v>4860315</v>
      </c>
      <c r="R90" s="135">
        <v>6733900</v>
      </c>
      <c r="S90" s="135">
        <v>5290710</v>
      </c>
      <c r="T90" s="135">
        <v>5378246</v>
      </c>
      <c r="U90" s="135">
        <v>2112600</v>
      </c>
      <c r="V90" s="135">
        <v>9902850</v>
      </c>
      <c r="W90" s="135">
        <v>8876150</v>
      </c>
      <c r="X90" s="135">
        <v>6733900</v>
      </c>
      <c r="Y90" s="135">
        <v>5290710</v>
      </c>
      <c r="Z90" s="135">
        <v>9481183</v>
      </c>
      <c r="AA90" s="135">
        <v>2112600</v>
      </c>
      <c r="AB90" s="135">
        <v>-6365598</v>
      </c>
      <c r="AC90" s="135">
        <v>-26712</v>
      </c>
      <c r="AD90" s="135">
        <v>72351</v>
      </c>
      <c r="AE90" s="135">
        <v>132617</v>
      </c>
      <c r="AF90" s="135">
        <v>11664</v>
      </c>
      <c r="AG90" s="135">
        <v>188568</v>
      </c>
      <c r="AH90" s="135">
        <v>7073147.5433606561</v>
      </c>
      <c r="AI90" s="135">
        <v>432413.93442622956</v>
      </c>
      <c r="AJ90" s="139">
        <v>7822213.1147540994</v>
      </c>
      <c r="AK90" s="82">
        <v>233254569</v>
      </c>
      <c r="AL90" s="82">
        <v>8045224</v>
      </c>
      <c r="AN90" s="135">
        <v>39551244</v>
      </c>
      <c r="AO90" s="135">
        <v>3939097</v>
      </c>
      <c r="AP90" s="135">
        <v>52331122</v>
      </c>
      <c r="AQ90" s="135">
        <v>61952610</v>
      </c>
      <c r="AR90" s="135">
        <v>31886891</v>
      </c>
      <c r="AS90" s="135">
        <v>7036233</v>
      </c>
      <c r="AT90" s="135">
        <v>19421656</v>
      </c>
      <c r="AW90" s="135">
        <v>691896</v>
      </c>
      <c r="AY90" s="135">
        <v>210314</v>
      </c>
      <c r="AZ90" s="82">
        <v>17777234.739999998</v>
      </c>
      <c r="BA90" s="82">
        <v>8888617.3699999992</v>
      </c>
      <c r="BB90" s="117">
        <v>8699133.6940365285</v>
      </c>
      <c r="BC90" s="118">
        <v>3924046</v>
      </c>
      <c r="BD90" s="118">
        <v>7848091</v>
      </c>
      <c r="BE90" s="117">
        <v>86899607</v>
      </c>
      <c r="BF90" s="117">
        <v>83969119</v>
      </c>
      <c r="BG90" s="117">
        <v>207131770</v>
      </c>
      <c r="BH90" s="117">
        <v>203628080</v>
      </c>
      <c r="BI90" s="117">
        <v>9232</v>
      </c>
      <c r="BJ90" s="117">
        <v>0</v>
      </c>
      <c r="BK90" s="138"/>
      <c r="BL90" s="86">
        <v>1761376872.9625411</v>
      </c>
      <c r="BM90" s="86">
        <v>1219657985.5925412</v>
      </c>
      <c r="BN90" s="87">
        <v>1080000</v>
      </c>
      <c r="BP90" s="86">
        <v>1098887260</v>
      </c>
      <c r="BQ90" s="86">
        <v>233254569</v>
      </c>
      <c r="BR90" s="86">
        <v>8045224</v>
      </c>
      <c r="BS90" s="86">
        <v>112479184</v>
      </c>
      <c r="BT90" s="86">
        <v>1452666237</v>
      </c>
    </row>
    <row r="91" spans="1:72" x14ac:dyDescent="0.25">
      <c r="A91" s="91" t="s">
        <v>145</v>
      </c>
      <c r="B91" s="135">
        <v>2264801345</v>
      </c>
      <c r="C91" s="135">
        <v>475688816</v>
      </c>
      <c r="D91" s="135">
        <v>694853891</v>
      </c>
      <c r="E91" s="135">
        <v>79457676</v>
      </c>
      <c r="F91" s="135">
        <v>143928765</v>
      </c>
      <c r="G91" s="135">
        <v>19033564</v>
      </c>
      <c r="H91" s="135">
        <v>31156765</v>
      </c>
      <c r="I91" s="135">
        <v>2155000</v>
      </c>
      <c r="J91" s="135">
        <v>243000</v>
      </c>
      <c r="K91" s="135">
        <v>0</v>
      </c>
      <c r="L91" s="135">
        <v>893270528</v>
      </c>
      <c r="M91" s="135">
        <v>412815577</v>
      </c>
      <c r="N91" s="135">
        <v>4375</v>
      </c>
      <c r="O91" s="135">
        <v>544</v>
      </c>
      <c r="P91" s="135">
        <v>36205718</v>
      </c>
      <c r="Q91" s="135">
        <v>8233200</v>
      </c>
      <c r="R91" s="135">
        <v>39765800</v>
      </c>
      <c r="S91" s="135">
        <v>3064078</v>
      </c>
      <c r="T91" s="135">
        <v>696422</v>
      </c>
      <c r="U91" s="135">
        <v>1846720</v>
      </c>
      <c r="V91" s="135">
        <v>36205718</v>
      </c>
      <c r="W91" s="135">
        <v>8233200</v>
      </c>
      <c r="X91" s="135">
        <v>39765800</v>
      </c>
      <c r="Y91" s="135">
        <v>3064078</v>
      </c>
      <c r="Z91" s="135">
        <v>696422</v>
      </c>
      <c r="AA91" s="135">
        <v>1846720</v>
      </c>
      <c r="AB91" s="135">
        <v>-16413529</v>
      </c>
      <c r="AC91" s="135">
        <v>-153766</v>
      </c>
      <c r="AD91" s="135">
        <v>27940</v>
      </c>
      <c r="AE91" s="135">
        <v>0</v>
      </c>
      <c r="AF91" s="135">
        <v>0</v>
      </c>
      <c r="AG91" s="135">
        <v>257356</v>
      </c>
      <c r="AH91" s="135">
        <v>0</v>
      </c>
      <c r="AI91" s="135">
        <v>1397848.3606557376</v>
      </c>
      <c r="AJ91" s="139"/>
      <c r="AK91" s="82">
        <v>415287950</v>
      </c>
      <c r="AL91" s="82">
        <v>13081237</v>
      </c>
      <c r="AN91" s="135">
        <v>117531738</v>
      </c>
      <c r="AO91" s="135">
        <v>8533402</v>
      </c>
      <c r="AP91" s="135">
        <v>419242723</v>
      </c>
      <c r="AQ91" s="135">
        <v>90818421</v>
      </c>
      <c r="AR91" s="135">
        <v>90196416</v>
      </c>
      <c r="AS91" s="87">
        <v>32667638</v>
      </c>
      <c r="AT91" s="135">
        <v>1952102</v>
      </c>
      <c r="AW91" s="135">
        <v>10040620</v>
      </c>
      <c r="AX91" s="135">
        <v>4226685</v>
      </c>
      <c r="AY91" s="135">
        <v>1337380</v>
      </c>
      <c r="AZ91" s="82">
        <v>31650704.219999999</v>
      </c>
      <c r="BA91" s="82">
        <v>15825352.109999999</v>
      </c>
      <c r="BB91" s="117">
        <v>0</v>
      </c>
      <c r="BC91" s="118">
        <v>938121</v>
      </c>
      <c r="BD91" s="118">
        <v>1876241</v>
      </c>
      <c r="BE91" s="117">
        <v>15285819</v>
      </c>
      <c r="BF91" s="117">
        <v>14347897</v>
      </c>
      <c r="BG91" s="117">
        <v>60104965</v>
      </c>
      <c r="BH91" s="117">
        <v>59434260</v>
      </c>
      <c r="BI91" s="117">
        <v>809767365</v>
      </c>
      <c r="BJ91" s="117">
        <v>0</v>
      </c>
      <c r="BK91" s="138"/>
      <c r="BL91" s="86">
        <v>4982307643.4706554</v>
      </c>
      <c r="BM91" s="86">
        <v>3653625461.3606558</v>
      </c>
      <c r="BN91" s="87">
        <v>3796173</v>
      </c>
      <c r="BP91" s="86">
        <v>3435344052</v>
      </c>
      <c r="BQ91" s="86">
        <v>415287950</v>
      </c>
      <c r="BR91" s="86">
        <v>13081237</v>
      </c>
      <c r="BS91" s="86">
        <v>249551199</v>
      </c>
      <c r="BT91" s="86">
        <v>4113264438</v>
      </c>
    </row>
    <row r="92" spans="1:72" x14ac:dyDescent="0.25">
      <c r="A92" s="91" t="s">
        <v>146</v>
      </c>
      <c r="B92" s="135">
        <v>121182363</v>
      </c>
      <c r="C92" s="135">
        <v>103951923</v>
      </c>
      <c r="D92" s="135">
        <v>16031179</v>
      </c>
      <c r="E92" s="135">
        <v>0</v>
      </c>
      <c r="F92" s="135">
        <v>23078100</v>
      </c>
      <c r="G92" s="135">
        <v>4547400</v>
      </c>
      <c r="H92" s="135">
        <v>9746800</v>
      </c>
      <c r="I92" s="135">
        <v>1532375</v>
      </c>
      <c r="J92" s="135">
        <v>0</v>
      </c>
      <c r="K92" s="135">
        <v>39300</v>
      </c>
      <c r="L92" s="135">
        <v>115251537</v>
      </c>
      <c r="M92" s="135">
        <v>86387867</v>
      </c>
      <c r="N92" s="135">
        <v>826</v>
      </c>
      <c r="O92" s="135">
        <v>157</v>
      </c>
      <c r="P92" s="135">
        <v>2771138</v>
      </c>
      <c r="Q92" s="135">
        <v>1943596</v>
      </c>
      <c r="R92" s="135">
        <v>0</v>
      </c>
      <c r="S92" s="135">
        <v>723980</v>
      </c>
      <c r="T92" s="135">
        <v>631015</v>
      </c>
      <c r="U92" s="135">
        <v>63000</v>
      </c>
      <c r="V92" s="135">
        <v>2771138</v>
      </c>
      <c r="W92" s="135">
        <v>2009717</v>
      </c>
      <c r="X92" s="135">
        <v>0</v>
      </c>
      <c r="Y92" s="135">
        <v>723980</v>
      </c>
      <c r="Z92" s="135">
        <v>2146916</v>
      </c>
      <c r="AA92" s="135">
        <v>63000</v>
      </c>
      <c r="AB92" s="135">
        <v>-791900</v>
      </c>
      <c r="AC92" s="135">
        <v>0</v>
      </c>
      <c r="AH92" s="135">
        <v>0</v>
      </c>
      <c r="AI92" s="135">
        <v>0</v>
      </c>
      <c r="AJ92" s="139"/>
      <c r="AK92" s="82">
        <v>52851676</v>
      </c>
      <c r="AL92" s="82">
        <v>1167945</v>
      </c>
      <c r="AM92" s="135">
        <v>27500</v>
      </c>
      <c r="AN92" s="135">
        <v>2619515</v>
      </c>
      <c r="AO92" s="135">
        <v>44029</v>
      </c>
      <c r="AP92" s="135">
        <v>1279160</v>
      </c>
      <c r="AQ92" s="135">
        <v>1475134</v>
      </c>
      <c r="AR92" s="135">
        <v>167125</v>
      </c>
      <c r="AT92" s="135">
        <v>86146</v>
      </c>
      <c r="AZ92" s="82">
        <v>4028031.07</v>
      </c>
      <c r="BA92" s="82">
        <v>2014015.54</v>
      </c>
      <c r="BB92" s="117">
        <v>0</v>
      </c>
      <c r="BC92" s="118">
        <v>1149107</v>
      </c>
      <c r="BD92" s="118">
        <v>2298213</v>
      </c>
      <c r="BE92" s="117">
        <v>30426250</v>
      </c>
      <c r="BF92" s="117">
        <v>30426250</v>
      </c>
      <c r="BG92" s="117">
        <v>25026124</v>
      </c>
      <c r="BH92" s="117">
        <v>24476923</v>
      </c>
      <c r="BI92" s="117">
        <v>0</v>
      </c>
      <c r="BJ92" s="117">
        <v>0</v>
      </c>
      <c r="BK92" s="138"/>
      <c r="BL92" s="86">
        <v>357390059.54000002</v>
      </c>
      <c r="BM92" s="86">
        <v>245304143</v>
      </c>
      <c r="BN92" s="87">
        <v>269950</v>
      </c>
      <c r="BP92" s="86">
        <v>241165465</v>
      </c>
      <c r="BQ92" s="86">
        <v>52851676</v>
      </c>
      <c r="BR92" s="86">
        <v>1167945</v>
      </c>
      <c r="BS92" s="86">
        <v>4138678</v>
      </c>
      <c r="BT92" s="86">
        <v>299323764</v>
      </c>
    </row>
    <row r="93" spans="1:72" x14ac:dyDescent="0.25">
      <c r="A93" s="91" t="s">
        <v>147</v>
      </c>
      <c r="B93" s="135">
        <v>440652335</v>
      </c>
      <c r="C93" s="135">
        <v>220302802</v>
      </c>
      <c r="D93" s="135">
        <v>127927672</v>
      </c>
      <c r="E93" s="135">
        <v>0</v>
      </c>
      <c r="F93" s="135">
        <v>57484425</v>
      </c>
      <c r="G93" s="135">
        <v>21339343</v>
      </c>
      <c r="H93" s="135">
        <v>20058737</v>
      </c>
      <c r="I93" s="135">
        <v>5063795</v>
      </c>
      <c r="J93" s="135">
        <v>162000</v>
      </c>
      <c r="K93" s="135">
        <v>0</v>
      </c>
      <c r="L93" s="135">
        <v>408369630</v>
      </c>
      <c r="M93" s="135">
        <v>17787718</v>
      </c>
      <c r="N93" s="135">
        <v>2128</v>
      </c>
      <c r="O93" s="135">
        <v>797</v>
      </c>
      <c r="P93" s="135">
        <v>5512400</v>
      </c>
      <c r="Q93" s="135">
        <v>5842810</v>
      </c>
      <c r="R93" s="135">
        <v>1306750</v>
      </c>
      <c r="S93" s="135">
        <v>2217895</v>
      </c>
      <c r="T93" s="135">
        <v>515680</v>
      </c>
      <c r="U93" s="135">
        <v>562507</v>
      </c>
      <c r="V93" s="135">
        <v>5512400</v>
      </c>
      <c r="W93" s="135">
        <v>392000</v>
      </c>
      <c r="X93" s="135">
        <v>1306750</v>
      </c>
      <c r="Y93" s="135">
        <v>2217895</v>
      </c>
      <c r="Z93" s="135">
        <v>289600</v>
      </c>
      <c r="AA93" s="135">
        <v>562507</v>
      </c>
      <c r="AB93" s="135">
        <v>-3267600</v>
      </c>
      <c r="AC93" s="135">
        <v>0</v>
      </c>
      <c r="AD93" s="135">
        <v>330249</v>
      </c>
      <c r="AE93" s="135">
        <v>19112</v>
      </c>
      <c r="AF93" s="135">
        <v>22940116</v>
      </c>
      <c r="AG93" s="135">
        <v>330396</v>
      </c>
      <c r="AH93" s="135">
        <v>5498233.6075409837</v>
      </c>
      <c r="AI93" s="135">
        <v>323655.73770491808</v>
      </c>
      <c r="AJ93" s="139">
        <v>2285631.1475409837</v>
      </c>
      <c r="AK93" s="82">
        <v>141685750</v>
      </c>
      <c r="AL93" s="82">
        <v>5482195</v>
      </c>
      <c r="AN93" s="135">
        <v>33415141</v>
      </c>
      <c r="AO93" s="135">
        <v>4451403</v>
      </c>
      <c r="AP93" s="135">
        <v>87712815</v>
      </c>
      <c r="AQ93" s="135">
        <v>21418997</v>
      </c>
      <c r="AR93" s="135">
        <v>23070912</v>
      </c>
      <c r="AS93" s="135">
        <v>4915500</v>
      </c>
      <c r="AT93" s="135">
        <v>5471507</v>
      </c>
      <c r="AW93" s="135">
        <v>321084</v>
      </c>
      <c r="AX93" s="135">
        <v>296711</v>
      </c>
      <c r="AY93" s="135">
        <v>39500</v>
      </c>
      <c r="AZ93" s="82">
        <v>10798420.15</v>
      </c>
      <c r="BA93" s="82">
        <v>5399210.0800000001</v>
      </c>
      <c r="BB93" s="117">
        <v>10253524.354099482</v>
      </c>
      <c r="BC93" s="118">
        <v>2360268</v>
      </c>
      <c r="BD93" s="118">
        <v>4720536</v>
      </c>
      <c r="BE93" s="117">
        <v>54255680.579999998</v>
      </c>
      <c r="BF93" s="117">
        <v>49714548.579999998</v>
      </c>
      <c r="BG93" s="117">
        <v>78171358.459999993</v>
      </c>
      <c r="BH93" s="117">
        <v>75454488.459999993</v>
      </c>
      <c r="BI93" s="117">
        <v>0</v>
      </c>
      <c r="BJ93" s="117">
        <v>0</v>
      </c>
      <c r="BK93" s="138"/>
      <c r="BL93" s="86">
        <v>1136372330.6127868</v>
      </c>
      <c r="BM93" s="86">
        <v>856275870.49278677</v>
      </c>
      <c r="BN93" s="87">
        <v>916061</v>
      </c>
      <c r="BP93" s="86">
        <v>788882809</v>
      </c>
      <c r="BQ93" s="86">
        <v>141685750</v>
      </c>
      <c r="BR93" s="86">
        <v>5482195</v>
      </c>
      <c r="BS93" s="86">
        <v>64201041</v>
      </c>
      <c r="BT93" s="86">
        <v>1000251795</v>
      </c>
    </row>
    <row r="94" spans="1:72" x14ac:dyDescent="0.25">
      <c r="A94" s="91" t="s">
        <v>148</v>
      </c>
      <c r="B94" s="135">
        <v>6125879621</v>
      </c>
      <c r="C94" s="135">
        <v>287014475</v>
      </c>
      <c r="D94" s="135">
        <v>561626756</v>
      </c>
      <c r="E94" s="135">
        <v>0</v>
      </c>
      <c r="F94" s="135">
        <v>191055700</v>
      </c>
      <c r="G94" s="135">
        <v>11286300</v>
      </c>
      <c r="H94" s="135">
        <v>9355500</v>
      </c>
      <c r="I94" s="135">
        <v>202500</v>
      </c>
      <c r="J94" s="135">
        <v>364500</v>
      </c>
      <c r="K94" s="135">
        <v>40500</v>
      </c>
      <c r="L94" s="135">
        <v>579913960</v>
      </c>
      <c r="M94" s="135">
        <v>233571950</v>
      </c>
      <c r="N94" s="135">
        <v>4974</v>
      </c>
      <c r="O94" s="135">
        <v>291</v>
      </c>
      <c r="P94" s="135">
        <v>143481337</v>
      </c>
      <c r="Q94" s="135">
        <v>13299400</v>
      </c>
      <c r="R94" s="135">
        <v>17529000</v>
      </c>
      <c r="S94" s="135">
        <v>17069100</v>
      </c>
      <c r="T94" s="135">
        <v>12176800</v>
      </c>
      <c r="U94" s="135">
        <v>6957000</v>
      </c>
      <c r="V94" s="135">
        <v>143581337</v>
      </c>
      <c r="W94" s="135">
        <v>24471500</v>
      </c>
      <c r="X94" s="135">
        <v>17529000</v>
      </c>
      <c r="Y94" s="135">
        <v>17069100</v>
      </c>
      <c r="Z94" s="135">
        <v>37823500</v>
      </c>
      <c r="AA94" s="135">
        <v>6957000</v>
      </c>
      <c r="AB94" s="135">
        <v>-4791150</v>
      </c>
      <c r="AC94" s="135">
        <v>-355564</v>
      </c>
      <c r="AD94" s="135">
        <v>0</v>
      </c>
      <c r="AE94" s="135">
        <v>0</v>
      </c>
      <c r="AF94" s="135">
        <v>0</v>
      </c>
      <c r="AG94" s="135">
        <v>61289</v>
      </c>
      <c r="AH94" s="135">
        <v>0</v>
      </c>
      <c r="AI94" s="135">
        <v>1407647.5409836066</v>
      </c>
      <c r="AJ94" s="139"/>
      <c r="AK94" s="82">
        <v>619247184</v>
      </c>
      <c r="AL94" s="82">
        <v>23714347</v>
      </c>
      <c r="AM94" s="135">
        <v>2862905</v>
      </c>
      <c r="AN94" s="135">
        <v>68564583</v>
      </c>
      <c r="AO94" s="135">
        <v>7618972</v>
      </c>
      <c r="AP94" s="135">
        <v>62782174</v>
      </c>
      <c r="AQ94" s="135">
        <v>34005964</v>
      </c>
      <c r="AR94" s="135">
        <v>52729351</v>
      </c>
      <c r="AS94" s="135">
        <v>20973891</v>
      </c>
      <c r="AT94" s="135">
        <v>6885846</v>
      </c>
      <c r="AX94" s="135">
        <v>4080178</v>
      </c>
      <c r="AZ94" s="82">
        <v>47195227.939999998</v>
      </c>
      <c r="BA94" s="82">
        <v>23597613.969999999</v>
      </c>
      <c r="BB94" s="117">
        <v>17670967.503873575</v>
      </c>
      <c r="BC94" s="118">
        <v>1087052</v>
      </c>
      <c r="BD94" s="118">
        <v>2174104</v>
      </c>
      <c r="BE94" s="117">
        <v>51950216</v>
      </c>
      <c r="BF94" s="117">
        <v>51950216</v>
      </c>
      <c r="BG94" s="117">
        <v>102423126</v>
      </c>
      <c r="BH94" s="117">
        <v>100771351</v>
      </c>
      <c r="BI94" s="117">
        <v>7549814</v>
      </c>
      <c r="BJ94" s="117">
        <v>0</v>
      </c>
      <c r="BK94" s="138"/>
      <c r="BL94" s="86">
        <v>7914035596.5109835</v>
      </c>
      <c r="BM94" s="86">
        <v>7086118018.5409832</v>
      </c>
      <c r="BN94" s="87">
        <v>1812615</v>
      </c>
      <c r="BP94" s="86">
        <v>6974520852</v>
      </c>
      <c r="BQ94" s="86">
        <v>619247184</v>
      </c>
      <c r="BR94" s="86">
        <v>23714347</v>
      </c>
      <c r="BS94" s="86">
        <v>131163410</v>
      </c>
      <c r="BT94" s="86">
        <v>7748645793</v>
      </c>
    </row>
    <row r="95" spans="1:72" x14ac:dyDescent="0.25">
      <c r="A95" s="91" t="s">
        <v>149</v>
      </c>
      <c r="B95" s="135">
        <v>341480010</v>
      </c>
      <c r="C95" s="135">
        <v>181869650</v>
      </c>
      <c r="D95" s="135">
        <v>43229633</v>
      </c>
      <c r="E95" s="135">
        <v>0</v>
      </c>
      <c r="F95" s="135">
        <v>28835900</v>
      </c>
      <c r="G95" s="135">
        <v>4137500</v>
      </c>
      <c r="H95" s="135">
        <v>14643600</v>
      </c>
      <c r="I95" s="135">
        <v>777600</v>
      </c>
      <c r="J95" s="135">
        <v>69800</v>
      </c>
      <c r="K95" s="135">
        <v>0</v>
      </c>
      <c r="L95" s="135">
        <v>320274978</v>
      </c>
      <c r="M95" s="135">
        <v>125026950</v>
      </c>
      <c r="N95" s="135">
        <v>1115</v>
      </c>
      <c r="O95" s="135">
        <v>139</v>
      </c>
      <c r="P95" s="135">
        <v>5382250</v>
      </c>
      <c r="Q95" s="135">
        <v>4823800</v>
      </c>
      <c r="R95" s="135">
        <v>75600</v>
      </c>
      <c r="S95" s="135">
        <v>2374150</v>
      </c>
      <c r="T95" s="135">
        <v>1377700</v>
      </c>
      <c r="U95" s="135">
        <v>1248600</v>
      </c>
      <c r="V95" s="135">
        <v>5382250</v>
      </c>
      <c r="W95" s="135">
        <v>5943600</v>
      </c>
      <c r="X95" s="135">
        <v>75600</v>
      </c>
      <c r="Y95" s="135">
        <v>2374150</v>
      </c>
      <c r="Z95" s="135">
        <v>1882400</v>
      </c>
      <c r="AA95" s="135">
        <v>1248600</v>
      </c>
      <c r="AB95" s="135">
        <v>-2086954</v>
      </c>
      <c r="AC95" s="135">
        <v>-13831</v>
      </c>
      <c r="AD95" s="135">
        <v>0</v>
      </c>
      <c r="AE95" s="135">
        <v>0</v>
      </c>
      <c r="AF95" s="135">
        <v>0</v>
      </c>
      <c r="AG95" s="135">
        <v>0</v>
      </c>
      <c r="AH95" s="135">
        <v>0</v>
      </c>
      <c r="AI95" s="135">
        <v>0</v>
      </c>
      <c r="AJ95" s="139"/>
      <c r="AK95" s="82">
        <v>93707938</v>
      </c>
      <c r="AL95" s="82">
        <v>3333434</v>
      </c>
      <c r="AN95" s="135">
        <v>10137595</v>
      </c>
      <c r="AO95" s="135">
        <v>25843</v>
      </c>
      <c r="AP95" s="135">
        <v>1009880</v>
      </c>
      <c r="AQ95" s="135">
        <v>7532809</v>
      </c>
      <c r="AR95" s="135">
        <v>354922</v>
      </c>
      <c r="AT95" s="135">
        <v>1162519</v>
      </c>
      <c r="AV95" s="135">
        <v>23595</v>
      </c>
      <c r="AX95" s="135">
        <v>4215</v>
      </c>
      <c r="AY95" s="135">
        <v>217000</v>
      </c>
      <c r="AZ95" s="82">
        <v>7141845.1399999997</v>
      </c>
      <c r="BA95" s="82">
        <v>3570922.57</v>
      </c>
      <c r="BB95" s="117">
        <v>5399462.2928502588</v>
      </c>
      <c r="BC95" s="118">
        <v>0</v>
      </c>
      <c r="BD95" s="118">
        <v>0</v>
      </c>
      <c r="BE95" s="117">
        <v>56823967</v>
      </c>
      <c r="BF95" s="117">
        <v>56823967</v>
      </c>
      <c r="BG95" s="117">
        <v>51573328</v>
      </c>
      <c r="BH95" s="117">
        <v>51516317</v>
      </c>
      <c r="BI95" s="117">
        <v>0</v>
      </c>
      <c r="BJ95" s="117">
        <v>0</v>
      </c>
      <c r="BK95" s="138"/>
      <c r="BL95" s="86">
        <v>793228118.57000005</v>
      </c>
      <c r="BM95" s="86">
        <v>584275540</v>
      </c>
      <c r="BN95" s="87">
        <v>280950</v>
      </c>
      <c r="BP95" s="86">
        <v>566579293</v>
      </c>
      <c r="BQ95" s="86">
        <v>93707938</v>
      </c>
      <c r="BR95" s="86">
        <v>3333434</v>
      </c>
      <c r="BS95" s="86">
        <v>17696247</v>
      </c>
      <c r="BT95" s="86">
        <v>681316912</v>
      </c>
    </row>
    <row r="96" spans="1:72" x14ac:dyDescent="0.25">
      <c r="A96" s="91" t="s">
        <v>150</v>
      </c>
      <c r="B96" s="135">
        <v>37023481</v>
      </c>
      <c r="C96" s="135">
        <v>39286558</v>
      </c>
      <c r="D96" s="135">
        <v>13193975</v>
      </c>
      <c r="E96" s="135">
        <v>0</v>
      </c>
      <c r="F96" s="135">
        <v>7374000</v>
      </c>
      <c r="G96" s="135">
        <v>8855550</v>
      </c>
      <c r="H96" s="135">
        <v>5903940</v>
      </c>
      <c r="I96" s="135">
        <v>4282800</v>
      </c>
      <c r="J96" s="135">
        <v>0</v>
      </c>
      <c r="K96" s="135">
        <v>0</v>
      </c>
      <c r="L96" s="135">
        <v>78627073</v>
      </c>
      <c r="M96" s="135">
        <v>20512750</v>
      </c>
      <c r="N96" s="135">
        <v>365</v>
      </c>
      <c r="O96" s="135">
        <v>388</v>
      </c>
      <c r="P96" s="135">
        <v>476600</v>
      </c>
      <c r="Q96" s="135">
        <v>759650</v>
      </c>
      <c r="R96" s="135">
        <v>258000</v>
      </c>
      <c r="S96" s="135">
        <v>124000</v>
      </c>
      <c r="T96" s="135">
        <v>20000</v>
      </c>
      <c r="U96" s="135">
        <v>0</v>
      </c>
      <c r="V96" s="135">
        <v>476600</v>
      </c>
      <c r="W96" s="135">
        <v>872900</v>
      </c>
      <c r="X96" s="135">
        <v>258000</v>
      </c>
      <c r="Y96" s="135">
        <v>124000</v>
      </c>
      <c r="Z96" s="135">
        <v>21500</v>
      </c>
      <c r="AA96" s="135">
        <v>0</v>
      </c>
      <c r="AB96" s="135">
        <v>-917900</v>
      </c>
      <c r="AC96" s="135">
        <v>0</v>
      </c>
      <c r="AD96" s="135">
        <v>50701</v>
      </c>
      <c r="AE96" s="135">
        <v>0</v>
      </c>
      <c r="AF96" s="135">
        <v>0</v>
      </c>
      <c r="AG96" s="135">
        <v>107345</v>
      </c>
      <c r="AH96" s="135">
        <v>0</v>
      </c>
      <c r="AI96" s="135">
        <v>85663.934426229505</v>
      </c>
      <c r="AJ96" s="139">
        <v>279155.73770491802</v>
      </c>
      <c r="AK96" s="82">
        <v>24969228</v>
      </c>
      <c r="AL96" s="82">
        <v>484600</v>
      </c>
      <c r="AN96" s="135">
        <v>2553055</v>
      </c>
      <c r="AO96" s="135">
        <v>50683</v>
      </c>
      <c r="AP96" s="135">
        <v>542775</v>
      </c>
      <c r="AQ96" s="135">
        <v>1261168</v>
      </c>
      <c r="AR96" s="135">
        <v>0</v>
      </c>
      <c r="AT96" s="135">
        <v>50851</v>
      </c>
      <c r="AZ96" s="82">
        <v>1903001.64</v>
      </c>
      <c r="BA96" s="82">
        <v>951500.82</v>
      </c>
      <c r="BB96" s="117">
        <v>0</v>
      </c>
      <c r="BC96" s="118">
        <v>0</v>
      </c>
      <c r="BD96" s="118">
        <v>0</v>
      </c>
      <c r="BE96" s="117">
        <v>1937515</v>
      </c>
      <c r="BF96" s="117">
        <v>1937515</v>
      </c>
      <c r="BG96" s="117">
        <v>14135564</v>
      </c>
      <c r="BH96" s="117">
        <v>14135564</v>
      </c>
      <c r="BI96" s="117">
        <v>0</v>
      </c>
      <c r="BJ96" s="117">
        <v>0</v>
      </c>
      <c r="BK96" s="138"/>
      <c r="BL96" s="86">
        <v>136212147.49213114</v>
      </c>
      <c r="BM96" s="86">
        <v>93733739.672131151</v>
      </c>
      <c r="BN96" s="87">
        <v>327600</v>
      </c>
      <c r="BP96" s="86">
        <v>89504014</v>
      </c>
      <c r="BQ96" s="86">
        <v>24969228</v>
      </c>
      <c r="BR96" s="86">
        <v>484600</v>
      </c>
      <c r="BS96" s="86">
        <v>3864906</v>
      </c>
      <c r="BT96" s="86">
        <v>118822748</v>
      </c>
    </row>
    <row r="97" spans="1:72" x14ac:dyDescent="0.25">
      <c r="A97" s="91" t="s">
        <v>151</v>
      </c>
      <c r="B97" s="135">
        <v>318314602</v>
      </c>
      <c r="C97" s="135">
        <v>201310092</v>
      </c>
      <c r="D97" s="135">
        <v>65711597</v>
      </c>
      <c r="E97" s="135">
        <v>0</v>
      </c>
      <c r="F97" s="135">
        <v>35323300</v>
      </c>
      <c r="G97" s="135">
        <v>5572100</v>
      </c>
      <c r="H97" s="135">
        <v>21153750</v>
      </c>
      <c r="I97" s="135">
        <v>1679200</v>
      </c>
      <c r="J97" s="135">
        <v>40500</v>
      </c>
      <c r="K97" s="135">
        <v>0</v>
      </c>
      <c r="L97" s="135">
        <v>270180694</v>
      </c>
      <c r="M97" s="135">
        <v>158587118</v>
      </c>
      <c r="N97" s="135">
        <v>1449</v>
      </c>
      <c r="O97" s="135">
        <v>192</v>
      </c>
      <c r="P97" s="135">
        <v>9371926</v>
      </c>
      <c r="Q97" s="135">
        <v>6145680</v>
      </c>
      <c r="R97" s="135">
        <v>518000</v>
      </c>
      <c r="S97" s="135">
        <v>2962017</v>
      </c>
      <c r="T97" s="135">
        <v>2734002</v>
      </c>
      <c r="U97" s="135">
        <v>616300</v>
      </c>
      <c r="V97" s="135">
        <v>9371926</v>
      </c>
      <c r="W97" s="135">
        <v>6720700</v>
      </c>
      <c r="X97" s="135">
        <v>518000</v>
      </c>
      <c r="Y97" s="135">
        <v>2962017</v>
      </c>
      <c r="Z97" s="135">
        <v>3704897</v>
      </c>
      <c r="AA97" s="135">
        <v>616300</v>
      </c>
      <c r="AB97" s="135">
        <v>-1073000</v>
      </c>
      <c r="AC97" s="135">
        <v>-77640</v>
      </c>
      <c r="AD97" s="135">
        <v>62</v>
      </c>
      <c r="AE97" s="135">
        <v>11</v>
      </c>
      <c r="AF97" s="135">
        <v>0</v>
      </c>
      <c r="AG97" s="135">
        <v>180027</v>
      </c>
      <c r="AH97" s="135">
        <v>0</v>
      </c>
      <c r="AI97" s="135">
        <v>4897137.2950819675</v>
      </c>
      <c r="AJ97" s="139"/>
      <c r="AK97" s="82">
        <v>114933231</v>
      </c>
      <c r="AL97" s="82">
        <v>3298837</v>
      </c>
      <c r="AN97" s="135">
        <v>16624634</v>
      </c>
      <c r="AO97" s="135">
        <v>5319896</v>
      </c>
      <c r="AP97" s="135">
        <v>77307194</v>
      </c>
      <c r="AQ97" s="135">
        <v>5870666</v>
      </c>
      <c r="AR97" s="135">
        <v>4092881</v>
      </c>
      <c r="AS97" s="135">
        <v>5184173</v>
      </c>
      <c r="AT97" s="135">
        <v>15000</v>
      </c>
      <c r="AX97" s="135">
        <v>8605676</v>
      </c>
      <c r="AY97" s="135">
        <v>394285</v>
      </c>
      <c r="AZ97" s="82">
        <v>8759506.9900000002</v>
      </c>
      <c r="BA97" s="82">
        <v>4379753.5</v>
      </c>
      <c r="BB97" s="117">
        <v>3708721.5748870466</v>
      </c>
      <c r="BC97" s="118">
        <v>3037029</v>
      </c>
      <c r="BD97" s="118">
        <v>6074057</v>
      </c>
      <c r="BE97" s="117">
        <v>29126610.34</v>
      </c>
      <c r="BF97" s="117">
        <v>29126610.34</v>
      </c>
      <c r="BG97" s="117">
        <v>63581546.539999999</v>
      </c>
      <c r="BH97" s="117">
        <v>57294483.539999999</v>
      </c>
      <c r="BI97" s="117">
        <v>0</v>
      </c>
      <c r="BJ97" s="117">
        <v>0</v>
      </c>
      <c r="BK97" s="138"/>
      <c r="BL97" s="86">
        <v>830118568.67508197</v>
      </c>
      <c r="BM97" s="86">
        <v>618048624.29508197</v>
      </c>
      <c r="BN97" s="87">
        <v>516085</v>
      </c>
      <c r="BP97" s="86">
        <v>585336291</v>
      </c>
      <c r="BQ97" s="86">
        <v>114933231</v>
      </c>
      <c r="BR97" s="86">
        <v>3298837</v>
      </c>
      <c r="BS97" s="86">
        <v>32999369</v>
      </c>
      <c r="BT97" s="86">
        <v>736567728</v>
      </c>
    </row>
    <row r="98" spans="1:72" x14ac:dyDescent="0.25">
      <c r="A98" s="91" t="s">
        <v>152</v>
      </c>
      <c r="B98" s="135">
        <v>466879738</v>
      </c>
      <c r="C98" s="135">
        <v>58648314</v>
      </c>
      <c r="D98" s="135">
        <v>276836151</v>
      </c>
      <c r="E98" s="135">
        <v>0</v>
      </c>
      <c r="F98" s="135">
        <v>68362600</v>
      </c>
      <c r="G98" s="135">
        <v>49647597</v>
      </c>
      <c r="H98" s="135">
        <v>11460825</v>
      </c>
      <c r="I98" s="135">
        <v>4754200</v>
      </c>
      <c r="J98" s="135">
        <v>541000</v>
      </c>
      <c r="K98" s="135">
        <v>162000</v>
      </c>
      <c r="L98" s="135">
        <v>65321174</v>
      </c>
      <c r="M98" s="135">
        <v>43749605</v>
      </c>
      <c r="N98" s="135">
        <v>2333</v>
      </c>
      <c r="O98" s="135">
        <v>1743</v>
      </c>
      <c r="P98" s="135">
        <v>2247000</v>
      </c>
      <c r="Q98" s="135">
        <v>75000</v>
      </c>
      <c r="R98" s="135">
        <v>124000</v>
      </c>
      <c r="S98" s="135">
        <v>2013530</v>
      </c>
      <c r="T98" s="135">
        <v>187900</v>
      </c>
      <c r="U98" s="135">
        <v>564000</v>
      </c>
      <c r="V98" s="135">
        <v>2247000</v>
      </c>
      <c r="W98" s="135">
        <v>0</v>
      </c>
      <c r="X98" s="135">
        <v>124000</v>
      </c>
      <c r="Y98" s="135">
        <v>2013530</v>
      </c>
      <c r="Z98" s="135">
        <v>10000</v>
      </c>
      <c r="AA98" s="135">
        <v>564000</v>
      </c>
      <c r="AB98" s="135">
        <v>-5957500</v>
      </c>
      <c r="AC98" s="135">
        <v>-1484150</v>
      </c>
      <c r="AD98" s="135">
        <v>127375</v>
      </c>
      <c r="AE98" s="135">
        <v>35</v>
      </c>
      <c r="AF98" s="135">
        <v>0</v>
      </c>
      <c r="AG98" s="135">
        <v>154684</v>
      </c>
      <c r="AH98" s="135">
        <v>9646479.5059016384</v>
      </c>
      <c r="AI98" s="135">
        <v>32508504.098360658</v>
      </c>
      <c r="AJ98" s="139">
        <v>9639942.6229508203</v>
      </c>
      <c r="AK98" s="82">
        <v>212883995</v>
      </c>
      <c r="AL98" s="82">
        <v>6011563</v>
      </c>
      <c r="AM98" s="135">
        <v>40000</v>
      </c>
      <c r="AN98" s="135">
        <v>64174708</v>
      </c>
      <c r="AO98" s="135">
        <v>3612291</v>
      </c>
      <c r="AP98" s="135">
        <v>48040704</v>
      </c>
      <c r="AQ98" s="135">
        <v>38282805</v>
      </c>
      <c r="AR98" s="135">
        <v>23691161</v>
      </c>
      <c r="AT98" s="135">
        <v>227267</v>
      </c>
      <c r="AX98" s="135">
        <v>55592</v>
      </c>
      <c r="AY98" s="135">
        <v>16384238</v>
      </c>
      <c r="AZ98" s="82">
        <v>16224714.34</v>
      </c>
      <c r="BA98" s="82">
        <v>8112357.1699999999</v>
      </c>
      <c r="BB98" s="117">
        <v>0</v>
      </c>
      <c r="BC98" s="118">
        <v>7719601</v>
      </c>
      <c r="BD98" s="118">
        <v>15439203</v>
      </c>
      <c r="BE98" s="117">
        <v>28983819</v>
      </c>
      <c r="BF98" s="117">
        <v>28983819</v>
      </c>
      <c r="BG98" s="117">
        <v>122358684</v>
      </c>
      <c r="BH98" s="117">
        <v>113165961</v>
      </c>
      <c r="BI98" s="117">
        <v>0</v>
      </c>
      <c r="BJ98" s="117">
        <v>0</v>
      </c>
      <c r="BK98" s="138"/>
      <c r="BL98" s="86">
        <v>1337106229.3972132</v>
      </c>
      <c r="BM98" s="86">
        <v>960228933.22721314</v>
      </c>
      <c r="BN98" s="87">
        <v>1061467</v>
      </c>
      <c r="BP98" s="86">
        <v>802364203</v>
      </c>
      <c r="BQ98" s="86">
        <v>212883995</v>
      </c>
      <c r="BR98" s="86">
        <v>6011563</v>
      </c>
      <c r="BS98" s="86">
        <v>106069804</v>
      </c>
      <c r="BT98" s="86">
        <v>1127329565</v>
      </c>
    </row>
    <row r="99" spans="1:72" x14ac:dyDescent="0.25">
      <c r="A99" s="91" t="s">
        <v>153</v>
      </c>
      <c r="B99" s="135">
        <v>1019459509</v>
      </c>
      <c r="C99" s="135">
        <v>141892498</v>
      </c>
      <c r="D99" s="135">
        <v>453014914</v>
      </c>
      <c r="E99" s="135">
        <v>0</v>
      </c>
      <c r="F99" s="135">
        <v>153665773</v>
      </c>
      <c r="G99" s="135">
        <v>155011260</v>
      </c>
      <c r="H99" s="135">
        <v>30928200</v>
      </c>
      <c r="I99" s="135">
        <v>22840400</v>
      </c>
      <c r="J99" s="135">
        <v>635500</v>
      </c>
      <c r="K99" s="135">
        <v>299500</v>
      </c>
      <c r="L99" s="135">
        <v>165319094</v>
      </c>
      <c r="M99" s="135">
        <v>149798551</v>
      </c>
      <c r="N99" s="135">
        <v>5557</v>
      </c>
      <c r="O99" s="135">
        <v>5899</v>
      </c>
      <c r="P99" s="135">
        <v>10452765</v>
      </c>
      <c r="Q99" s="135">
        <v>230000</v>
      </c>
      <c r="R99" s="135">
        <v>6428645</v>
      </c>
      <c r="S99" s="135">
        <v>11100885</v>
      </c>
      <c r="T99" s="135">
        <v>75800</v>
      </c>
      <c r="U99" s="135">
        <v>2242100</v>
      </c>
      <c r="V99" s="135">
        <v>10452765</v>
      </c>
      <c r="W99" s="135">
        <v>301500</v>
      </c>
      <c r="X99" s="135">
        <v>6428645</v>
      </c>
      <c r="Y99" s="135">
        <v>11100885</v>
      </c>
      <c r="Z99" s="135">
        <v>124700</v>
      </c>
      <c r="AA99" s="135">
        <v>2242100</v>
      </c>
      <c r="AB99" s="135">
        <v>-4110350</v>
      </c>
      <c r="AC99" s="135">
        <v>-670231</v>
      </c>
      <c r="AD99" s="135">
        <v>486921</v>
      </c>
      <c r="AE99" s="135">
        <v>433605</v>
      </c>
      <c r="AF99" s="135">
        <v>0</v>
      </c>
      <c r="AG99" s="135">
        <v>5049</v>
      </c>
      <c r="AH99" s="135">
        <v>6257684.4272950822</v>
      </c>
      <c r="AI99" s="135">
        <v>92563652.384500742</v>
      </c>
      <c r="AJ99" s="139">
        <v>56074000</v>
      </c>
      <c r="AK99" s="82">
        <v>459560908</v>
      </c>
      <c r="AL99" s="82">
        <v>9805893</v>
      </c>
      <c r="AM99" s="135">
        <v>19629</v>
      </c>
      <c r="AN99" s="135">
        <v>131623772</v>
      </c>
      <c r="AO99" s="135">
        <v>8409537</v>
      </c>
      <c r="AP99" s="135">
        <v>171373668</v>
      </c>
      <c r="AQ99" s="135">
        <v>96931865</v>
      </c>
      <c r="AR99" s="135">
        <v>46558159</v>
      </c>
      <c r="AS99" s="135">
        <v>455990</v>
      </c>
      <c r="AT99" s="135">
        <v>278321</v>
      </c>
      <c r="AV99" s="135">
        <v>324497</v>
      </c>
      <c r="AW99" s="135">
        <v>145498</v>
      </c>
      <c r="AX99" s="135">
        <v>48721</v>
      </c>
      <c r="AY99" s="135">
        <v>1330707</v>
      </c>
      <c r="AZ99" s="82">
        <v>35024917.939999998</v>
      </c>
      <c r="BA99" s="82">
        <v>17512458.969999999</v>
      </c>
      <c r="BB99" s="117">
        <v>0</v>
      </c>
      <c r="BC99" s="118">
        <v>8672323</v>
      </c>
      <c r="BD99" s="118">
        <v>17344646</v>
      </c>
      <c r="BE99" s="117">
        <v>94747074</v>
      </c>
      <c r="BF99" s="117">
        <v>94747074</v>
      </c>
      <c r="BG99" s="117">
        <v>225905170</v>
      </c>
      <c r="BH99" s="117">
        <v>214370196</v>
      </c>
      <c r="BI99" s="117">
        <v>0</v>
      </c>
      <c r="BJ99" s="117">
        <v>0</v>
      </c>
      <c r="BK99" s="138"/>
      <c r="BL99" s="86">
        <v>2810896284.7817955</v>
      </c>
      <c r="BM99" s="86">
        <v>2006227431.8117957</v>
      </c>
      <c r="BN99" s="87">
        <v>10616083</v>
      </c>
      <c r="BP99" s="86">
        <v>1614366921</v>
      </c>
      <c r="BQ99" s="86">
        <v>459560908</v>
      </c>
      <c r="BR99" s="86">
        <v>9805893</v>
      </c>
      <c r="BS99" s="86">
        <v>237421164</v>
      </c>
      <c r="BT99" s="86">
        <v>2321154886</v>
      </c>
    </row>
    <row r="100" spans="1:72" x14ac:dyDescent="0.25">
      <c r="A100" s="91" t="s">
        <v>154</v>
      </c>
      <c r="B100" s="135">
        <v>280953870</v>
      </c>
      <c r="C100" s="135">
        <v>68094477</v>
      </c>
      <c r="D100" s="135">
        <v>85838723</v>
      </c>
      <c r="E100" s="135">
        <v>0</v>
      </c>
      <c r="F100" s="135">
        <v>30837805</v>
      </c>
      <c r="G100" s="135">
        <v>14528012</v>
      </c>
      <c r="H100" s="135">
        <v>5872011</v>
      </c>
      <c r="I100" s="135">
        <v>1669985</v>
      </c>
      <c r="J100" s="135">
        <v>138000</v>
      </c>
      <c r="K100" s="135">
        <v>63000</v>
      </c>
      <c r="L100" s="135">
        <v>32145636</v>
      </c>
      <c r="M100" s="135">
        <v>34995189</v>
      </c>
      <c r="N100" s="135">
        <v>1034</v>
      </c>
      <c r="O100" s="135">
        <v>515</v>
      </c>
      <c r="P100" s="135">
        <v>3762079</v>
      </c>
      <c r="Q100" s="135">
        <v>1258520</v>
      </c>
      <c r="R100" s="135">
        <v>1319200</v>
      </c>
      <c r="S100" s="135">
        <v>1572584</v>
      </c>
      <c r="T100" s="135">
        <v>386696</v>
      </c>
      <c r="U100" s="135">
        <v>184743</v>
      </c>
      <c r="V100" s="135">
        <v>3762079</v>
      </c>
      <c r="W100" s="135">
        <v>50800</v>
      </c>
      <c r="X100" s="135">
        <v>1319200</v>
      </c>
      <c r="Y100" s="135">
        <v>1572584</v>
      </c>
      <c r="Z100" s="135">
        <v>0</v>
      </c>
      <c r="AA100" s="135">
        <v>184743</v>
      </c>
      <c r="AB100" s="135">
        <v>-1976734</v>
      </c>
      <c r="AC100" s="135">
        <v>0</v>
      </c>
      <c r="AD100" s="135">
        <v>63534</v>
      </c>
      <c r="AE100" s="135">
        <v>0</v>
      </c>
      <c r="AF100" s="135">
        <v>0</v>
      </c>
      <c r="AG100" s="135">
        <v>77636</v>
      </c>
      <c r="AH100" s="135">
        <v>322745.89991803281</v>
      </c>
      <c r="AI100" s="135">
        <v>981206.96721311484</v>
      </c>
      <c r="AJ100" s="139"/>
      <c r="AK100" s="82">
        <v>87137929</v>
      </c>
      <c r="AL100" s="82">
        <v>1965299</v>
      </c>
      <c r="AN100" s="135">
        <v>11180096</v>
      </c>
      <c r="AO100" s="135">
        <v>183712</v>
      </c>
      <c r="AP100" s="135">
        <v>14805195</v>
      </c>
      <c r="AQ100" s="135">
        <v>12852622</v>
      </c>
      <c r="AR100" s="135">
        <v>4396963</v>
      </c>
      <c r="AT100" s="135">
        <f>40000+750</f>
        <v>40750</v>
      </c>
      <c r="AX100" s="135">
        <v>5784704</v>
      </c>
      <c r="AY100" s="135">
        <v>70000</v>
      </c>
      <c r="AZ100" s="82">
        <v>6641119.29</v>
      </c>
      <c r="BA100" s="82">
        <v>3320559.65</v>
      </c>
      <c r="BB100" s="117">
        <v>0</v>
      </c>
      <c r="BC100" s="118">
        <v>0</v>
      </c>
      <c r="BD100" s="118">
        <v>0</v>
      </c>
      <c r="BE100" s="117">
        <v>11462819</v>
      </c>
      <c r="BF100" s="117">
        <v>11462819</v>
      </c>
      <c r="BG100" s="117">
        <v>210084777</v>
      </c>
      <c r="BH100" s="117">
        <v>210067614</v>
      </c>
      <c r="BI100" s="117">
        <v>0</v>
      </c>
      <c r="BJ100" s="117">
        <v>0</v>
      </c>
      <c r="BK100" s="138"/>
      <c r="BL100" s="86">
        <v>774361673.51713109</v>
      </c>
      <c r="BM100" s="86">
        <v>460407452.86713111</v>
      </c>
      <c r="BN100" s="87">
        <v>984476</v>
      </c>
      <c r="BP100" s="86">
        <v>434887070</v>
      </c>
      <c r="BQ100" s="86">
        <v>87137929</v>
      </c>
      <c r="BR100" s="86">
        <v>1965299</v>
      </c>
      <c r="BS100" s="86">
        <v>24216430</v>
      </c>
      <c r="BT100" s="86">
        <v>548206728</v>
      </c>
    </row>
    <row r="101" spans="1:72" x14ac:dyDescent="0.25">
      <c r="A101" s="91" t="s">
        <v>155</v>
      </c>
      <c r="B101" s="135">
        <v>2517521443</v>
      </c>
      <c r="C101" s="135">
        <v>373917221</v>
      </c>
      <c r="D101" s="135">
        <v>915356828</v>
      </c>
      <c r="E101" s="135">
        <v>0</v>
      </c>
      <c r="F101" s="135">
        <v>211309130</v>
      </c>
      <c r="G101" s="135">
        <v>32585765</v>
      </c>
      <c r="H101" s="135">
        <v>35032780</v>
      </c>
      <c r="I101" s="135">
        <v>3738950</v>
      </c>
      <c r="J101" s="135">
        <v>243000</v>
      </c>
      <c r="K101" s="135">
        <v>0</v>
      </c>
      <c r="L101" s="135">
        <v>632000412</v>
      </c>
      <c r="M101" s="135">
        <v>259910800</v>
      </c>
      <c r="N101" s="135">
        <v>6461</v>
      </c>
      <c r="O101" s="135">
        <v>1055</v>
      </c>
      <c r="P101" s="135">
        <v>18804800</v>
      </c>
      <c r="Q101" s="135">
        <v>3793000</v>
      </c>
      <c r="R101" s="135">
        <v>7270500</v>
      </c>
      <c r="S101" s="135">
        <v>2422800</v>
      </c>
      <c r="T101" s="135">
        <v>37000</v>
      </c>
      <c r="U101" s="135">
        <v>348120</v>
      </c>
      <c r="V101" s="135">
        <v>18804800</v>
      </c>
      <c r="W101" s="135">
        <v>3922000</v>
      </c>
      <c r="X101" s="135">
        <v>7270500</v>
      </c>
      <c r="Y101" s="135">
        <v>2422800</v>
      </c>
      <c r="Z101" s="135">
        <v>45000</v>
      </c>
      <c r="AA101" s="135">
        <v>348120</v>
      </c>
      <c r="AB101" s="135">
        <v>-12711839</v>
      </c>
      <c r="AC101" s="135">
        <v>-970189</v>
      </c>
      <c r="AD101" s="135">
        <v>43784</v>
      </c>
      <c r="AE101" s="135">
        <v>0</v>
      </c>
      <c r="AF101" s="135">
        <v>0</v>
      </c>
      <c r="AG101" s="135">
        <v>299461</v>
      </c>
      <c r="AH101" s="135">
        <v>0</v>
      </c>
      <c r="AI101" s="135">
        <v>746825.81967213121</v>
      </c>
      <c r="AJ101" s="139"/>
      <c r="AK101" s="82">
        <v>491591043</v>
      </c>
      <c r="AL101" s="82">
        <v>40368823</v>
      </c>
      <c r="AM101" s="135">
        <v>8529466</v>
      </c>
      <c r="AN101" s="135">
        <v>139815169</v>
      </c>
      <c r="AO101" s="135">
        <v>18568132</v>
      </c>
      <c r="AP101" s="135">
        <v>333124850</v>
      </c>
      <c r="AQ101" s="135">
        <v>133161902</v>
      </c>
      <c r="AR101" s="135">
        <v>135512834</v>
      </c>
      <c r="AS101" s="135">
        <v>25758869</v>
      </c>
      <c r="AT101" s="135">
        <v>10433357</v>
      </c>
      <c r="AV101" s="135">
        <v>144520</v>
      </c>
      <c r="AX101" s="135">
        <v>2825871</v>
      </c>
      <c r="AY101" s="135">
        <v>4210939</v>
      </c>
      <c r="AZ101" s="82">
        <v>37466058.670000002</v>
      </c>
      <c r="BA101" s="82">
        <v>18733029.34</v>
      </c>
      <c r="BB101" s="117">
        <v>0</v>
      </c>
      <c r="BC101" s="118">
        <v>5525056</v>
      </c>
      <c r="BD101" s="118">
        <v>11050112</v>
      </c>
      <c r="BE101" s="117">
        <v>105486851</v>
      </c>
      <c r="BF101" s="117">
        <v>105486851</v>
      </c>
      <c r="BG101" s="117">
        <v>168196295</v>
      </c>
      <c r="BH101" s="117">
        <v>154793495</v>
      </c>
      <c r="BI101" s="117">
        <v>0</v>
      </c>
      <c r="BJ101" s="117">
        <v>0</v>
      </c>
      <c r="BK101" s="138"/>
      <c r="BL101" s="86">
        <v>4915585818.1596718</v>
      </c>
      <c r="BM101" s="86">
        <v>4099087520.8196721</v>
      </c>
      <c r="BN101" s="87">
        <v>4387500</v>
      </c>
      <c r="BP101" s="86">
        <v>3806795492</v>
      </c>
      <c r="BQ101" s="86">
        <v>491591043</v>
      </c>
      <c r="BR101" s="86">
        <v>40368823</v>
      </c>
      <c r="BS101" s="86">
        <v>317304072</v>
      </c>
      <c r="BT101" s="86">
        <v>4656059430</v>
      </c>
    </row>
    <row r="102" spans="1:72" x14ac:dyDescent="0.25">
      <c r="A102" s="91" t="s">
        <v>156</v>
      </c>
      <c r="B102" s="135">
        <v>24201738</v>
      </c>
      <c r="C102" s="135">
        <v>41768225</v>
      </c>
      <c r="D102" s="135">
        <v>4227574</v>
      </c>
      <c r="E102" s="135">
        <v>0</v>
      </c>
      <c r="F102" s="135">
        <v>4491450</v>
      </c>
      <c r="G102" s="135">
        <v>1300500</v>
      </c>
      <c r="H102" s="135">
        <v>4188935</v>
      </c>
      <c r="I102" s="135">
        <v>1433947</v>
      </c>
      <c r="J102" s="135">
        <v>0</v>
      </c>
      <c r="K102" s="135">
        <v>0</v>
      </c>
      <c r="L102" s="135">
        <v>68117007</v>
      </c>
      <c r="M102" s="135">
        <v>25064135</v>
      </c>
      <c r="N102" s="135">
        <v>225</v>
      </c>
      <c r="O102" s="135">
        <v>75</v>
      </c>
      <c r="P102" s="135">
        <v>764550</v>
      </c>
      <c r="Q102" s="135">
        <v>678562</v>
      </c>
      <c r="R102" s="135">
        <v>0</v>
      </c>
      <c r="S102" s="135">
        <v>304949</v>
      </c>
      <c r="T102" s="135">
        <v>51831</v>
      </c>
      <c r="U102" s="135">
        <v>21748</v>
      </c>
      <c r="V102" s="135">
        <v>764550</v>
      </c>
      <c r="W102" s="135">
        <v>777582</v>
      </c>
      <c r="X102" s="135">
        <v>0</v>
      </c>
      <c r="Y102" s="135">
        <v>304949</v>
      </c>
      <c r="Z102" s="135">
        <v>45967</v>
      </c>
      <c r="AA102" s="135">
        <v>21748</v>
      </c>
      <c r="AB102" s="135">
        <v>-291098</v>
      </c>
      <c r="AH102" s="135">
        <v>0</v>
      </c>
      <c r="AI102" s="135">
        <v>0</v>
      </c>
      <c r="AJ102" s="139"/>
      <c r="AK102" s="82">
        <v>17378338</v>
      </c>
      <c r="AL102" s="82">
        <v>352797</v>
      </c>
      <c r="AN102" s="135">
        <v>951440</v>
      </c>
      <c r="AO102" s="135">
        <v>13726</v>
      </c>
      <c r="AP102" s="135">
        <v>45184</v>
      </c>
      <c r="AQ102" s="135">
        <v>1758573</v>
      </c>
      <c r="AR102" s="135">
        <v>2074</v>
      </c>
      <c r="AT102" s="135">
        <v>109179</v>
      </c>
      <c r="AZ102" s="82">
        <v>1324470.49</v>
      </c>
      <c r="BA102" s="82">
        <v>662235.25</v>
      </c>
      <c r="BB102" s="117">
        <v>0</v>
      </c>
      <c r="BC102" s="118">
        <v>0</v>
      </c>
      <c r="BD102" s="118">
        <v>0</v>
      </c>
      <c r="BE102" s="117">
        <v>13224264</v>
      </c>
      <c r="BF102" s="117">
        <v>13224264</v>
      </c>
      <c r="BG102" s="117">
        <v>10396250</v>
      </c>
      <c r="BH102" s="117">
        <v>10390487</v>
      </c>
      <c r="BI102" s="117">
        <v>0</v>
      </c>
      <c r="BJ102" s="117">
        <v>0</v>
      </c>
      <c r="BK102" s="138"/>
      <c r="BL102" s="86">
        <v>114929397.25</v>
      </c>
      <c r="BM102" s="86">
        <v>72921276</v>
      </c>
      <c r="BN102" s="87">
        <v>73905</v>
      </c>
      <c r="BP102" s="86">
        <v>70197537</v>
      </c>
      <c r="BQ102" s="86">
        <v>17378338</v>
      </c>
      <c r="BR102" s="86">
        <v>352797</v>
      </c>
      <c r="BS102" s="86">
        <v>2723739</v>
      </c>
      <c r="BT102" s="86">
        <v>90652411</v>
      </c>
    </row>
    <row r="103" spans="1:72" x14ac:dyDescent="0.25">
      <c r="A103" s="91" t="s">
        <v>157</v>
      </c>
      <c r="B103" s="135">
        <v>298144206</v>
      </c>
      <c r="C103" s="135">
        <v>106597551</v>
      </c>
      <c r="D103" s="135">
        <v>88595479</v>
      </c>
      <c r="E103" s="135">
        <v>0</v>
      </c>
      <c r="F103" s="135">
        <v>48837800</v>
      </c>
      <c r="G103" s="135">
        <v>13675000</v>
      </c>
      <c r="H103" s="135">
        <v>14542700</v>
      </c>
      <c r="I103" s="135">
        <v>1951800</v>
      </c>
      <c r="J103" s="135">
        <v>0</v>
      </c>
      <c r="K103" s="135">
        <v>0</v>
      </c>
      <c r="L103" s="135">
        <v>160984529</v>
      </c>
      <c r="M103" s="135">
        <v>81256800</v>
      </c>
      <c r="N103" s="135">
        <v>1687</v>
      </c>
      <c r="O103" s="135">
        <v>442</v>
      </c>
      <c r="P103" s="135">
        <v>3534995</v>
      </c>
      <c r="Q103" s="135">
        <v>0</v>
      </c>
      <c r="R103" s="135">
        <v>1903000</v>
      </c>
      <c r="S103" s="135">
        <v>911150</v>
      </c>
      <c r="T103" s="135">
        <v>128000</v>
      </c>
      <c r="U103" s="135">
        <v>58000</v>
      </c>
      <c r="V103" s="135">
        <v>3534995</v>
      </c>
      <c r="W103" s="135">
        <v>0</v>
      </c>
      <c r="X103" s="135">
        <v>1903000</v>
      </c>
      <c r="Y103" s="135">
        <v>911150</v>
      </c>
      <c r="Z103" s="135">
        <v>134000</v>
      </c>
      <c r="AA103" s="135">
        <v>58000</v>
      </c>
      <c r="AB103" s="135">
        <v>-3281450</v>
      </c>
      <c r="AC103" s="135">
        <v>-49788</v>
      </c>
      <c r="AD103" s="135">
        <v>0</v>
      </c>
      <c r="AE103" s="135">
        <v>0</v>
      </c>
      <c r="AF103" s="135">
        <v>0</v>
      </c>
      <c r="AG103" s="135">
        <v>0</v>
      </c>
      <c r="AH103" s="135">
        <v>22336.065573770491</v>
      </c>
      <c r="AI103" s="135">
        <v>596327.86885245913</v>
      </c>
      <c r="AJ103" s="139"/>
      <c r="AK103" s="82">
        <v>103945635</v>
      </c>
      <c r="AL103" s="82">
        <v>3391767</v>
      </c>
      <c r="AN103" s="135">
        <v>14947693</v>
      </c>
      <c r="AO103" s="135">
        <v>207228</v>
      </c>
      <c r="AP103" s="135">
        <v>9218981</v>
      </c>
      <c r="AQ103" s="135">
        <v>7164721</v>
      </c>
      <c r="AR103" s="135">
        <v>1116494</v>
      </c>
      <c r="AT103" s="135">
        <v>35200</v>
      </c>
      <c r="AX103" s="135">
        <v>151612</v>
      </c>
      <c r="AZ103" s="82">
        <v>7922099.71</v>
      </c>
      <c r="BA103" s="82">
        <v>3961049.86</v>
      </c>
      <c r="BB103" s="117">
        <v>0</v>
      </c>
      <c r="BC103" s="118">
        <v>2943582</v>
      </c>
      <c r="BD103" s="118">
        <v>5887163</v>
      </c>
      <c r="BE103" s="117">
        <v>13001228</v>
      </c>
      <c r="BF103" s="117">
        <v>13001228</v>
      </c>
      <c r="BG103" s="117">
        <v>45304840</v>
      </c>
      <c r="BH103" s="117">
        <v>41313120</v>
      </c>
      <c r="BI103" s="117">
        <v>0</v>
      </c>
      <c r="BJ103" s="117">
        <v>0</v>
      </c>
      <c r="BK103" s="138"/>
      <c r="BL103" s="86">
        <v>684831923.7944262</v>
      </c>
      <c r="BM103" s="86">
        <v>516275541.93442619</v>
      </c>
      <c r="BN103" s="87">
        <v>1487026</v>
      </c>
      <c r="BP103" s="86">
        <v>493337236</v>
      </c>
      <c r="BQ103" s="86">
        <v>103945635</v>
      </c>
      <c r="BR103" s="86">
        <v>3391767</v>
      </c>
      <c r="BS103" s="86">
        <v>22319642</v>
      </c>
      <c r="BT103" s="86">
        <v>622994280</v>
      </c>
    </row>
    <row r="104" spans="1:72" x14ac:dyDescent="0.25">
      <c r="A104" s="91" t="s">
        <v>158</v>
      </c>
      <c r="B104" s="135">
        <v>611906913</v>
      </c>
      <c r="C104" s="135">
        <v>172915841</v>
      </c>
      <c r="D104" s="135">
        <v>351134868</v>
      </c>
      <c r="E104" s="135">
        <v>0</v>
      </c>
      <c r="F104" s="135">
        <v>59038499</v>
      </c>
      <c r="G104" s="135">
        <v>11761716</v>
      </c>
      <c r="H104" s="135">
        <v>16555842</v>
      </c>
      <c r="I104" s="135">
        <v>1314292</v>
      </c>
      <c r="J104" s="135">
        <v>0</v>
      </c>
      <c r="K104" s="135">
        <v>0</v>
      </c>
      <c r="L104" s="135">
        <v>110360410</v>
      </c>
      <c r="M104" s="135">
        <v>83905912</v>
      </c>
      <c r="N104" s="135">
        <v>2007</v>
      </c>
      <c r="O104" s="135">
        <v>394</v>
      </c>
      <c r="P104" s="135">
        <v>6076449</v>
      </c>
      <c r="Q104" s="135">
        <v>42117376</v>
      </c>
      <c r="R104" s="135">
        <v>9358811</v>
      </c>
      <c r="S104" s="135">
        <v>2812368</v>
      </c>
      <c r="T104" s="135">
        <v>172929</v>
      </c>
      <c r="U104" s="135">
        <v>685360</v>
      </c>
      <c r="V104" s="135">
        <v>6076449</v>
      </c>
      <c r="W104" s="135">
        <v>42802386</v>
      </c>
      <c r="X104" s="135">
        <v>9358811</v>
      </c>
      <c r="Y104" s="135">
        <v>2812368</v>
      </c>
      <c r="Z104" s="135">
        <v>610049</v>
      </c>
      <c r="AA104" s="135">
        <v>685360</v>
      </c>
      <c r="AB104" s="135">
        <v>-5010833</v>
      </c>
      <c r="AC104" s="135">
        <v>1540118</v>
      </c>
      <c r="AD104" s="135">
        <v>54250</v>
      </c>
      <c r="AE104" s="135">
        <v>0</v>
      </c>
      <c r="AF104" s="135">
        <v>0</v>
      </c>
      <c r="AG104" s="135">
        <v>88350.487999999998</v>
      </c>
      <c r="AH104" s="135">
        <v>0</v>
      </c>
      <c r="AI104" s="135">
        <v>70803.278688524588</v>
      </c>
      <c r="AJ104" s="139"/>
      <c r="AK104" s="82">
        <v>160191709</v>
      </c>
      <c r="AL104" s="82">
        <v>6639039</v>
      </c>
      <c r="AM104" s="135">
        <v>983150</v>
      </c>
      <c r="AN104" s="135">
        <v>49948357</v>
      </c>
      <c r="AO104" s="135">
        <v>1375327</v>
      </c>
      <c r="AP104" s="135">
        <v>86714193</v>
      </c>
      <c r="AQ104" s="135">
        <v>77792607</v>
      </c>
      <c r="AR104" s="135">
        <v>48033594</v>
      </c>
      <c r="AT104" s="135">
        <f>32357195+3000</f>
        <v>32360195</v>
      </c>
      <c r="AX104" s="135">
        <v>18417</v>
      </c>
      <c r="AY104" s="135">
        <v>17500</v>
      </c>
      <c r="AZ104" s="82">
        <v>12208831.01</v>
      </c>
      <c r="BA104" s="82">
        <v>6104415.5099999998</v>
      </c>
      <c r="BB104" s="117">
        <v>0</v>
      </c>
      <c r="BC104" s="118">
        <v>0</v>
      </c>
      <c r="BD104" s="118">
        <v>0</v>
      </c>
      <c r="BE104" s="117">
        <v>21937308</v>
      </c>
      <c r="BF104" s="117">
        <v>21937308</v>
      </c>
      <c r="BG104" s="117">
        <v>181621559</v>
      </c>
      <c r="BH104" s="117">
        <v>179879243</v>
      </c>
      <c r="BI104" s="117">
        <v>0</v>
      </c>
      <c r="BJ104" s="117">
        <v>0</v>
      </c>
      <c r="BK104" s="138"/>
      <c r="BL104" s="86">
        <v>1639896430.7886884</v>
      </c>
      <c r="BM104" s="86">
        <v>1265144716.2786884</v>
      </c>
      <c r="BN104" s="87">
        <v>649702</v>
      </c>
      <c r="BP104" s="86">
        <v>1135957622</v>
      </c>
      <c r="BQ104" s="86">
        <v>160191709</v>
      </c>
      <c r="BR104" s="86">
        <v>6639039</v>
      </c>
      <c r="BS104" s="86">
        <v>129116291</v>
      </c>
      <c r="BT104" s="86">
        <v>1431904661</v>
      </c>
    </row>
    <row r="105" spans="1:72" x14ac:dyDescent="0.25">
      <c r="A105" s="91" t="s">
        <v>159</v>
      </c>
      <c r="B105" s="135">
        <v>613206802</v>
      </c>
      <c r="C105" s="135">
        <v>137701267</v>
      </c>
      <c r="D105" s="135">
        <v>212534410</v>
      </c>
      <c r="E105" s="135">
        <v>0</v>
      </c>
      <c r="F105" s="135">
        <v>63786800</v>
      </c>
      <c r="G105" s="135">
        <v>11253250</v>
      </c>
      <c r="H105" s="135">
        <v>17531400</v>
      </c>
      <c r="I105" s="135">
        <v>1362200</v>
      </c>
      <c r="J105" s="135">
        <v>243000</v>
      </c>
      <c r="K105" s="135">
        <v>0</v>
      </c>
      <c r="L105" s="135">
        <v>268393435</v>
      </c>
      <c r="M105" s="135">
        <v>107126827</v>
      </c>
      <c r="N105" s="135">
        <v>2152</v>
      </c>
      <c r="O105" s="135">
        <v>388</v>
      </c>
      <c r="P105" s="135">
        <v>8300175</v>
      </c>
      <c r="Q105" s="135">
        <v>3563150</v>
      </c>
      <c r="R105" s="135">
        <v>3015400</v>
      </c>
      <c r="S105" s="135">
        <v>10466979</v>
      </c>
      <c r="T105" s="135">
        <v>847100</v>
      </c>
      <c r="U105" s="135">
        <v>691400</v>
      </c>
      <c r="V105" s="135">
        <v>8300175</v>
      </c>
      <c r="W105" s="135">
        <v>4032450</v>
      </c>
      <c r="X105" s="135">
        <v>3015400</v>
      </c>
      <c r="Y105" s="135">
        <v>10466979</v>
      </c>
      <c r="Z105" s="135">
        <v>1758395</v>
      </c>
      <c r="AA105" s="135">
        <v>691400</v>
      </c>
      <c r="AB105" s="135">
        <v>-2189200</v>
      </c>
      <c r="AC105" s="135">
        <v>-1611147</v>
      </c>
      <c r="AH105" s="135">
        <v>106918.03418032787</v>
      </c>
      <c r="AI105" s="135">
        <v>0</v>
      </c>
      <c r="AJ105" s="139"/>
      <c r="AK105" s="82">
        <v>119720631</v>
      </c>
      <c r="AL105" s="82">
        <v>30664836</v>
      </c>
      <c r="AM105" s="135">
        <v>23424493</v>
      </c>
      <c r="AN105" s="135">
        <v>21173256</v>
      </c>
      <c r="AO105" s="135">
        <v>4185051</v>
      </c>
      <c r="AP105" s="135">
        <v>104827672</v>
      </c>
      <c r="AQ105" s="135">
        <v>28620950</v>
      </c>
      <c r="AR105" s="135">
        <v>58522995</v>
      </c>
      <c r="AS105" s="135">
        <v>50134252</v>
      </c>
      <c r="AT105" s="135">
        <v>596164</v>
      </c>
      <c r="AX105" s="135">
        <v>62653</v>
      </c>
      <c r="AY105" s="135">
        <v>1593000</v>
      </c>
      <c r="AZ105" s="82">
        <v>9124373.3000000007</v>
      </c>
      <c r="BA105" s="82">
        <v>4562186.6500000004</v>
      </c>
      <c r="BB105" s="117">
        <v>0</v>
      </c>
      <c r="BC105" s="118">
        <v>0</v>
      </c>
      <c r="BD105" s="118">
        <v>0</v>
      </c>
      <c r="BE105" s="117">
        <v>2356585</v>
      </c>
      <c r="BF105" s="117">
        <v>2356585</v>
      </c>
      <c r="BG105" s="117">
        <v>70222785</v>
      </c>
      <c r="BH105" s="117">
        <v>70103829</v>
      </c>
      <c r="BI105" s="117">
        <v>0</v>
      </c>
      <c r="BJ105" s="117">
        <v>0</v>
      </c>
      <c r="BK105" s="138"/>
      <c r="BL105" s="86">
        <v>1244936721.6841803</v>
      </c>
      <c r="BM105" s="86">
        <v>1017528654.0341803</v>
      </c>
      <c r="BN105" s="87">
        <v>5024100</v>
      </c>
      <c r="BP105" s="86">
        <v>963442479</v>
      </c>
      <c r="BQ105" s="86">
        <v>119720631</v>
      </c>
      <c r="BR105" s="86">
        <v>30664836</v>
      </c>
      <c r="BS105" s="86">
        <v>104113509</v>
      </c>
      <c r="BT105" s="86">
        <v>1217941455</v>
      </c>
    </row>
    <row r="106" spans="1:72" x14ac:dyDescent="0.25">
      <c r="A106" s="91" t="s">
        <v>160</v>
      </c>
      <c r="B106" s="135">
        <v>3406020620</v>
      </c>
      <c r="C106" s="135">
        <v>415972439</v>
      </c>
      <c r="D106" s="135">
        <v>1403316609</v>
      </c>
      <c r="E106" s="135">
        <v>0</v>
      </c>
      <c r="F106" s="135">
        <v>128818643</v>
      </c>
      <c r="G106" s="135">
        <v>7720503</v>
      </c>
      <c r="H106" s="135">
        <v>19365726</v>
      </c>
      <c r="I106" s="135">
        <v>913713</v>
      </c>
      <c r="J106" s="135">
        <v>0</v>
      </c>
      <c r="K106" s="135">
        <v>0</v>
      </c>
      <c r="L106" s="135">
        <v>736344822</v>
      </c>
      <c r="M106" s="135">
        <v>316353265</v>
      </c>
      <c r="N106" s="135">
        <v>3686</v>
      </c>
      <c r="O106" s="135">
        <v>221</v>
      </c>
      <c r="P106" s="135">
        <v>108841672</v>
      </c>
      <c r="Q106" s="135">
        <v>729210</v>
      </c>
      <c r="R106" s="135">
        <v>72430524</v>
      </c>
      <c r="S106" s="135">
        <v>3415269</v>
      </c>
      <c r="T106" s="135">
        <v>570398</v>
      </c>
      <c r="U106" s="135">
        <v>2360138</v>
      </c>
      <c r="V106" s="135">
        <v>108841672</v>
      </c>
      <c r="W106" s="135">
        <v>9026067</v>
      </c>
      <c r="X106" s="135">
        <v>72430524</v>
      </c>
      <c r="Y106" s="135">
        <v>3415269</v>
      </c>
      <c r="Z106" s="135">
        <v>6169730</v>
      </c>
      <c r="AA106" s="135">
        <v>2360138</v>
      </c>
      <c r="AB106" s="135">
        <v>-37742062</v>
      </c>
      <c r="AG106" s="135" t="s">
        <v>345</v>
      </c>
      <c r="AH106" s="135">
        <v>0</v>
      </c>
      <c r="AI106" s="135">
        <v>624637.29508196726</v>
      </c>
      <c r="AJ106" s="139"/>
      <c r="AK106" s="82">
        <v>503982676</v>
      </c>
      <c r="AL106" s="82">
        <v>11830043</v>
      </c>
      <c r="AN106" s="135">
        <v>108014569</v>
      </c>
      <c r="AO106" s="135">
        <v>20400354</v>
      </c>
      <c r="AP106" s="135">
        <v>478239779</v>
      </c>
      <c r="AQ106" s="135">
        <v>115613863</v>
      </c>
      <c r="AR106" s="135">
        <v>133436966</v>
      </c>
      <c r="AS106" s="135">
        <v>14497294</v>
      </c>
      <c r="AT106" s="135">
        <f>43949555+2023017965</f>
        <v>2066967520</v>
      </c>
      <c r="AV106" s="135">
        <v>98298</v>
      </c>
      <c r="AX106" s="135">
        <v>2897453</v>
      </c>
      <c r="AY106" s="135">
        <v>11366425</v>
      </c>
      <c r="AZ106" s="82">
        <v>38410473.049999997</v>
      </c>
      <c r="BA106" s="82">
        <v>19205236.530000001</v>
      </c>
      <c r="BB106" s="117">
        <v>0</v>
      </c>
      <c r="BC106" s="118">
        <v>4670162</v>
      </c>
      <c r="BD106" s="118">
        <v>9340323</v>
      </c>
      <c r="BE106" s="117">
        <v>102950520</v>
      </c>
      <c r="BF106" s="117">
        <v>102887299</v>
      </c>
      <c r="BG106" s="117">
        <v>116089076</v>
      </c>
      <c r="BH106" s="117">
        <v>108722210</v>
      </c>
      <c r="BI106" s="117">
        <v>0</v>
      </c>
      <c r="BJ106" s="117">
        <v>0</v>
      </c>
      <c r="BK106" s="138"/>
      <c r="BL106" s="86">
        <v>6221260717.8250818</v>
      </c>
      <c r="BM106" s="86">
        <v>5469963091.2950821</v>
      </c>
      <c r="BN106" s="87">
        <v>6604350</v>
      </c>
      <c r="BP106" s="86">
        <v>5225309668</v>
      </c>
      <c r="BQ106" s="86">
        <v>503982676</v>
      </c>
      <c r="BR106" s="86">
        <v>11830043</v>
      </c>
      <c r="BS106" s="86">
        <v>258526080</v>
      </c>
      <c r="BT106" s="86">
        <v>5999648467</v>
      </c>
    </row>
    <row r="107" spans="1:72" x14ac:dyDescent="0.25">
      <c r="A107" s="91" t="s">
        <v>161</v>
      </c>
      <c r="B107" s="135">
        <v>2538859494</v>
      </c>
      <c r="C107" s="135">
        <v>704285597</v>
      </c>
      <c r="D107" s="135">
        <v>648358681</v>
      </c>
      <c r="E107" s="135">
        <v>63172690</v>
      </c>
      <c r="F107" s="135">
        <v>117641060</v>
      </c>
      <c r="G107" s="135">
        <v>13999550</v>
      </c>
      <c r="H107" s="135">
        <v>27254050</v>
      </c>
      <c r="I107" s="135">
        <v>2383000</v>
      </c>
      <c r="J107" s="135">
        <v>81000</v>
      </c>
      <c r="K107" s="135">
        <v>0</v>
      </c>
      <c r="L107" s="135">
        <v>882578023</v>
      </c>
      <c r="M107" s="135">
        <v>490262676</v>
      </c>
      <c r="N107" s="135">
        <v>3590</v>
      </c>
      <c r="O107" s="135">
        <v>407</v>
      </c>
      <c r="P107" s="135">
        <v>71413240</v>
      </c>
      <c r="Q107" s="135">
        <v>11450255</v>
      </c>
      <c r="R107" s="135">
        <v>10955380</v>
      </c>
      <c r="S107" s="135">
        <v>7214831</v>
      </c>
      <c r="T107" s="135">
        <v>7840542</v>
      </c>
      <c r="U107" s="135">
        <v>13113657</v>
      </c>
      <c r="V107" s="135">
        <v>71413240</v>
      </c>
      <c r="W107" s="135">
        <v>12438320</v>
      </c>
      <c r="X107" s="135">
        <v>10955380</v>
      </c>
      <c r="Y107" s="135">
        <v>7214831</v>
      </c>
      <c r="Z107" s="135">
        <v>18476458</v>
      </c>
      <c r="AA107" s="135">
        <v>13113657</v>
      </c>
      <c r="AB107" s="135">
        <v>-14425670</v>
      </c>
      <c r="AC107" s="135">
        <v>41794</v>
      </c>
      <c r="AD107" s="135">
        <v>0</v>
      </c>
      <c r="AE107" s="135">
        <v>0</v>
      </c>
      <c r="AF107" s="135">
        <v>37256548</v>
      </c>
      <c r="AG107" s="135">
        <v>232345</v>
      </c>
      <c r="AH107" s="135">
        <v>0</v>
      </c>
      <c r="AI107" s="135">
        <v>0</v>
      </c>
      <c r="AJ107" s="139"/>
      <c r="AK107" s="82">
        <v>428111859</v>
      </c>
      <c r="AL107" s="82">
        <v>11441335</v>
      </c>
      <c r="AM107" s="135">
        <v>125000</v>
      </c>
      <c r="AN107" s="135">
        <v>157817851</v>
      </c>
      <c r="AO107" s="135">
        <v>12074147</v>
      </c>
      <c r="AP107" s="135">
        <v>344578002</v>
      </c>
      <c r="AQ107" s="135">
        <v>108171904</v>
      </c>
      <c r="AR107" s="135">
        <v>109482389</v>
      </c>
      <c r="AS107" s="135">
        <v>41316619</v>
      </c>
      <c r="AT107" s="135">
        <v>12508499</v>
      </c>
      <c r="AW107" s="135">
        <v>19373212</v>
      </c>
      <c r="AX107" s="135">
        <v>731834</v>
      </c>
      <c r="AY107" s="135">
        <v>332972</v>
      </c>
      <c r="AZ107" s="82">
        <v>32628064.030000001</v>
      </c>
      <c r="BA107" s="82">
        <v>16314032.02</v>
      </c>
      <c r="BB107" s="117">
        <v>0</v>
      </c>
      <c r="BC107" s="118">
        <v>5461541</v>
      </c>
      <c r="BD107" s="118">
        <v>10923083</v>
      </c>
      <c r="BE107" s="117">
        <v>99492324</v>
      </c>
      <c r="BF107" s="117">
        <v>98810874</v>
      </c>
      <c r="BG107" s="117">
        <v>122575956</v>
      </c>
      <c r="BH107" s="117">
        <v>117124759</v>
      </c>
      <c r="BI107" s="117">
        <v>95236309</v>
      </c>
      <c r="BJ107" s="117">
        <v>0</v>
      </c>
      <c r="BK107" s="138"/>
      <c r="BL107" s="86">
        <v>4942068383.0200005</v>
      </c>
      <c r="BM107" s="86">
        <v>4169567674</v>
      </c>
      <c r="BN107" s="87">
        <v>2340564</v>
      </c>
      <c r="BP107" s="86">
        <v>3891503772</v>
      </c>
      <c r="BQ107" s="86">
        <v>428111859</v>
      </c>
      <c r="BR107" s="86">
        <v>11441335</v>
      </c>
      <c r="BS107" s="86">
        <v>319380521</v>
      </c>
      <c r="BT107" s="86">
        <v>4650437487</v>
      </c>
    </row>
    <row r="108" spans="1:72" x14ac:dyDescent="0.25">
      <c r="A108" s="91" t="s">
        <v>162</v>
      </c>
      <c r="B108" s="135">
        <v>771244028</v>
      </c>
      <c r="C108" s="135">
        <v>217030555</v>
      </c>
      <c r="D108" s="135">
        <v>402199868</v>
      </c>
      <c r="E108" s="135">
        <v>0</v>
      </c>
      <c r="F108" s="135">
        <v>57747900</v>
      </c>
      <c r="G108" s="135">
        <v>4347900</v>
      </c>
      <c r="H108" s="135">
        <v>8757000</v>
      </c>
      <c r="I108" s="135">
        <v>363500</v>
      </c>
      <c r="J108" s="135">
        <v>162000</v>
      </c>
      <c r="K108" s="135">
        <v>0</v>
      </c>
      <c r="L108" s="135">
        <v>595828786</v>
      </c>
      <c r="M108" s="135">
        <v>100139300</v>
      </c>
      <c r="N108" s="135">
        <v>1668</v>
      </c>
      <c r="O108" s="135">
        <v>119</v>
      </c>
      <c r="P108" s="135">
        <v>26651404</v>
      </c>
      <c r="Q108" s="135">
        <v>3305250</v>
      </c>
      <c r="R108" s="135">
        <v>18956360</v>
      </c>
      <c r="S108" s="135">
        <v>5029730</v>
      </c>
      <c r="T108" s="135">
        <v>1875350</v>
      </c>
      <c r="U108" s="135">
        <v>6893313</v>
      </c>
      <c r="V108" s="135">
        <v>26651404</v>
      </c>
      <c r="W108" s="135">
        <v>5357105</v>
      </c>
      <c r="X108" s="135">
        <v>18956360</v>
      </c>
      <c r="Y108" s="135">
        <v>5029730</v>
      </c>
      <c r="Z108" s="135">
        <v>2274809</v>
      </c>
      <c r="AA108" s="135">
        <v>6893313</v>
      </c>
      <c r="AB108" s="135">
        <v>-7780450</v>
      </c>
      <c r="AC108" s="135">
        <v>-785474</v>
      </c>
      <c r="AH108" s="135">
        <v>44069.672131147541</v>
      </c>
      <c r="AI108" s="135">
        <v>637756.14754098363</v>
      </c>
      <c r="AJ108" s="139"/>
      <c r="AK108" s="82">
        <v>149866614</v>
      </c>
      <c r="AL108" s="82">
        <v>4058579</v>
      </c>
      <c r="AN108" s="135">
        <v>100340530</v>
      </c>
      <c r="AO108" s="135">
        <v>6428164</v>
      </c>
      <c r="AP108" s="135">
        <v>302023564</v>
      </c>
      <c r="AQ108" s="135">
        <v>134058962</v>
      </c>
      <c r="AR108" s="135">
        <v>85751838</v>
      </c>
      <c r="AS108" s="135">
        <v>141790698</v>
      </c>
      <c r="AT108" s="135">
        <v>25110738</v>
      </c>
      <c r="AV108" s="135">
        <v>2262715</v>
      </c>
      <c r="AW108" s="135">
        <v>20905602</v>
      </c>
      <c r="AX108" s="135">
        <v>15436</v>
      </c>
      <c r="AY108" s="135">
        <v>98000</v>
      </c>
      <c r="AZ108" s="82">
        <v>11421915.5</v>
      </c>
      <c r="BA108" s="82">
        <v>5710957.75</v>
      </c>
      <c r="BB108" s="117">
        <v>0</v>
      </c>
      <c r="BC108" s="118">
        <v>1057120</v>
      </c>
      <c r="BD108" s="118">
        <v>2114239</v>
      </c>
      <c r="BE108" s="117">
        <v>23679787</v>
      </c>
      <c r="BF108" s="117">
        <v>23679787</v>
      </c>
      <c r="BG108" s="117">
        <v>28572864</v>
      </c>
      <c r="BH108" s="117">
        <v>26202647</v>
      </c>
      <c r="BI108" s="117">
        <v>3724</v>
      </c>
      <c r="BJ108" s="117">
        <v>10589817</v>
      </c>
      <c r="BK108" s="138"/>
      <c r="BL108" s="86">
        <v>1853153178.5696721</v>
      </c>
      <c r="BM108" s="86">
        <v>1631983932.8196721</v>
      </c>
      <c r="BN108" s="87">
        <v>4268058</v>
      </c>
      <c r="BP108" s="86">
        <v>1390474451</v>
      </c>
      <c r="BQ108" s="86">
        <v>149866614</v>
      </c>
      <c r="BR108" s="86">
        <v>4058579</v>
      </c>
      <c r="BS108" s="86">
        <v>382618354</v>
      </c>
      <c r="BT108" s="86">
        <v>1927017998</v>
      </c>
    </row>
    <row r="109" spans="1:72" x14ac:dyDescent="0.25">
      <c r="A109" s="91" t="s">
        <v>163</v>
      </c>
      <c r="B109" s="135">
        <v>1202027299</v>
      </c>
      <c r="C109" s="135">
        <v>223961272</v>
      </c>
      <c r="D109" s="135">
        <v>68003189</v>
      </c>
      <c r="E109" s="135">
        <v>0</v>
      </c>
      <c r="F109" s="135">
        <v>53492700</v>
      </c>
      <c r="G109" s="135">
        <v>6822100</v>
      </c>
      <c r="H109" s="135">
        <v>14066550</v>
      </c>
      <c r="I109" s="135">
        <v>1537500</v>
      </c>
      <c r="J109" s="135">
        <v>146500</v>
      </c>
      <c r="K109" s="135">
        <v>0</v>
      </c>
      <c r="L109" s="135">
        <v>366762043</v>
      </c>
      <c r="M109" s="135">
        <v>174999400</v>
      </c>
      <c r="N109" s="135">
        <v>1693</v>
      </c>
      <c r="O109" s="135">
        <v>211</v>
      </c>
      <c r="P109" s="135">
        <v>41234381</v>
      </c>
      <c r="Q109" s="135">
        <v>6163129</v>
      </c>
      <c r="R109" s="135">
        <v>1427500</v>
      </c>
      <c r="S109" s="135">
        <v>1603329</v>
      </c>
      <c r="T109" s="135">
        <v>1498440</v>
      </c>
      <c r="U109" s="135">
        <v>111608</v>
      </c>
      <c r="V109" s="135">
        <v>41234381</v>
      </c>
      <c r="W109" s="135">
        <v>7085264</v>
      </c>
      <c r="X109" s="135">
        <v>1427500</v>
      </c>
      <c r="Y109" s="135">
        <v>1603329</v>
      </c>
      <c r="Z109" s="135">
        <v>2193905</v>
      </c>
      <c r="AA109" s="135">
        <v>111608</v>
      </c>
      <c r="AB109" s="135">
        <v>-1634050</v>
      </c>
      <c r="AC109" s="135">
        <v>-811367</v>
      </c>
      <c r="AD109" s="135">
        <v>6867</v>
      </c>
      <c r="AE109" s="135">
        <v>0</v>
      </c>
      <c r="AF109" s="135">
        <v>369842304</v>
      </c>
      <c r="AG109" s="135">
        <v>134135</v>
      </c>
      <c r="AH109" s="135">
        <v>0</v>
      </c>
      <c r="AI109" s="135">
        <v>0</v>
      </c>
      <c r="AJ109" s="139"/>
      <c r="AK109" s="82">
        <v>181442574</v>
      </c>
      <c r="AL109" s="82">
        <v>11718424</v>
      </c>
      <c r="AM109" s="135">
        <v>405360</v>
      </c>
      <c r="AN109" s="135">
        <v>7698175</v>
      </c>
      <c r="AO109" s="135">
        <v>117584</v>
      </c>
      <c r="AP109" s="135">
        <v>475159</v>
      </c>
      <c r="AQ109" s="135">
        <v>6092381</v>
      </c>
      <c r="AR109" s="135">
        <v>421310</v>
      </c>
      <c r="AT109" s="135">
        <f>883277+75</f>
        <v>883352</v>
      </c>
      <c r="AX109" s="135">
        <v>10301</v>
      </c>
      <c r="AY109" s="135">
        <v>93500</v>
      </c>
      <c r="AZ109" s="82">
        <v>13828441.789999999</v>
      </c>
      <c r="BA109" s="82">
        <v>6914220.9000000004</v>
      </c>
      <c r="BB109" s="117">
        <v>0</v>
      </c>
      <c r="BC109" s="118">
        <v>0</v>
      </c>
      <c r="BD109" s="118">
        <v>0</v>
      </c>
      <c r="BE109" s="117">
        <v>4135555</v>
      </c>
      <c r="BF109" s="117">
        <v>4135555</v>
      </c>
      <c r="BG109" s="117">
        <v>22875515</v>
      </c>
      <c r="BH109" s="117">
        <v>22861110</v>
      </c>
      <c r="BI109" s="117">
        <v>0</v>
      </c>
      <c r="BJ109" s="117">
        <v>0</v>
      </c>
      <c r="BK109" s="138"/>
      <c r="BL109" s="86">
        <v>1734971783.9000001</v>
      </c>
      <c r="BM109" s="86">
        <v>1507899900</v>
      </c>
      <c r="BN109" s="87">
        <v>1422839</v>
      </c>
      <c r="BP109" s="86">
        <v>1493991760</v>
      </c>
      <c r="BQ109" s="86">
        <v>181442574</v>
      </c>
      <c r="BR109" s="86">
        <v>11718424</v>
      </c>
      <c r="BS109" s="86">
        <v>13908140</v>
      </c>
      <c r="BT109" s="86">
        <v>1701060898</v>
      </c>
    </row>
    <row r="110" spans="1:72" x14ac:dyDescent="0.25">
      <c r="A110" s="91" t="s">
        <v>164</v>
      </c>
      <c r="B110" s="135">
        <v>736825755</v>
      </c>
      <c r="C110" s="135">
        <v>157322166</v>
      </c>
      <c r="D110" s="135">
        <v>323451086</v>
      </c>
      <c r="E110" s="135">
        <v>0</v>
      </c>
      <c r="F110" s="135">
        <v>88575998</v>
      </c>
      <c r="G110" s="135">
        <v>12274536</v>
      </c>
      <c r="H110" s="135">
        <v>17408435</v>
      </c>
      <c r="I110" s="135">
        <v>1356220</v>
      </c>
      <c r="J110" s="135">
        <v>187000</v>
      </c>
      <c r="K110" s="135">
        <v>0</v>
      </c>
      <c r="L110" s="135">
        <v>305710569</v>
      </c>
      <c r="M110" s="135">
        <v>117465130</v>
      </c>
      <c r="N110" s="135">
        <v>2708</v>
      </c>
      <c r="O110" s="135">
        <v>368</v>
      </c>
      <c r="P110" s="135">
        <v>13038852</v>
      </c>
      <c r="Q110" s="135">
        <v>4236157</v>
      </c>
      <c r="R110" s="135">
        <v>3296230</v>
      </c>
      <c r="S110" s="135">
        <v>2141856</v>
      </c>
      <c r="T110" s="135">
        <v>396158</v>
      </c>
      <c r="U110" s="135">
        <v>1077445</v>
      </c>
      <c r="V110" s="135">
        <v>13038852</v>
      </c>
      <c r="W110" s="135">
        <v>4520005</v>
      </c>
      <c r="X110" s="135">
        <v>3296230</v>
      </c>
      <c r="Y110" s="135">
        <v>2141856</v>
      </c>
      <c r="Z110" s="135">
        <v>621353</v>
      </c>
      <c r="AA110" s="135">
        <v>1077445</v>
      </c>
      <c r="AB110" s="135">
        <v>-2692806</v>
      </c>
      <c r="AC110" s="135">
        <v>99319</v>
      </c>
      <c r="AD110" s="135">
        <v>53842</v>
      </c>
      <c r="AE110" s="135">
        <v>0</v>
      </c>
      <c r="AF110" s="135">
        <v>0</v>
      </c>
      <c r="AG110" s="135">
        <v>0</v>
      </c>
      <c r="AH110" s="135">
        <v>0</v>
      </c>
      <c r="AI110" s="135">
        <v>0</v>
      </c>
      <c r="AJ110" s="139"/>
      <c r="AK110" s="82">
        <v>179365184</v>
      </c>
      <c r="AL110" s="82">
        <v>8346944</v>
      </c>
      <c r="AM110" s="135">
        <v>4116361</v>
      </c>
      <c r="AN110" s="135">
        <v>62354874</v>
      </c>
      <c r="AO110" s="135">
        <v>2426935</v>
      </c>
      <c r="AP110" s="135">
        <v>28179082</v>
      </c>
      <c r="AQ110" s="135">
        <v>40560585</v>
      </c>
      <c r="AR110" s="135">
        <v>43501543</v>
      </c>
      <c r="AS110" s="135">
        <v>29642715</v>
      </c>
      <c r="AT110" s="135">
        <v>587069</v>
      </c>
      <c r="AW110" s="135">
        <v>15669</v>
      </c>
      <c r="AX110" s="135">
        <v>99113</v>
      </c>
      <c r="AY110" s="135">
        <v>81000</v>
      </c>
      <c r="AZ110" s="82">
        <v>13670115.85</v>
      </c>
      <c r="BA110" s="82">
        <v>6835057.9299999997</v>
      </c>
      <c r="BB110" s="117">
        <v>0</v>
      </c>
      <c r="BC110" s="118">
        <v>0</v>
      </c>
      <c r="BD110" s="118">
        <v>0</v>
      </c>
      <c r="BE110" s="117">
        <v>29575429</v>
      </c>
      <c r="BF110" s="117">
        <v>29575429</v>
      </c>
      <c r="BG110" s="117">
        <v>122627224</v>
      </c>
      <c r="BH110" s="117">
        <v>121230047</v>
      </c>
      <c r="BI110" s="117">
        <v>0</v>
      </c>
      <c r="BJ110" s="117">
        <v>0</v>
      </c>
      <c r="BK110" s="138"/>
      <c r="BL110" s="86">
        <v>1668294062.9300001</v>
      </c>
      <c r="BM110" s="86">
        <v>1322941401</v>
      </c>
      <c r="BN110" s="87">
        <v>1491000</v>
      </c>
      <c r="BP110" s="86">
        <v>1217599007</v>
      </c>
      <c r="BQ110" s="86">
        <v>179365184</v>
      </c>
      <c r="BR110" s="86">
        <v>8346944</v>
      </c>
      <c r="BS110" s="86">
        <v>134985109</v>
      </c>
      <c r="BT110" s="86">
        <v>1540296244</v>
      </c>
    </row>
    <row r="111" spans="1:72" x14ac:dyDescent="0.25">
      <c r="A111" s="91" t="s">
        <v>165</v>
      </c>
      <c r="B111" s="135">
        <v>255958390</v>
      </c>
      <c r="C111" s="135">
        <v>176520360</v>
      </c>
      <c r="D111" s="135">
        <v>182302443</v>
      </c>
      <c r="E111" s="135">
        <v>0</v>
      </c>
      <c r="F111" s="135">
        <v>33811742</v>
      </c>
      <c r="G111" s="135">
        <v>4540504</v>
      </c>
      <c r="H111" s="135">
        <v>8778296</v>
      </c>
      <c r="I111" s="135">
        <v>579000</v>
      </c>
      <c r="J111" s="135">
        <v>40500</v>
      </c>
      <c r="K111" s="135">
        <v>0</v>
      </c>
      <c r="L111" s="135">
        <v>635012167</v>
      </c>
      <c r="M111" s="135">
        <v>70448136</v>
      </c>
      <c r="N111" s="135">
        <v>1140</v>
      </c>
      <c r="O111" s="135">
        <v>147</v>
      </c>
      <c r="P111" s="135">
        <v>3726455</v>
      </c>
      <c r="Q111" s="135">
        <v>3210820</v>
      </c>
      <c r="R111" s="135">
        <v>26916201</v>
      </c>
      <c r="S111" s="135">
        <v>810195</v>
      </c>
      <c r="T111" s="135">
        <v>0</v>
      </c>
      <c r="U111" s="135">
        <v>128376</v>
      </c>
      <c r="V111" s="135">
        <v>3726455</v>
      </c>
      <c r="W111" s="135">
        <v>3429820</v>
      </c>
      <c r="X111" s="135">
        <v>26916201</v>
      </c>
      <c r="Y111" s="135">
        <v>810195</v>
      </c>
      <c r="Z111" s="135">
        <v>0</v>
      </c>
      <c r="AA111" s="135">
        <v>128376</v>
      </c>
      <c r="AB111" s="135">
        <v>-888036</v>
      </c>
      <c r="AC111" s="135">
        <v>-50056</v>
      </c>
      <c r="AD111" s="135">
        <v>70205</v>
      </c>
      <c r="AE111" s="135">
        <v>49246</v>
      </c>
      <c r="AF111" s="135">
        <v>107397766</v>
      </c>
      <c r="AG111" s="135">
        <v>226323</v>
      </c>
      <c r="AH111" s="135">
        <v>50266.393114754101</v>
      </c>
      <c r="AI111" s="135">
        <v>60818.442622950824</v>
      </c>
      <c r="AJ111" s="139">
        <v>35800</v>
      </c>
      <c r="AK111" s="82">
        <v>90904926</v>
      </c>
      <c r="AL111" s="82">
        <v>1871812</v>
      </c>
      <c r="AN111" s="135">
        <v>19750809</v>
      </c>
      <c r="AO111" s="135">
        <v>2858034</v>
      </c>
      <c r="AP111" s="135">
        <v>199567175</v>
      </c>
      <c r="AQ111" s="135">
        <v>26062041</v>
      </c>
      <c r="AR111" s="135">
        <v>36708280</v>
      </c>
      <c r="AS111" s="135">
        <v>2749048</v>
      </c>
      <c r="AT111" s="135">
        <v>3388986</v>
      </c>
      <c r="AV111" s="135">
        <v>6749450</v>
      </c>
      <c r="AW111" s="135">
        <v>20994487</v>
      </c>
      <c r="AX111" s="135">
        <v>8189</v>
      </c>
      <c r="AY111" s="135">
        <v>213000</v>
      </c>
      <c r="AZ111" s="82">
        <v>6928216.7400000002</v>
      </c>
      <c r="BA111" s="82">
        <v>3464108.37</v>
      </c>
      <c r="BB111" s="117">
        <v>0</v>
      </c>
      <c r="BC111" s="118">
        <v>1622912</v>
      </c>
      <c r="BD111" s="118">
        <v>3245824</v>
      </c>
      <c r="BE111" s="117">
        <v>13857180</v>
      </c>
      <c r="BF111" s="117">
        <v>13857180</v>
      </c>
      <c r="BG111" s="117">
        <v>48538952</v>
      </c>
      <c r="BH111" s="117">
        <v>40670731</v>
      </c>
      <c r="BI111" s="117">
        <v>0</v>
      </c>
      <c r="BJ111" s="117">
        <v>0</v>
      </c>
      <c r="BK111" s="138"/>
      <c r="BL111" s="86">
        <v>815990631.20573771</v>
      </c>
      <c r="BM111" s="86">
        <v>663598961.83573771</v>
      </c>
      <c r="BN111" s="87">
        <v>1293372</v>
      </c>
      <c r="BP111" s="86">
        <v>614781193</v>
      </c>
      <c r="BQ111" s="86">
        <v>90904926</v>
      </c>
      <c r="BR111" s="86">
        <v>1871812</v>
      </c>
      <c r="BS111" s="86">
        <v>51419932</v>
      </c>
      <c r="BT111" s="86">
        <v>758977863</v>
      </c>
    </row>
    <row r="112" spans="1:72" x14ac:dyDescent="0.25">
      <c r="A112" s="91" t="s">
        <v>166</v>
      </c>
      <c r="B112" s="135">
        <v>728246669</v>
      </c>
      <c r="C112" s="135">
        <v>113643135</v>
      </c>
      <c r="D112" s="135">
        <v>93110981</v>
      </c>
      <c r="E112" s="135">
        <v>0</v>
      </c>
      <c r="F112" s="135">
        <v>57690051</v>
      </c>
      <c r="G112" s="135">
        <v>9812688</v>
      </c>
      <c r="H112" s="135">
        <v>6473547</v>
      </c>
      <c r="I112" s="135">
        <v>830809</v>
      </c>
      <c r="J112" s="135">
        <v>162000</v>
      </c>
      <c r="K112" s="135">
        <v>40500</v>
      </c>
      <c r="L112" s="135">
        <v>623576859</v>
      </c>
      <c r="N112" s="135">
        <v>1666</v>
      </c>
      <c r="O112" s="135">
        <v>304</v>
      </c>
      <c r="P112" s="135">
        <v>8075930</v>
      </c>
      <c r="Q112" s="135">
        <v>3097455</v>
      </c>
      <c r="R112" s="135">
        <v>355000</v>
      </c>
      <c r="S112" s="135">
        <v>629930</v>
      </c>
      <c r="T112" s="135">
        <v>170000</v>
      </c>
      <c r="U112" s="135">
        <v>273000</v>
      </c>
      <c r="V112" s="135">
        <v>8075930</v>
      </c>
      <c r="W112" s="135">
        <v>3065515</v>
      </c>
      <c r="X112" s="135">
        <v>355000</v>
      </c>
      <c r="Y112" s="135">
        <v>629930</v>
      </c>
      <c r="Z112" s="135">
        <v>170000</v>
      </c>
      <c r="AA112" s="135">
        <v>273000</v>
      </c>
      <c r="AB112" s="135">
        <v>-3996156</v>
      </c>
      <c r="AD112" s="135">
        <v>64700</v>
      </c>
      <c r="AH112" s="135">
        <v>0</v>
      </c>
      <c r="AI112" s="135">
        <v>501866.80327868857</v>
      </c>
      <c r="AJ112" s="139"/>
      <c r="AK112" s="82">
        <v>118781601</v>
      </c>
      <c r="AL112" s="82">
        <v>16159501</v>
      </c>
      <c r="AM112" s="135">
        <v>1736199</v>
      </c>
      <c r="AN112" s="135">
        <v>16218256</v>
      </c>
      <c r="AO112" s="135">
        <v>479241</v>
      </c>
      <c r="AP112" s="135">
        <v>11125671</v>
      </c>
      <c r="AQ112" s="135">
        <v>12085665</v>
      </c>
      <c r="AR112" s="135">
        <v>12188906</v>
      </c>
      <c r="AS112" s="135">
        <v>163400</v>
      </c>
      <c r="AT112" s="135">
        <f>1806626+50</f>
        <v>1806676</v>
      </c>
      <c r="AV112" s="135">
        <v>760</v>
      </c>
      <c r="AW112" s="135">
        <v>149972000</v>
      </c>
      <c r="AZ112" s="82">
        <v>9052806.1799999997</v>
      </c>
      <c r="BA112" s="82">
        <v>4526403.09</v>
      </c>
      <c r="BB112" s="117">
        <v>29615232.575936265</v>
      </c>
      <c r="BC112" s="118">
        <v>0</v>
      </c>
      <c r="BD112" s="118">
        <v>0</v>
      </c>
      <c r="BE112" s="117">
        <v>4463202</v>
      </c>
      <c r="BF112" s="117">
        <v>4463202</v>
      </c>
      <c r="BG112" s="117">
        <v>28506790</v>
      </c>
      <c r="BH112" s="117">
        <v>28258518</v>
      </c>
      <c r="BI112" s="117">
        <v>0</v>
      </c>
      <c r="BJ112" s="117">
        <v>0</v>
      </c>
      <c r="BK112" s="138"/>
      <c r="BL112" s="86">
        <v>1136475038.8932786</v>
      </c>
      <c r="BM112" s="86">
        <v>964285813.80327868</v>
      </c>
      <c r="BN112" s="87">
        <v>999813</v>
      </c>
      <c r="BP112" s="86">
        <v>935000785</v>
      </c>
      <c r="BQ112" s="86">
        <v>118781601</v>
      </c>
      <c r="BR112" s="86">
        <v>16159501</v>
      </c>
      <c r="BS112" s="86">
        <v>28946562</v>
      </c>
      <c r="BT112" s="86">
        <v>1098888449</v>
      </c>
    </row>
    <row r="113" spans="1:107" x14ac:dyDescent="0.25">
      <c r="A113" s="91" t="s">
        <v>167</v>
      </c>
      <c r="B113" s="135">
        <v>229415255</v>
      </c>
      <c r="C113" s="135">
        <v>95065150</v>
      </c>
      <c r="D113" s="135">
        <v>27384500</v>
      </c>
      <c r="E113" s="135">
        <v>0</v>
      </c>
      <c r="F113" s="135">
        <v>26628200</v>
      </c>
      <c r="G113" s="135">
        <v>3419100</v>
      </c>
      <c r="H113" s="135">
        <v>8506700</v>
      </c>
      <c r="I113" s="135">
        <v>454000</v>
      </c>
      <c r="J113" s="135">
        <v>40200</v>
      </c>
      <c r="K113" s="135">
        <v>0</v>
      </c>
      <c r="L113" s="135">
        <v>163372050</v>
      </c>
      <c r="M113" s="135">
        <v>73618700</v>
      </c>
      <c r="N113" s="135">
        <v>898</v>
      </c>
      <c r="O113" s="135">
        <v>105</v>
      </c>
      <c r="P113" s="135">
        <v>3892900</v>
      </c>
      <c r="Q113" s="135">
        <v>3388100</v>
      </c>
      <c r="R113" s="135">
        <v>53800</v>
      </c>
      <c r="S113" s="135">
        <v>2433700</v>
      </c>
      <c r="T113" s="135">
        <v>1615170</v>
      </c>
      <c r="U113" s="135">
        <v>223900</v>
      </c>
      <c r="V113" s="135">
        <v>3892900</v>
      </c>
      <c r="W113" s="135">
        <v>3844100</v>
      </c>
      <c r="X113" s="135">
        <v>53800</v>
      </c>
      <c r="Y113" s="135">
        <v>2433700</v>
      </c>
      <c r="Z113" s="135">
        <v>2283400</v>
      </c>
      <c r="AA113" s="135">
        <v>223900</v>
      </c>
      <c r="AB113" s="135">
        <v>-1189400</v>
      </c>
      <c r="AC113" s="135">
        <v>-270075</v>
      </c>
      <c r="AD113" s="135">
        <v>50982</v>
      </c>
      <c r="AE113" s="135">
        <v>8983</v>
      </c>
      <c r="AF113" s="135">
        <v>50724700</v>
      </c>
      <c r="AG113" s="135">
        <v>81623</v>
      </c>
      <c r="AH113" s="135">
        <v>0</v>
      </c>
      <c r="AI113" s="135">
        <v>0</v>
      </c>
      <c r="AJ113" s="139"/>
      <c r="AK113" s="82">
        <v>67481931</v>
      </c>
      <c r="AL113" s="82">
        <v>1894673</v>
      </c>
      <c r="AM113" s="135">
        <v>12000</v>
      </c>
      <c r="AN113" s="135">
        <v>12250763</v>
      </c>
      <c r="AO113" s="135">
        <v>262250</v>
      </c>
      <c r="AP113" s="135">
        <v>4476176</v>
      </c>
      <c r="AQ113" s="135">
        <v>1862917</v>
      </c>
      <c r="AR113" s="135">
        <v>3569126</v>
      </c>
      <c r="AT113" s="135">
        <v>133280</v>
      </c>
      <c r="AZ113" s="82">
        <v>5143059.5</v>
      </c>
      <c r="BA113" s="82">
        <v>2571529.75</v>
      </c>
      <c r="BB113" s="117">
        <v>22906809.727243524</v>
      </c>
      <c r="BC113" s="118">
        <v>0</v>
      </c>
      <c r="BD113" s="118">
        <v>0</v>
      </c>
      <c r="BE113" s="117">
        <v>181400332.62</v>
      </c>
      <c r="BF113" s="117">
        <v>181400332.62</v>
      </c>
      <c r="BG113" s="117">
        <v>61878215.140000001</v>
      </c>
      <c r="BH113" s="117">
        <v>60699762.140000001</v>
      </c>
      <c r="BI113" s="117">
        <v>0</v>
      </c>
      <c r="BJ113" s="117">
        <v>0</v>
      </c>
      <c r="BK113" s="138"/>
      <c r="BL113" s="86">
        <v>680289063.50999999</v>
      </c>
      <c r="BM113" s="86">
        <v>366240835</v>
      </c>
      <c r="BN113" s="87">
        <v>485700</v>
      </c>
      <c r="BP113" s="86">
        <v>351864905</v>
      </c>
      <c r="BQ113" s="86">
        <v>67481931</v>
      </c>
      <c r="BR113" s="86">
        <v>1894673</v>
      </c>
      <c r="BS113" s="86">
        <v>14375930</v>
      </c>
      <c r="BT113" s="86">
        <v>435617439</v>
      </c>
    </row>
    <row r="114" spans="1:107" x14ac:dyDescent="0.25">
      <c r="A114" s="91" t="s">
        <v>168</v>
      </c>
      <c r="B114" s="135">
        <v>303413179</v>
      </c>
      <c r="C114" s="135">
        <v>170928790</v>
      </c>
      <c r="D114" s="135">
        <v>112095204</v>
      </c>
      <c r="E114" s="135">
        <v>1310000</v>
      </c>
      <c r="F114" s="135">
        <v>49236600</v>
      </c>
      <c r="G114" s="135">
        <v>6251646</v>
      </c>
      <c r="H114" s="135">
        <v>6153173</v>
      </c>
      <c r="I114" s="135">
        <v>379852</v>
      </c>
      <c r="J114" s="135">
        <v>174500</v>
      </c>
      <c r="K114" s="135">
        <v>81000</v>
      </c>
      <c r="L114" s="135">
        <v>825536613</v>
      </c>
      <c r="M114" s="135">
        <v>51708858</v>
      </c>
      <c r="N114" s="135">
        <v>1447</v>
      </c>
      <c r="O114" s="135">
        <v>188</v>
      </c>
      <c r="P114" s="135">
        <v>2518023</v>
      </c>
      <c r="Q114" s="135">
        <v>1030434</v>
      </c>
      <c r="R114" s="135">
        <v>1902114</v>
      </c>
      <c r="S114" s="135">
        <v>323750</v>
      </c>
      <c r="T114" s="135">
        <v>106000</v>
      </c>
      <c r="U114" s="135">
        <v>316700</v>
      </c>
      <c r="V114" s="135">
        <v>2518023</v>
      </c>
      <c r="W114" s="135">
        <v>1030434</v>
      </c>
      <c r="X114" s="135">
        <v>1902114</v>
      </c>
      <c r="Y114" s="135">
        <v>323750</v>
      </c>
      <c r="Z114" s="135">
        <v>106000</v>
      </c>
      <c r="AA114" s="135">
        <v>316700</v>
      </c>
      <c r="AB114" s="135">
        <v>-701231</v>
      </c>
      <c r="AC114" s="135">
        <v>-3269407</v>
      </c>
      <c r="AD114" s="135">
        <v>7966</v>
      </c>
      <c r="AE114" s="135">
        <v>13318</v>
      </c>
      <c r="AF114" s="135">
        <v>44161111</v>
      </c>
      <c r="AG114" s="135">
        <v>195681</v>
      </c>
      <c r="AH114" s="135">
        <v>24476348.360819675</v>
      </c>
      <c r="AI114" s="135">
        <v>0</v>
      </c>
      <c r="AJ114" s="139">
        <v>62334000</v>
      </c>
      <c r="AK114" s="82">
        <v>138129639</v>
      </c>
      <c r="AL114" s="82">
        <v>5196446</v>
      </c>
      <c r="AM114" s="88">
        <v>86500</v>
      </c>
      <c r="AN114" s="88">
        <v>138192045</v>
      </c>
      <c r="AO114" s="88">
        <v>11996351</v>
      </c>
      <c r="AP114" s="88">
        <v>95867446</v>
      </c>
      <c r="AQ114" s="88">
        <v>41906697</v>
      </c>
      <c r="AR114" s="88">
        <v>18126782</v>
      </c>
      <c r="AS114" s="88">
        <v>30558311</v>
      </c>
      <c r="AT114" s="88">
        <v>5393969</v>
      </c>
      <c r="AU114" s="88"/>
      <c r="AV114" s="88">
        <v>43015</v>
      </c>
      <c r="AW114" s="88">
        <v>18339774</v>
      </c>
      <c r="AX114" s="88">
        <v>709115</v>
      </c>
      <c r="AY114" s="88">
        <v>2678609</v>
      </c>
      <c r="AZ114" s="82">
        <v>10527395.140000001</v>
      </c>
      <c r="BA114" s="82">
        <v>5263697.57</v>
      </c>
      <c r="BB114" s="117">
        <v>45486379.315526426</v>
      </c>
      <c r="BC114" s="118">
        <v>0</v>
      </c>
      <c r="BD114" s="118">
        <v>0</v>
      </c>
      <c r="BE114" s="117">
        <v>7540522.9000000004</v>
      </c>
      <c r="BF114" s="117">
        <v>7540522.9000000004</v>
      </c>
      <c r="BG114" s="117">
        <v>43493691.479999997</v>
      </c>
      <c r="BH114" s="117">
        <v>43396108.479999997</v>
      </c>
      <c r="BI114" s="117">
        <v>0</v>
      </c>
      <c r="BJ114" s="117">
        <v>0</v>
      </c>
      <c r="BK114" s="138"/>
      <c r="BL114" s="86">
        <v>918575463.31081975</v>
      </c>
      <c r="BM114" s="86">
        <v>719049049.3608197</v>
      </c>
      <c r="BN114" s="87">
        <v>833077</v>
      </c>
      <c r="BP114" s="86">
        <v>586437173</v>
      </c>
      <c r="BQ114" s="86">
        <v>138129639</v>
      </c>
      <c r="BR114" s="86">
        <v>5196446</v>
      </c>
      <c r="BS114" s="86">
        <v>47410050</v>
      </c>
      <c r="BT114" s="86">
        <v>777173308</v>
      </c>
    </row>
    <row r="115" spans="1:107" x14ac:dyDescent="0.25">
      <c r="A115" s="91" t="s">
        <v>169</v>
      </c>
      <c r="B115" s="135">
        <v>6338335976</v>
      </c>
      <c r="C115" s="135">
        <v>544197004</v>
      </c>
      <c r="D115" s="135">
        <v>3791109762</v>
      </c>
      <c r="E115" s="135">
        <v>127495775</v>
      </c>
      <c r="F115" s="135">
        <v>268230860</v>
      </c>
      <c r="G115" s="135">
        <v>20412830</v>
      </c>
      <c r="H115" s="135">
        <v>28068230</v>
      </c>
      <c r="I115" s="135">
        <v>1253240</v>
      </c>
      <c r="J115" s="135">
        <v>283500</v>
      </c>
      <c r="K115" s="135">
        <v>0</v>
      </c>
      <c r="L115" s="135">
        <v>1127639546</v>
      </c>
      <c r="M115" s="135">
        <v>353192670</v>
      </c>
      <c r="N115" s="135">
        <v>7415</v>
      </c>
      <c r="O115" s="135">
        <v>583</v>
      </c>
      <c r="P115" s="135">
        <v>177485310</v>
      </c>
      <c r="Q115" s="135">
        <v>7227115</v>
      </c>
      <c r="R115" s="135">
        <v>113080600</v>
      </c>
      <c r="S115" s="135">
        <v>2680090</v>
      </c>
      <c r="T115" s="135">
        <v>1146580</v>
      </c>
      <c r="U115" s="135">
        <v>8447450</v>
      </c>
      <c r="V115" s="135">
        <v>177485310</v>
      </c>
      <c r="W115" s="135">
        <v>10046760</v>
      </c>
      <c r="X115" s="135">
        <v>113080600</v>
      </c>
      <c r="Y115" s="135">
        <v>2680090</v>
      </c>
      <c r="Z115" s="135">
        <v>1247400</v>
      </c>
      <c r="AA115" s="135">
        <v>8447450</v>
      </c>
      <c r="AB115" s="135">
        <v>-18173700</v>
      </c>
      <c r="AC115" s="135">
        <v>-600905</v>
      </c>
      <c r="AD115" s="135">
        <v>71162</v>
      </c>
      <c r="AE115" s="135">
        <v>0</v>
      </c>
      <c r="AF115" s="135">
        <v>0</v>
      </c>
      <c r="AG115" s="135">
        <v>277611</v>
      </c>
      <c r="AH115" s="135">
        <v>3204311.4766393444</v>
      </c>
      <c r="AI115" s="135">
        <v>1149588.1147540985</v>
      </c>
      <c r="AJ115" s="139"/>
      <c r="AK115" s="82">
        <v>912485832</v>
      </c>
      <c r="AL115" s="82">
        <v>23438102</v>
      </c>
      <c r="AN115" s="135">
        <v>434483657</v>
      </c>
      <c r="AO115" s="135">
        <v>150462924</v>
      </c>
      <c r="AP115" s="135">
        <v>1775598042</v>
      </c>
      <c r="AQ115" s="135">
        <v>367337672</v>
      </c>
      <c r="AR115" s="135">
        <v>379778890</v>
      </c>
      <c r="AS115" s="135">
        <v>166311469</v>
      </c>
      <c r="AT115" s="135">
        <v>7492789</v>
      </c>
      <c r="AV115" s="135">
        <v>54126</v>
      </c>
      <c r="AW115" s="135">
        <v>197153831</v>
      </c>
      <c r="AX115" s="135">
        <v>6493233</v>
      </c>
      <c r="AY115" s="135">
        <v>17919538</v>
      </c>
      <c r="AZ115" s="82">
        <v>69544081.819999993</v>
      </c>
      <c r="BA115" s="82">
        <v>34772040.909999996</v>
      </c>
      <c r="BB115" s="117">
        <v>0</v>
      </c>
      <c r="BC115" s="118">
        <v>3376504</v>
      </c>
      <c r="BD115" s="118">
        <v>6753009</v>
      </c>
      <c r="BE115" s="117">
        <v>87330091</v>
      </c>
      <c r="BF115" s="117">
        <v>87330091</v>
      </c>
      <c r="BG115" s="117">
        <v>148564905</v>
      </c>
      <c r="BH115" s="117">
        <v>141017105</v>
      </c>
      <c r="BI115" s="117">
        <v>6661043</v>
      </c>
      <c r="BJ115" s="117">
        <v>40707779</v>
      </c>
      <c r="BK115" s="138"/>
      <c r="BL115" s="86">
        <v>12880069391.501392</v>
      </c>
      <c r="BM115" s="86">
        <v>11630280894.591393</v>
      </c>
      <c r="BN115" s="87">
        <v>10621720</v>
      </c>
      <c r="BP115" s="86">
        <v>10673642742</v>
      </c>
      <c r="BQ115" s="86">
        <v>912485832</v>
      </c>
      <c r="BR115" s="86">
        <v>23438102</v>
      </c>
      <c r="BS115" s="86">
        <v>1118595722</v>
      </c>
      <c r="BT115" s="86">
        <v>12728162398</v>
      </c>
    </row>
    <row r="116" spans="1:107" x14ac:dyDescent="0.25">
      <c r="A116" s="91" t="s">
        <v>170</v>
      </c>
      <c r="B116" s="135">
        <v>323043897</v>
      </c>
      <c r="C116" s="135">
        <v>203783105</v>
      </c>
      <c r="D116" s="135">
        <v>95332272</v>
      </c>
      <c r="E116" s="135">
        <v>0</v>
      </c>
      <c r="F116" s="135">
        <v>37858800</v>
      </c>
      <c r="G116" s="135">
        <v>4913200</v>
      </c>
      <c r="H116" s="135">
        <v>18693500</v>
      </c>
      <c r="I116" s="135">
        <v>2247200</v>
      </c>
      <c r="J116" s="135">
        <v>40500</v>
      </c>
      <c r="K116" s="135">
        <v>0</v>
      </c>
      <c r="L116" s="135">
        <v>320314043</v>
      </c>
      <c r="M116" s="135">
        <v>152345708</v>
      </c>
      <c r="N116" s="135">
        <v>1431</v>
      </c>
      <c r="O116" s="135">
        <v>195</v>
      </c>
      <c r="P116" s="135">
        <v>8016490</v>
      </c>
      <c r="Q116" s="135">
        <v>6663014</v>
      </c>
      <c r="R116" s="135">
        <v>1202950</v>
      </c>
      <c r="S116" s="135">
        <v>3043304</v>
      </c>
      <c r="T116" s="135">
        <v>663050</v>
      </c>
      <c r="U116" s="135">
        <v>58000</v>
      </c>
      <c r="V116" s="135">
        <v>8016490</v>
      </c>
      <c r="W116" s="135">
        <v>7630817</v>
      </c>
      <c r="X116" s="135">
        <v>1202950</v>
      </c>
      <c r="Y116" s="135">
        <v>3043304</v>
      </c>
      <c r="Z116" s="135">
        <v>1029625</v>
      </c>
      <c r="AA116" s="135">
        <v>58000</v>
      </c>
      <c r="AB116" s="135">
        <v>-431000</v>
      </c>
      <c r="AC116" s="135">
        <v>0</v>
      </c>
      <c r="AD116" s="135">
        <v>44784</v>
      </c>
      <c r="AE116" s="135">
        <v>0</v>
      </c>
      <c r="AF116" s="135">
        <v>0</v>
      </c>
      <c r="AG116" s="135">
        <v>178287</v>
      </c>
      <c r="AH116" s="135">
        <v>0</v>
      </c>
      <c r="AI116" s="135">
        <v>0</v>
      </c>
      <c r="AJ116" s="139"/>
      <c r="AK116" s="82">
        <v>93374005</v>
      </c>
      <c r="AL116" s="82">
        <v>2556535</v>
      </c>
      <c r="AN116" s="135">
        <v>24371531</v>
      </c>
      <c r="AO116" s="135">
        <v>773135</v>
      </c>
      <c r="AP116" s="135">
        <v>121640182</v>
      </c>
      <c r="AQ116" s="135">
        <v>20656862</v>
      </c>
      <c r="AR116" s="135">
        <v>33036376</v>
      </c>
      <c r="AS116" s="135">
        <v>1608522</v>
      </c>
      <c r="AT116" s="135">
        <v>254897</v>
      </c>
      <c r="AV116" s="135">
        <v>17842</v>
      </c>
      <c r="AW116" s="135">
        <v>20031</v>
      </c>
      <c r="AX116" s="135">
        <v>1249</v>
      </c>
      <c r="AY116" s="135">
        <v>103450</v>
      </c>
      <c r="AZ116" s="82">
        <v>7116394.8200000003</v>
      </c>
      <c r="BA116" s="82">
        <v>3558197.41</v>
      </c>
      <c r="BB116" s="117">
        <v>0</v>
      </c>
      <c r="BC116" s="118">
        <v>0</v>
      </c>
      <c r="BD116" s="118">
        <v>0</v>
      </c>
      <c r="BE116" s="117">
        <v>5756192</v>
      </c>
      <c r="BF116" s="117">
        <v>5756192</v>
      </c>
      <c r="BG116" s="117">
        <v>31128297</v>
      </c>
      <c r="BH116" s="117">
        <v>30221717</v>
      </c>
      <c r="BI116" s="117">
        <v>655509</v>
      </c>
      <c r="BJ116" s="117">
        <v>0</v>
      </c>
      <c r="BK116" s="138"/>
      <c r="BL116" s="86">
        <v>804082957.40999997</v>
      </c>
      <c r="BM116" s="86">
        <v>667960802</v>
      </c>
      <c r="BN116" s="87">
        <v>659500</v>
      </c>
      <c r="BP116" s="86">
        <v>622159274</v>
      </c>
      <c r="BQ116" s="86">
        <v>93374005</v>
      </c>
      <c r="BR116" s="86">
        <v>2556535</v>
      </c>
      <c r="BS116" s="86">
        <v>47410050</v>
      </c>
      <c r="BT116" s="86">
        <v>765499864</v>
      </c>
    </row>
    <row r="117" spans="1:107" x14ac:dyDescent="0.25">
      <c r="A117" s="91" t="s">
        <v>171</v>
      </c>
      <c r="B117" s="135">
        <v>516238409</v>
      </c>
      <c r="C117" s="135">
        <v>138252123</v>
      </c>
      <c r="D117" s="135">
        <v>129073748</v>
      </c>
      <c r="E117" s="135">
        <v>0</v>
      </c>
      <c r="F117" s="135">
        <v>70755056</v>
      </c>
      <c r="G117" s="135">
        <v>15308915</v>
      </c>
      <c r="H117" s="135">
        <v>17806023</v>
      </c>
      <c r="I117" s="135">
        <v>2012347</v>
      </c>
      <c r="J117" s="135">
        <v>121500</v>
      </c>
      <c r="K117" s="135">
        <v>35000</v>
      </c>
      <c r="L117" s="135">
        <v>296583610</v>
      </c>
      <c r="M117" s="135">
        <v>87490114</v>
      </c>
      <c r="N117" s="135">
        <v>2448</v>
      </c>
      <c r="O117" s="135">
        <v>538</v>
      </c>
      <c r="P117" s="135">
        <v>6809725</v>
      </c>
      <c r="Q117" s="135">
        <v>2619142</v>
      </c>
      <c r="R117" s="135">
        <v>2402260</v>
      </c>
      <c r="S117" s="135">
        <v>1992633</v>
      </c>
      <c r="T117" s="135">
        <v>333954</v>
      </c>
      <c r="U117" s="135">
        <v>699610</v>
      </c>
      <c r="V117" s="135">
        <v>6809725</v>
      </c>
      <c r="W117" s="135">
        <v>2655305</v>
      </c>
      <c r="X117" s="135">
        <v>2402260</v>
      </c>
      <c r="Y117" s="135">
        <v>1992633</v>
      </c>
      <c r="Z117" s="135">
        <v>423652</v>
      </c>
      <c r="AA117" s="135">
        <v>699610</v>
      </c>
      <c r="AB117" s="135">
        <v>-922842</v>
      </c>
      <c r="AC117" s="135">
        <v>22371</v>
      </c>
      <c r="AD117" s="135">
        <v>176357</v>
      </c>
      <c r="AE117" s="135">
        <v>8210</v>
      </c>
      <c r="AF117" s="135">
        <v>10981883</v>
      </c>
      <c r="AG117" s="135">
        <v>244562</v>
      </c>
      <c r="AH117" s="135">
        <v>185627.04918032789</v>
      </c>
      <c r="AI117" s="135">
        <v>116477.45901639343</v>
      </c>
      <c r="AJ117" s="139"/>
      <c r="AK117" s="82">
        <v>111892368</v>
      </c>
      <c r="AL117" s="82">
        <v>16444892</v>
      </c>
      <c r="AM117" s="88">
        <v>10918465</v>
      </c>
      <c r="AN117" s="135">
        <v>19155927</v>
      </c>
      <c r="AO117" s="135">
        <v>404138</v>
      </c>
      <c r="AP117" s="135">
        <v>18136008</v>
      </c>
      <c r="AQ117" s="135">
        <v>21832638</v>
      </c>
      <c r="AR117" s="135">
        <v>15459361</v>
      </c>
      <c r="AS117" s="88"/>
      <c r="AT117" s="135">
        <v>10506829</v>
      </c>
      <c r="AU117" s="88"/>
      <c r="AV117" s="135">
        <v>1559</v>
      </c>
      <c r="AW117" s="88"/>
      <c r="AX117" s="88"/>
      <c r="AY117" s="88">
        <v>205933</v>
      </c>
      <c r="AZ117" s="82">
        <v>8527751.0299999993</v>
      </c>
      <c r="BA117" s="82">
        <v>4263875.5199999996</v>
      </c>
      <c r="BB117" s="117">
        <v>0</v>
      </c>
      <c r="BC117" s="118">
        <v>0</v>
      </c>
      <c r="BD117" s="118">
        <v>0</v>
      </c>
      <c r="BE117" s="117">
        <v>1323766</v>
      </c>
      <c r="BF117" s="117">
        <v>1323766</v>
      </c>
      <c r="BG117" s="117">
        <v>37671646</v>
      </c>
      <c r="BH117" s="117">
        <v>36421649</v>
      </c>
      <c r="BI117" s="117">
        <v>0</v>
      </c>
      <c r="BJ117" s="117">
        <v>0</v>
      </c>
      <c r="BK117" s="138"/>
      <c r="BL117" s="86">
        <v>958077841.02819669</v>
      </c>
      <c r="BM117" s="86">
        <v>787731290.50819671</v>
      </c>
      <c r="BN117" s="87"/>
      <c r="BP117" s="86">
        <v>783564280</v>
      </c>
      <c r="BQ117" s="86">
        <v>111892368</v>
      </c>
      <c r="BR117" s="86">
        <v>16444892</v>
      </c>
      <c r="BS117" s="86">
        <v>3864906</v>
      </c>
      <c r="BT117" s="86">
        <v>915766446</v>
      </c>
    </row>
    <row r="118" spans="1:107" x14ac:dyDescent="0.25">
      <c r="A118" s="91" t="s">
        <v>172</v>
      </c>
      <c r="B118" s="135">
        <v>239297632</v>
      </c>
      <c r="C118" s="135">
        <v>177834669</v>
      </c>
      <c r="D118" s="135">
        <v>65347764</v>
      </c>
      <c r="E118" s="135">
        <v>0</v>
      </c>
      <c r="F118" s="135">
        <v>43009187</v>
      </c>
      <c r="G118" s="135">
        <v>5851467</v>
      </c>
      <c r="H118" s="135">
        <v>9330690</v>
      </c>
      <c r="I118" s="135">
        <v>777025</v>
      </c>
      <c r="J118" s="135">
        <v>43433</v>
      </c>
      <c r="K118" s="135">
        <v>0</v>
      </c>
      <c r="L118" s="135">
        <v>607543159</v>
      </c>
      <c r="M118" s="135">
        <v>73951910</v>
      </c>
      <c r="N118" s="135">
        <v>1465</v>
      </c>
      <c r="O118" s="135">
        <v>217</v>
      </c>
      <c r="P118" s="135">
        <v>1725200</v>
      </c>
      <c r="Q118" s="135">
        <v>686400</v>
      </c>
      <c r="R118" s="135">
        <v>2304800</v>
      </c>
      <c r="S118" s="135">
        <v>261000</v>
      </c>
      <c r="T118" s="135">
        <v>300800</v>
      </c>
      <c r="U118" s="135">
        <v>0</v>
      </c>
      <c r="V118" s="135">
        <v>1725200</v>
      </c>
      <c r="W118" s="135">
        <v>686400</v>
      </c>
      <c r="X118" s="135">
        <v>2304800</v>
      </c>
      <c r="Y118" s="135">
        <v>261000</v>
      </c>
      <c r="Z118" s="135">
        <v>300800</v>
      </c>
      <c r="AA118" s="135">
        <v>0</v>
      </c>
      <c r="AB118" s="135">
        <v>-855317</v>
      </c>
      <c r="AC118" s="135">
        <v>-136263</v>
      </c>
      <c r="AD118" s="135">
        <v>59798</v>
      </c>
      <c r="AE118" s="135">
        <v>12051</v>
      </c>
      <c r="AF118" s="135">
        <v>5841306</v>
      </c>
      <c r="AG118" s="135">
        <v>198600</v>
      </c>
      <c r="AH118" s="135">
        <v>15259446.720737705</v>
      </c>
      <c r="AI118" s="135">
        <v>0</v>
      </c>
      <c r="AJ118" s="139">
        <v>682163.93442622956</v>
      </c>
      <c r="AK118" s="82">
        <v>111658366</v>
      </c>
      <c r="AL118" s="82">
        <v>4801835</v>
      </c>
      <c r="AM118" s="135">
        <v>16358</v>
      </c>
      <c r="AN118" s="135">
        <v>18114618</v>
      </c>
      <c r="AO118" s="135">
        <v>222651</v>
      </c>
      <c r="AP118" s="135">
        <v>14454477</v>
      </c>
      <c r="AQ118" s="135">
        <v>12689338</v>
      </c>
      <c r="AR118" s="135">
        <v>9323114</v>
      </c>
      <c r="AT118" s="135">
        <v>7276978</v>
      </c>
      <c r="AW118" s="135">
        <v>3441545</v>
      </c>
      <c r="AX118" s="135">
        <v>990530</v>
      </c>
      <c r="AY118" s="135">
        <v>22500</v>
      </c>
      <c r="AZ118" s="82">
        <v>8509916.8300000001</v>
      </c>
      <c r="BA118" s="82">
        <v>4254958.42</v>
      </c>
      <c r="BB118" s="117">
        <v>2808811.1927453373</v>
      </c>
      <c r="BC118" s="118">
        <v>1495153</v>
      </c>
      <c r="BD118" s="118">
        <v>2990305</v>
      </c>
      <c r="BE118" s="117">
        <v>33165404</v>
      </c>
      <c r="BF118" s="117">
        <v>32964337</v>
      </c>
      <c r="BG118" s="117">
        <v>89719547</v>
      </c>
      <c r="BH118" s="117">
        <v>87502823</v>
      </c>
      <c r="BI118" s="117">
        <v>0</v>
      </c>
      <c r="BJ118" s="117">
        <v>0</v>
      </c>
      <c r="BK118" s="138"/>
      <c r="BL118" s="86">
        <v>772125755.07516396</v>
      </c>
      <c r="BM118" s="86">
        <v>529448282.65516394</v>
      </c>
      <c r="BN118" s="87">
        <v>1848343</v>
      </c>
      <c r="BP118" s="86">
        <v>482480065</v>
      </c>
      <c r="BQ118" s="86">
        <v>111658366</v>
      </c>
      <c r="BR118" s="86">
        <v>4801835</v>
      </c>
      <c r="BS118" s="86">
        <v>31026607</v>
      </c>
      <c r="BT118" s="86">
        <v>629966873</v>
      </c>
    </row>
    <row r="119" spans="1:107" x14ac:dyDescent="0.25">
      <c r="A119" s="91" t="s">
        <v>173</v>
      </c>
      <c r="B119" s="135">
        <v>810874711</v>
      </c>
      <c r="C119" s="135">
        <v>157105976</v>
      </c>
      <c r="D119" s="135">
        <v>241946927</v>
      </c>
      <c r="E119" s="135">
        <v>2100000</v>
      </c>
      <c r="F119" s="135">
        <v>97517062</v>
      </c>
      <c r="G119" s="135">
        <v>35951805</v>
      </c>
      <c r="H119" s="135">
        <v>16957530</v>
      </c>
      <c r="I119" s="135">
        <v>3308937</v>
      </c>
      <c r="J119" s="135">
        <v>121500</v>
      </c>
      <c r="K119" s="135">
        <v>40500</v>
      </c>
      <c r="L119" s="135">
        <v>587044917</v>
      </c>
      <c r="M119" s="135">
        <v>70809245</v>
      </c>
      <c r="N119" s="135">
        <v>3346</v>
      </c>
      <c r="O119" s="135">
        <v>1245</v>
      </c>
      <c r="P119" s="135">
        <v>1976527</v>
      </c>
      <c r="Q119" s="135">
        <v>146550</v>
      </c>
      <c r="R119" s="135">
        <v>846000</v>
      </c>
      <c r="S119" s="135">
        <v>3590991</v>
      </c>
      <c r="T119" s="135">
        <v>1192860</v>
      </c>
      <c r="U119" s="135">
        <v>3183550</v>
      </c>
      <c r="V119" s="135">
        <v>1976527</v>
      </c>
      <c r="W119" s="135">
        <v>279050</v>
      </c>
      <c r="X119" s="135">
        <v>846000</v>
      </c>
      <c r="Y119" s="135">
        <v>3590991</v>
      </c>
      <c r="Z119" s="135">
        <v>4143970</v>
      </c>
      <c r="AA119" s="135">
        <v>3183550</v>
      </c>
      <c r="AB119" s="135">
        <v>-8203542</v>
      </c>
      <c r="AC119" s="135">
        <v>7299217</v>
      </c>
      <c r="AD119" s="135">
        <v>200888</v>
      </c>
      <c r="AE119" s="135">
        <v>0</v>
      </c>
      <c r="AF119" s="135">
        <v>0</v>
      </c>
      <c r="AG119" s="135">
        <v>204890</v>
      </c>
      <c r="AH119" s="135">
        <v>1516606.5560655738</v>
      </c>
      <c r="AI119" s="135">
        <v>5702094.2622950822</v>
      </c>
      <c r="AJ119" s="139">
        <v>1055508.1967213117</v>
      </c>
      <c r="AK119" s="82">
        <v>239118687</v>
      </c>
      <c r="AL119" s="82">
        <v>8642740</v>
      </c>
      <c r="AM119" s="135">
        <v>1869120</v>
      </c>
      <c r="AN119" s="135">
        <v>47319870</v>
      </c>
      <c r="AO119" s="135">
        <v>2430391</v>
      </c>
      <c r="AP119" s="135">
        <v>126688646</v>
      </c>
      <c r="AQ119" s="135">
        <v>61819514</v>
      </c>
      <c r="AR119" s="135">
        <v>17214874</v>
      </c>
      <c r="AS119" s="135">
        <v>3607787</v>
      </c>
      <c r="AT119" s="135">
        <v>147507</v>
      </c>
      <c r="AX119" s="135">
        <v>47499</v>
      </c>
      <c r="AY119" s="135">
        <v>5500</v>
      </c>
      <c r="AZ119" s="82">
        <v>18224161.899999999</v>
      </c>
      <c r="BA119" s="82">
        <v>9112080.9499999993</v>
      </c>
      <c r="BB119" s="117">
        <v>0</v>
      </c>
      <c r="BC119" s="118">
        <v>14602560</v>
      </c>
      <c r="BD119" s="118">
        <v>29205119</v>
      </c>
      <c r="BE119" s="117">
        <v>60237655</v>
      </c>
      <c r="BF119" s="117">
        <v>60237655</v>
      </c>
      <c r="BG119" s="117">
        <v>84250056</v>
      </c>
      <c r="BH119" s="117">
        <v>75062345</v>
      </c>
      <c r="BI119" s="117">
        <v>0</v>
      </c>
      <c r="BJ119" s="117">
        <v>0</v>
      </c>
      <c r="BK119" s="138"/>
      <c r="BL119" s="86">
        <v>1736547665.9650819</v>
      </c>
      <c r="BM119" s="86">
        <v>1329771598.0150819</v>
      </c>
      <c r="BN119" s="87">
        <v>1362180</v>
      </c>
      <c r="BP119" s="86">
        <v>1209927614</v>
      </c>
      <c r="BQ119" s="86">
        <v>239118687</v>
      </c>
      <c r="BR119" s="86">
        <v>8642740</v>
      </c>
      <c r="BS119" s="86">
        <v>115177562</v>
      </c>
      <c r="BT119" s="86">
        <v>1572866603</v>
      </c>
    </row>
    <row r="120" spans="1:107" x14ac:dyDescent="0.25">
      <c r="A120" s="111" t="s">
        <v>174</v>
      </c>
      <c r="B120" s="135">
        <v>71594400</v>
      </c>
      <c r="C120" s="135">
        <v>67853350</v>
      </c>
      <c r="D120" s="135">
        <v>37599500</v>
      </c>
      <c r="E120" s="135">
        <v>0</v>
      </c>
      <c r="F120" s="135">
        <v>14262200</v>
      </c>
      <c r="G120" s="135">
        <v>7666100</v>
      </c>
      <c r="H120" s="135">
        <v>11257400</v>
      </c>
      <c r="I120" s="135">
        <v>3357400</v>
      </c>
      <c r="J120" s="135">
        <v>40500</v>
      </c>
      <c r="K120" s="135">
        <v>0</v>
      </c>
      <c r="L120" s="135">
        <v>73282407</v>
      </c>
      <c r="M120" s="135">
        <v>0</v>
      </c>
      <c r="N120" s="135">
        <v>760</v>
      </c>
      <c r="O120" s="135">
        <v>376</v>
      </c>
      <c r="P120" s="135">
        <v>1485000</v>
      </c>
      <c r="Q120" s="135">
        <v>757000</v>
      </c>
      <c r="R120" s="135">
        <v>85000</v>
      </c>
      <c r="S120" s="135">
        <v>410500</v>
      </c>
      <c r="T120" s="135">
        <v>439500</v>
      </c>
      <c r="U120" s="135">
        <v>56500</v>
      </c>
      <c r="V120" s="135">
        <v>1485000</v>
      </c>
      <c r="W120" s="135">
        <v>1075000</v>
      </c>
      <c r="X120" s="135">
        <v>85000</v>
      </c>
      <c r="Y120" s="135">
        <v>410500</v>
      </c>
      <c r="Z120" s="135">
        <v>837000</v>
      </c>
      <c r="AA120" s="135">
        <v>56500</v>
      </c>
      <c r="AB120" s="135">
        <v>-785600</v>
      </c>
      <c r="AC120" s="135">
        <v>0</v>
      </c>
      <c r="AD120" s="135">
        <v>86683</v>
      </c>
      <c r="AE120" s="135">
        <v>0</v>
      </c>
      <c r="AF120" s="135">
        <v>0</v>
      </c>
      <c r="AG120" s="135">
        <v>115799</v>
      </c>
      <c r="AH120" s="135">
        <v>7490151.6392622953</v>
      </c>
      <c r="AI120" s="135">
        <v>162389.34426229511</v>
      </c>
      <c r="AJ120" s="139"/>
      <c r="AK120" s="82">
        <v>48239281</v>
      </c>
      <c r="AL120" s="82">
        <v>943014</v>
      </c>
      <c r="AN120" s="135">
        <v>3543193</v>
      </c>
      <c r="AO120" s="135">
        <v>69979</v>
      </c>
      <c r="AP120" s="135">
        <v>954141</v>
      </c>
      <c r="AQ120" s="135">
        <v>11806542</v>
      </c>
      <c r="AR120" s="135">
        <v>6423139</v>
      </c>
      <c r="AX120" s="135">
        <v>10303</v>
      </c>
      <c r="AZ120" s="82">
        <v>3676502.57</v>
      </c>
      <c r="BA120" s="82">
        <v>1838251.29</v>
      </c>
      <c r="BB120" s="117">
        <v>0</v>
      </c>
      <c r="BC120" s="118">
        <v>0</v>
      </c>
      <c r="BD120" s="118">
        <v>0</v>
      </c>
      <c r="BE120" s="117">
        <v>534214</v>
      </c>
      <c r="BF120" s="117">
        <v>534214</v>
      </c>
      <c r="BG120" s="117">
        <v>26893892</v>
      </c>
      <c r="BH120" s="117">
        <v>26891011</v>
      </c>
      <c r="BI120" s="117">
        <v>0</v>
      </c>
      <c r="BJ120" s="117">
        <v>0</v>
      </c>
      <c r="BK120" s="138"/>
      <c r="BL120" s="86">
        <v>278565276.27352458</v>
      </c>
      <c r="BM120" s="86">
        <v>200119504.98352459</v>
      </c>
      <c r="BN120" s="87">
        <v>362000</v>
      </c>
      <c r="BP120" s="86">
        <v>177047250</v>
      </c>
      <c r="BQ120" s="86">
        <v>48239281</v>
      </c>
      <c r="BR120" s="86">
        <v>943014</v>
      </c>
      <c r="BS120" s="86">
        <v>15419714</v>
      </c>
      <c r="BT120" s="86">
        <v>241649259</v>
      </c>
    </row>
    <row r="121" spans="1:107" ht="15.75" thickBot="1" x14ac:dyDescent="0.3">
      <c r="A121" s="104" t="s">
        <v>175</v>
      </c>
      <c r="B121" s="142">
        <v>1680363375</v>
      </c>
      <c r="C121" s="142">
        <v>552226230</v>
      </c>
      <c r="D121" s="142">
        <v>335350445</v>
      </c>
      <c r="E121" s="142">
        <v>18087800</v>
      </c>
      <c r="F121" s="142">
        <v>96086800</v>
      </c>
      <c r="G121" s="142">
        <v>8111200</v>
      </c>
      <c r="H121" s="142">
        <v>11776700</v>
      </c>
      <c r="I121" s="142">
        <v>324000</v>
      </c>
      <c r="J121" s="142">
        <v>81000</v>
      </c>
      <c r="K121" s="142">
        <v>40500</v>
      </c>
      <c r="L121" s="142">
        <v>856898980</v>
      </c>
      <c r="M121" s="142">
        <v>287633300</v>
      </c>
      <c r="N121" s="142">
        <v>2683</v>
      </c>
      <c r="O121" s="142">
        <v>212</v>
      </c>
      <c r="P121" s="142">
        <v>28008600</v>
      </c>
      <c r="Q121" s="142">
        <v>7937200</v>
      </c>
      <c r="R121" s="142">
        <v>5650200</v>
      </c>
      <c r="S121" s="142">
        <v>0</v>
      </c>
      <c r="T121" s="142">
        <v>0</v>
      </c>
      <c r="U121" s="142">
        <v>5506100</v>
      </c>
      <c r="V121" s="142">
        <v>28008600</v>
      </c>
      <c r="W121" s="142">
        <v>7937200</v>
      </c>
      <c r="X121" s="142">
        <v>5650200</v>
      </c>
      <c r="Y121" s="142">
        <v>0</v>
      </c>
      <c r="Z121" s="142">
        <v>0</v>
      </c>
      <c r="AA121" s="142">
        <v>5506100</v>
      </c>
      <c r="AB121" s="142">
        <v>-2329500</v>
      </c>
      <c r="AC121" s="142">
        <v>0</v>
      </c>
      <c r="AD121" s="142">
        <v>0</v>
      </c>
      <c r="AE121" s="142">
        <v>0</v>
      </c>
      <c r="AF121" s="142">
        <v>0</v>
      </c>
      <c r="AG121" s="142">
        <v>105543</v>
      </c>
      <c r="AH121" s="142">
        <v>0</v>
      </c>
      <c r="AI121" s="142">
        <v>0</v>
      </c>
      <c r="AJ121" s="142"/>
      <c r="AK121" s="101">
        <v>240361406</v>
      </c>
      <c r="AL121" s="101">
        <v>6845696</v>
      </c>
      <c r="AM121" s="142"/>
      <c r="AN121" s="142">
        <v>44767698</v>
      </c>
      <c r="AO121" s="142">
        <v>9144669</v>
      </c>
      <c r="AP121" s="142">
        <v>214501495</v>
      </c>
      <c r="AQ121" s="142">
        <v>40938953</v>
      </c>
      <c r="AR121" s="142">
        <v>35697323</v>
      </c>
      <c r="AS121" s="142">
        <v>95645313</v>
      </c>
      <c r="AT121" s="142">
        <v>146554731</v>
      </c>
      <c r="AU121" s="142"/>
      <c r="AV121" s="142"/>
      <c r="AW121" s="142">
        <v>4818043</v>
      </c>
      <c r="AX121" s="142">
        <v>701581</v>
      </c>
      <c r="AY121" s="142">
        <v>23200</v>
      </c>
      <c r="AZ121" s="101">
        <v>18318874.329999998</v>
      </c>
      <c r="BA121" s="101">
        <v>9159437.1699999999</v>
      </c>
      <c r="BB121" s="125">
        <v>0</v>
      </c>
      <c r="BC121" s="126">
        <v>1193640</v>
      </c>
      <c r="BD121" s="126">
        <v>2387280</v>
      </c>
      <c r="BE121" s="127">
        <v>15678588</v>
      </c>
      <c r="BF121" s="125">
        <v>15270577</v>
      </c>
      <c r="BG121" s="125">
        <v>57115973</v>
      </c>
      <c r="BH121" s="125">
        <v>55908434</v>
      </c>
      <c r="BI121" s="125">
        <v>176995588</v>
      </c>
      <c r="BJ121" s="125">
        <v>0</v>
      </c>
      <c r="BK121" s="143"/>
      <c r="BL121" s="106">
        <v>3168526148.1700001</v>
      </c>
      <c r="BM121" s="106">
        <v>2662791370</v>
      </c>
      <c r="BN121" s="107">
        <v>1934445</v>
      </c>
      <c r="BO121" s="108"/>
      <c r="BP121" s="86">
        <v>2567940050</v>
      </c>
      <c r="BQ121" s="86">
        <v>240361406</v>
      </c>
      <c r="BR121" s="86">
        <v>6845696</v>
      </c>
      <c r="BS121" s="86">
        <v>190496633</v>
      </c>
      <c r="BT121" s="86">
        <v>3005643785</v>
      </c>
    </row>
    <row r="122" spans="1:107" ht="15.75" thickTop="1" x14ac:dyDescent="0.25">
      <c r="A122" s="129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109"/>
      <c r="BA122" s="109"/>
      <c r="BB122" s="140"/>
      <c r="BE122" s="110"/>
      <c r="BF122" s="110"/>
      <c r="BG122" s="110"/>
      <c r="BH122" s="110"/>
      <c r="BI122" s="140"/>
      <c r="BJ122" s="140"/>
    </row>
    <row r="123" spans="1:107" x14ac:dyDescent="0.25">
      <c r="A123" s="129" t="s">
        <v>332</v>
      </c>
      <c r="B123" s="144"/>
      <c r="D123" s="144"/>
      <c r="E123" s="144"/>
      <c r="F123" s="144">
        <f t="shared" ref="F123:AY123" si="0">SUM(F2:F121)</f>
        <v>13176571581</v>
      </c>
      <c r="G123" s="144">
        <f t="shared" si="0"/>
        <v>2346867538</v>
      </c>
      <c r="H123" s="144">
        <f t="shared" si="0"/>
        <v>1808297614</v>
      </c>
      <c r="I123" s="144">
        <f t="shared" si="0"/>
        <v>304365141</v>
      </c>
      <c r="J123" s="144">
        <f t="shared" si="0"/>
        <v>26572183</v>
      </c>
      <c r="K123" s="144">
        <f t="shared" si="0"/>
        <v>3858930</v>
      </c>
      <c r="L123" s="144">
        <f t="shared" si="0"/>
        <v>43442489416</v>
      </c>
      <c r="M123" s="144">
        <f t="shared" si="0"/>
        <v>15102797709</v>
      </c>
      <c r="N123" s="144">
        <f t="shared" si="0"/>
        <v>386282</v>
      </c>
      <c r="O123" s="144">
        <f t="shared" si="0"/>
        <v>77066</v>
      </c>
      <c r="P123" s="144">
        <f t="shared" si="0"/>
        <v>3173871353</v>
      </c>
      <c r="Q123" s="144">
        <f t="shared" si="0"/>
        <v>469995560</v>
      </c>
      <c r="R123" s="144">
        <f t="shared" si="0"/>
        <v>2667881720</v>
      </c>
      <c r="S123" s="144">
        <f t="shared" si="0"/>
        <v>932570793</v>
      </c>
      <c r="T123" s="144">
        <f t="shared" si="0"/>
        <v>201177100</v>
      </c>
      <c r="U123" s="144">
        <f t="shared" si="0"/>
        <v>1458304577</v>
      </c>
      <c r="V123" s="144">
        <f t="shared" si="0"/>
        <v>3173943353</v>
      </c>
      <c r="W123" s="144">
        <f t="shared" si="0"/>
        <v>600362193</v>
      </c>
      <c r="X123" s="144">
        <f t="shared" si="0"/>
        <v>2668080720</v>
      </c>
      <c r="Y123" s="144">
        <f t="shared" si="0"/>
        <v>932661093</v>
      </c>
      <c r="Z123" s="144">
        <f t="shared" si="0"/>
        <v>403198280</v>
      </c>
      <c r="AA123" s="144">
        <f t="shared" si="0"/>
        <v>1458304577</v>
      </c>
      <c r="AB123" s="144">
        <f t="shared" si="0"/>
        <v>-568559281</v>
      </c>
      <c r="AC123" s="144">
        <f t="shared" si="0"/>
        <v>66168770</v>
      </c>
      <c r="AD123" s="144">
        <f t="shared" si="0"/>
        <v>8197708.1500000004</v>
      </c>
      <c r="AE123" s="144">
        <f t="shared" si="0"/>
        <v>7465550</v>
      </c>
      <c r="AF123" s="144">
        <f t="shared" si="0"/>
        <v>2599279085</v>
      </c>
      <c r="AG123" s="144">
        <f t="shared" si="0"/>
        <v>2770572653.5506997</v>
      </c>
      <c r="AH123" s="144">
        <f t="shared" si="0"/>
        <v>277132316.39401633</v>
      </c>
      <c r="AI123" s="144">
        <f t="shared" si="0"/>
        <v>418735956.56482857</v>
      </c>
      <c r="AJ123" s="144">
        <f t="shared" si="0"/>
        <v>250803521.3077049</v>
      </c>
      <c r="AK123" s="144">
        <f t="shared" si="0"/>
        <v>33437350130</v>
      </c>
      <c r="AL123" s="144">
        <f t="shared" si="0"/>
        <v>1141506104</v>
      </c>
      <c r="AM123" s="144">
        <f t="shared" si="0"/>
        <v>91084502</v>
      </c>
      <c r="AN123" s="144">
        <f t="shared" si="0"/>
        <v>11726062958</v>
      </c>
      <c r="AO123" s="144">
        <f t="shared" si="0"/>
        <v>1209674228</v>
      </c>
      <c r="AP123" s="144">
        <f t="shared" si="0"/>
        <v>23717169868</v>
      </c>
      <c r="AQ123" s="144">
        <f t="shared" si="0"/>
        <v>10158265925</v>
      </c>
      <c r="AR123" s="144">
        <f t="shared" si="0"/>
        <v>10108531718</v>
      </c>
      <c r="AS123" s="144">
        <f t="shared" si="0"/>
        <v>16100602053</v>
      </c>
      <c r="AT123" s="144">
        <f t="shared" si="0"/>
        <v>9987138999</v>
      </c>
      <c r="AU123" s="144">
        <f t="shared" si="0"/>
        <v>41362039</v>
      </c>
      <c r="AV123" s="144">
        <f t="shared" si="0"/>
        <v>21983878</v>
      </c>
      <c r="AW123" s="144">
        <f t="shared" si="0"/>
        <v>1148083647</v>
      </c>
      <c r="AX123" s="144">
        <f t="shared" si="0"/>
        <v>167872640</v>
      </c>
      <c r="AY123" s="144">
        <f t="shared" si="0"/>
        <v>331277457</v>
      </c>
      <c r="AZ123" s="144">
        <f>SUM(AZ2:AZ121)</f>
        <v>2548375252.6300015</v>
      </c>
      <c r="BA123" s="144">
        <f>SUM(BA2:BA121)</f>
        <v>1274187626.6100004</v>
      </c>
      <c r="BB123" s="145">
        <f>SUM(BB2:BB122)</f>
        <v>1052622446.9900001</v>
      </c>
      <c r="BC123" s="145">
        <f>SUM(BC2:BC121)</f>
        <v>321564399</v>
      </c>
      <c r="BD123" s="145">
        <f>SUM(BD2:BD121)</f>
        <v>643128794</v>
      </c>
      <c r="BE123" s="111">
        <f t="shared" ref="BE123:BK123" si="1">SUM(BE2:BE122)</f>
        <v>6889946563.7599993</v>
      </c>
      <c r="BF123" s="111">
        <f t="shared" si="1"/>
        <v>6822640540.7599993</v>
      </c>
      <c r="BG123" s="111">
        <f t="shared" si="1"/>
        <v>13726661879.16</v>
      </c>
      <c r="BH123" s="111">
        <f t="shared" si="1"/>
        <v>12683967998.16</v>
      </c>
      <c r="BI123" s="145">
        <f t="shared" si="1"/>
        <v>2547664808</v>
      </c>
      <c r="BJ123" s="145">
        <f t="shared" si="1"/>
        <v>222860050</v>
      </c>
      <c r="BK123" s="145">
        <f t="shared" si="1"/>
        <v>0</v>
      </c>
      <c r="BL123" s="112">
        <v>378263370586.79645</v>
      </c>
      <c r="BM123" s="112">
        <v>319811628930.26654</v>
      </c>
      <c r="BN123" s="112">
        <f>SUM(BN2:BN121)</f>
        <v>415232575</v>
      </c>
      <c r="BO123" s="113"/>
    </row>
    <row r="124" spans="1:107" x14ac:dyDescent="0.25">
      <c r="AZ124" s="131"/>
    </row>
    <row r="125" spans="1:107" x14ac:dyDescent="0.25">
      <c r="AZ125" s="131"/>
    </row>
    <row r="126" spans="1:107" x14ac:dyDescent="0.25">
      <c r="AZ126" s="131"/>
    </row>
    <row r="127" spans="1:107" s="135" customFormat="1" x14ac:dyDescent="0.25">
      <c r="A127" s="113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</row>
    <row r="128" spans="1:107" s="135" customFormat="1" x14ac:dyDescent="0.25">
      <c r="A128" s="113"/>
      <c r="BL128" s="88"/>
      <c r="BM128" s="88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</row>
    <row r="129" spans="1:107" s="135" customFormat="1" x14ac:dyDescent="0.25">
      <c r="A129" s="113"/>
      <c r="P129" s="135">
        <f>P123+Q123+R123-S123-T123-U123</f>
        <v>3719696163</v>
      </c>
      <c r="AI129" s="135">
        <f>AH123+AI123</f>
        <v>695868272.9588449</v>
      </c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  <c r="CZ129" s="88"/>
      <c r="DA129" s="88"/>
      <c r="DB129" s="88"/>
      <c r="DC129" s="88"/>
    </row>
    <row r="130" spans="1:107" s="135" customFormat="1" x14ac:dyDescent="0.25">
      <c r="A130" s="113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</row>
    <row r="131" spans="1:107" s="135" customFormat="1" x14ac:dyDescent="0.25">
      <c r="A131" s="113"/>
      <c r="BL131" s="88"/>
      <c r="BM131" s="88"/>
      <c r="BN131" s="88"/>
      <c r="BO131" s="88"/>
      <c r="BP131" s="88"/>
      <c r="BQ131" s="88"/>
      <c r="BR131" s="88"/>
      <c r="BS131" s="88"/>
      <c r="BT131" s="88"/>
      <c r="BU131" s="88"/>
      <c r="BV131" s="88"/>
      <c r="BW131" s="88"/>
      <c r="BX131" s="88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88"/>
      <c r="CV131" s="88"/>
      <c r="CW131" s="88"/>
      <c r="CX131" s="88"/>
      <c r="CY131" s="88"/>
      <c r="CZ131" s="88"/>
      <c r="DA131" s="88"/>
      <c r="DB131" s="88"/>
      <c r="DC131" s="88"/>
    </row>
    <row r="132" spans="1:107" s="135" customFormat="1" x14ac:dyDescent="0.25">
      <c r="A132" s="113"/>
      <c r="BL132" s="88"/>
      <c r="BM132" s="88"/>
      <c r="BN132" s="88"/>
      <c r="BO132" s="88"/>
      <c r="BP132" s="88"/>
      <c r="BQ132" s="88"/>
      <c r="BR132" s="88"/>
      <c r="BS132" s="88"/>
      <c r="BT132" s="88"/>
      <c r="BU132" s="88"/>
      <c r="BV132" s="88"/>
      <c r="BW132" s="88"/>
      <c r="BX132" s="88"/>
      <c r="BY132" s="88"/>
      <c r="BZ132" s="88"/>
      <c r="CA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88"/>
      <c r="CV132" s="88"/>
      <c r="CW132" s="88"/>
      <c r="CX132" s="88"/>
      <c r="CY132" s="88"/>
      <c r="CZ132" s="88"/>
      <c r="DA132" s="88"/>
      <c r="DB132" s="88"/>
      <c r="DC132" s="88"/>
    </row>
    <row r="133" spans="1:107" s="135" customFormat="1" x14ac:dyDescent="0.25">
      <c r="A133" s="113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/>
    </row>
    <row r="134" spans="1:107" s="135" customFormat="1" x14ac:dyDescent="0.25">
      <c r="A134" s="113"/>
      <c r="BL134" s="88"/>
      <c r="BM134" s="88"/>
      <c r="BN134" s="88"/>
      <c r="BO134" s="88"/>
      <c r="BP134" s="88"/>
      <c r="BQ134" s="88"/>
      <c r="BR134" s="88"/>
      <c r="BS134" s="88"/>
      <c r="BT134" s="88"/>
      <c r="BU134" s="88"/>
      <c r="BV134" s="88"/>
      <c r="BW134" s="88"/>
      <c r="BX134" s="88"/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/>
    </row>
    <row r="135" spans="1:107" s="135" customFormat="1" x14ac:dyDescent="0.25">
      <c r="A135" s="113"/>
      <c r="BL135" s="88"/>
      <c r="BM135" s="88"/>
      <c r="BN135" s="88"/>
      <c r="BO135" s="88"/>
      <c r="BP135" s="88"/>
      <c r="BQ135" s="88"/>
      <c r="BR135" s="88"/>
      <c r="BS135" s="88"/>
      <c r="BT135" s="88"/>
      <c r="BU135" s="88"/>
      <c r="BV135" s="88"/>
      <c r="BW135" s="88"/>
      <c r="BX135" s="88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/>
    </row>
    <row r="136" spans="1:107" s="135" customFormat="1" x14ac:dyDescent="0.25">
      <c r="A136" s="113"/>
      <c r="BL136" s="88"/>
      <c r="BM136" s="88"/>
      <c r="BN136" s="88"/>
      <c r="BO136" s="88"/>
      <c r="BP136" s="88"/>
      <c r="BQ136" s="88"/>
      <c r="BR136" s="88"/>
      <c r="BS136" s="88"/>
      <c r="BT136" s="88"/>
      <c r="BU136" s="88"/>
      <c r="BV136" s="88"/>
      <c r="BW136" s="88"/>
      <c r="BX136" s="88"/>
      <c r="BY136" s="88"/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/>
      <c r="CM136" s="88"/>
      <c r="CN136" s="88"/>
      <c r="CO136" s="88"/>
      <c r="CP136" s="88"/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  <c r="DC136" s="88"/>
    </row>
    <row r="137" spans="1:107" s="135" customFormat="1" x14ac:dyDescent="0.25">
      <c r="A137" s="113"/>
      <c r="BL137" s="88"/>
      <c r="BM137" s="88"/>
      <c r="BN137" s="88"/>
      <c r="BO137" s="88"/>
      <c r="BP137" s="88"/>
      <c r="BQ137" s="88"/>
      <c r="BR137" s="88"/>
      <c r="BS137" s="88"/>
      <c r="BT137" s="88"/>
      <c r="BU137" s="88"/>
      <c r="BV137" s="88"/>
      <c r="BW137" s="88"/>
      <c r="BX137" s="88"/>
      <c r="BY137" s="88"/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CX137" s="88"/>
      <c r="CY137" s="88"/>
      <c r="CZ137" s="88"/>
      <c r="DA137" s="88"/>
      <c r="DB137" s="88"/>
      <c r="DC137" s="88"/>
    </row>
    <row r="138" spans="1:107" s="135" customFormat="1" x14ac:dyDescent="0.25">
      <c r="A138" s="113"/>
      <c r="BL138" s="88"/>
      <c r="BM138" s="88"/>
      <c r="BN138" s="88"/>
      <c r="BO138" s="88"/>
      <c r="BP138" s="88"/>
      <c r="BQ138" s="88"/>
      <c r="BR138" s="88"/>
      <c r="BS138" s="88"/>
      <c r="BT138" s="88"/>
      <c r="BU138" s="88"/>
      <c r="BV138" s="88"/>
      <c r="BW138" s="88"/>
      <c r="BX138" s="88"/>
      <c r="BY138" s="88"/>
      <c r="BZ138" s="88"/>
      <c r="CA138" s="88"/>
      <c r="CB138" s="88"/>
      <c r="CC138" s="88"/>
      <c r="CD138" s="88"/>
      <c r="CE138" s="88"/>
      <c r="CF138" s="88"/>
      <c r="CG138" s="88"/>
      <c r="CH138" s="88"/>
      <c r="CI138" s="88"/>
      <c r="CJ138" s="88"/>
      <c r="CK138" s="88"/>
      <c r="CL138" s="88"/>
      <c r="CM138" s="88"/>
      <c r="CN138" s="88"/>
      <c r="CO138" s="88"/>
      <c r="CP138" s="88"/>
      <c r="CQ138" s="88"/>
      <c r="CR138" s="88"/>
      <c r="CS138" s="88"/>
      <c r="CT138" s="88"/>
      <c r="CU138" s="88"/>
      <c r="CV138" s="88"/>
      <c r="CW138" s="88"/>
      <c r="CX138" s="88"/>
      <c r="CY138" s="88"/>
      <c r="CZ138" s="88"/>
      <c r="DA138" s="88"/>
      <c r="DB138" s="88"/>
      <c r="DC138" s="88"/>
    </row>
    <row r="139" spans="1:107" s="135" customFormat="1" x14ac:dyDescent="0.25">
      <c r="A139" s="113"/>
      <c r="BL139" s="88"/>
      <c r="BM139" s="88"/>
      <c r="BN139" s="88"/>
      <c r="BO139" s="88"/>
      <c r="BP139" s="88"/>
      <c r="BQ139" s="88"/>
      <c r="BR139" s="88"/>
      <c r="BS139" s="88"/>
      <c r="BT139" s="88"/>
      <c r="BU139" s="88"/>
      <c r="BV139" s="88"/>
      <c r="BW139" s="88"/>
      <c r="BX139" s="88"/>
      <c r="BY139" s="88"/>
      <c r="BZ139" s="88"/>
      <c r="CA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  <c r="CZ139" s="88"/>
      <c r="DA139" s="88"/>
      <c r="DB139" s="88"/>
      <c r="DC139" s="88"/>
    </row>
    <row r="140" spans="1:107" s="135" customFormat="1" x14ac:dyDescent="0.25">
      <c r="A140" s="113"/>
      <c r="BL140" s="88"/>
      <c r="BM140" s="88"/>
      <c r="BN140" s="88"/>
      <c r="BO140" s="88"/>
      <c r="BP140" s="88"/>
      <c r="BQ140" s="88"/>
      <c r="BR140" s="88"/>
      <c r="BS140" s="88"/>
      <c r="BT140" s="88"/>
      <c r="BU140" s="88"/>
      <c r="BV140" s="88"/>
      <c r="BW140" s="88"/>
      <c r="BX140" s="88"/>
      <c r="BY140" s="88"/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/>
      <c r="CM140" s="88"/>
      <c r="CN140" s="88"/>
      <c r="CO140" s="88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/>
      <c r="DC140" s="88"/>
    </row>
    <row r="141" spans="1:107" s="135" customFormat="1" x14ac:dyDescent="0.25">
      <c r="A141" s="113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8"/>
      <c r="BZ141" s="88"/>
      <c r="CA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  <c r="CM141" s="88"/>
      <c r="CN141" s="88"/>
      <c r="CO141" s="88"/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  <c r="CZ141" s="88"/>
      <c r="DA141" s="88"/>
      <c r="DB141" s="88"/>
      <c r="DC141" s="88"/>
    </row>
    <row r="142" spans="1:107" s="135" customFormat="1" x14ac:dyDescent="0.25">
      <c r="A142" s="113"/>
      <c r="BL142" s="88"/>
      <c r="BM142" s="88"/>
      <c r="BN142" s="88"/>
      <c r="BO142" s="88"/>
      <c r="BP142" s="88"/>
      <c r="BQ142" s="88"/>
      <c r="BR142" s="88"/>
      <c r="BS142" s="88"/>
      <c r="BT142" s="88"/>
      <c r="BU142" s="88"/>
      <c r="BV142" s="88"/>
      <c r="BW142" s="88"/>
      <c r="BX142" s="88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88"/>
      <c r="CN142" s="88"/>
      <c r="CO142" s="88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  <c r="CZ142" s="88"/>
      <c r="DA142" s="88"/>
      <c r="DB142" s="88"/>
      <c r="DC142" s="88"/>
    </row>
    <row r="143" spans="1:107" s="135" customFormat="1" x14ac:dyDescent="0.25">
      <c r="A143" s="113"/>
      <c r="BL143" s="88"/>
      <c r="BM143" s="88"/>
      <c r="BN143" s="88"/>
      <c r="BO143" s="88"/>
      <c r="BP143" s="88"/>
      <c r="BQ143" s="88"/>
      <c r="BR143" s="88"/>
      <c r="BS143" s="88"/>
      <c r="BT143" s="88"/>
      <c r="BU143" s="88"/>
      <c r="BV143" s="88"/>
      <c r="BW143" s="88"/>
      <c r="BX143" s="88"/>
      <c r="BY143" s="88"/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/>
      <c r="CM143" s="88"/>
      <c r="CN143" s="88"/>
      <c r="CO143" s="88"/>
      <c r="CP143" s="88"/>
      <c r="CQ143" s="88"/>
      <c r="CR143" s="88"/>
      <c r="CS143" s="88"/>
      <c r="CT143" s="88"/>
      <c r="CU143" s="88"/>
      <c r="CV143" s="88"/>
      <c r="CW143" s="88"/>
      <c r="CX143" s="88"/>
      <c r="CY143" s="88"/>
      <c r="CZ143" s="88"/>
      <c r="DA143" s="88"/>
      <c r="DB143" s="88"/>
      <c r="DC143" s="88"/>
    </row>
    <row r="144" spans="1:107" s="135" customFormat="1" x14ac:dyDescent="0.25">
      <c r="A144" s="113"/>
      <c r="BL144" s="88"/>
      <c r="BM144" s="88"/>
      <c r="BN144" s="88"/>
      <c r="BO144" s="88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  <c r="CZ144" s="88"/>
      <c r="DA144" s="88"/>
      <c r="DB144" s="88"/>
      <c r="DC144" s="88"/>
    </row>
  </sheetData>
  <pageMargins left="0.75" right="0.75" top="1" bottom="1" header="0.5" footer="0.5"/>
  <pageSetup orientation="landscape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385DD-9EB1-4FFD-BF04-7432DDFF5DAC}">
  <dimension ref="A1:BT129"/>
  <sheetViews>
    <sheetView topLeftCell="BK1" workbookViewId="0">
      <selection activeCell="BP2" sqref="BP2"/>
    </sheetView>
  </sheetViews>
  <sheetFormatPr defaultRowHeight="15" x14ac:dyDescent="0.25"/>
  <cols>
    <col min="1" max="1" width="15" bestFit="1" customWidth="1"/>
    <col min="2" max="2" width="16.28515625" bestFit="1" customWidth="1"/>
    <col min="3" max="3" width="16.7109375" bestFit="1" customWidth="1"/>
    <col min="4" max="4" width="19" bestFit="1" customWidth="1"/>
    <col min="5" max="5" width="13.85546875" bestFit="1" customWidth="1"/>
    <col min="6" max="6" width="15.28515625" bestFit="1" customWidth="1"/>
    <col min="7" max="7" width="15.42578125" customWidth="1"/>
    <col min="8" max="8" width="14.28515625" bestFit="1" customWidth="1"/>
    <col min="9" max="9" width="13.140625" bestFit="1" customWidth="1"/>
    <col min="10" max="10" width="15.85546875" bestFit="1" customWidth="1"/>
    <col min="11" max="11" width="13.140625" customWidth="1"/>
    <col min="12" max="12" width="15.28515625" bestFit="1" customWidth="1"/>
    <col min="13" max="13" width="15.140625" bestFit="1" customWidth="1"/>
    <col min="14" max="14" width="12.28515625" bestFit="1" customWidth="1"/>
    <col min="15" max="15" width="12.85546875" customWidth="1"/>
    <col min="16" max="16" width="14.28515625" bestFit="1" customWidth="1"/>
    <col min="17" max="17" width="12.5703125" bestFit="1" customWidth="1"/>
    <col min="18" max="18" width="14.28515625" bestFit="1" customWidth="1"/>
    <col min="19" max="20" width="12.5703125" bestFit="1" customWidth="1"/>
    <col min="21" max="21" width="13.5703125" bestFit="1" customWidth="1"/>
    <col min="22" max="22" width="14.28515625" bestFit="1" customWidth="1"/>
    <col min="23" max="23" width="12.5703125" bestFit="1" customWidth="1"/>
    <col min="24" max="24" width="14.28515625" bestFit="1" customWidth="1"/>
    <col min="25" max="26" width="12.5703125" bestFit="1" customWidth="1"/>
    <col min="27" max="27" width="13.28515625" bestFit="1" customWidth="1"/>
    <col min="28" max="29" width="15.28515625" bestFit="1" customWidth="1"/>
    <col min="30" max="30" width="13.85546875" bestFit="1" customWidth="1"/>
    <col min="31" max="31" width="14.7109375" bestFit="1" customWidth="1"/>
    <col min="32" max="32" width="20.140625" bestFit="1" customWidth="1"/>
    <col min="33" max="33" width="12.7109375" bestFit="1" customWidth="1"/>
    <col min="34" max="34" width="12.5703125" bestFit="1" customWidth="1"/>
    <col min="35" max="35" width="15.85546875" bestFit="1" customWidth="1"/>
    <col min="36" max="36" width="13.42578125" bestFit="1" customWidth="1"/>
    <col min="37" max="37" width="15.28515625" bestFit="1" customWidth="1"/>
    <col min="38" max="38" width="14.42578125" bestFit="1" customWidth="1"/>
    <col min="39" max="39" width="18.140625" customWidth="1"/>
    <col min="40" max="40" width="17.42578125" bestFit="1" customWidth="1"/>
    <col min="41" max="41" width="14.28515625" bestFit="1" customWidth="1"/>
    <col min="42" max="42" width="16.7109375" bestFit="1" customWidth="1"/>
    <col min="43" max="43" width="18.85546875" bestFit="1" customWidth="1"/>
    <col min="44" max="44" width="15.28515625" bestFit="1" customWidth="1"/>
    <col min="45" max="46" width="15" bestFit="1" customWidth="1"/>
    <col min="47" max="47" width="11.85546875" bestFit="1" customWidth="1"/>
    <col min="48" max="48" width="12.28515625" bestFit="1" customWidth="1"/>
    <col min="49" max="49" width="19.7109375" bestFit="1" customWidth="1"/>
    <col min="50" max="50" width="16.85546875" bestFit="1" customWidth="1"/>
    <col min="51" max="51" width="16.7109375" bestFit="1" customWidth="1"/>
    <col min="52" max="52" width="14.28515625" bestFit="1" customWidth="1"/>
    <col min="53" max="53" width="14.5703125" bestFit="1" customWidth="1"/>
    <col min="54" max="54" width="15.85546875" bestFit="1" customWidth="1"/>
    <col min="55" max="55" width="14.7109375" bestFit="1" customWidth="1"/>
    <col min="56" max="56" width="12.5703125" bestFit="1" customWidth="1"/>
    <col min="57" max="57" width="14.28515625" bestFit="1" customWidth="1"/>
    <col min="58" max="58" width="15.28515625" bestFit="1" customWidth="1"/>
    <col min="59" max="59" width="16.5703125" bestFit="1" customWidth="1"/>
    <col min="60" max="60" width="20.7109375" bestFit="1" customWidth="1"/>
    <col min="61" max="61" width="14.28515625" bestFit="1" customWidth="1"/>
    <col min="62" max="62" width="12.5703125" bestFit="1" customWidth="1"/>
    <col min="63" max="63" width="21.7109375" bestFit="1" customWidth="1"/>
    <col min="64" max="64" width="16.28515625" bestFit="1" customWidth="1"/>
    <col min="65" max="65" width="19.7109375" bestFit="1" customWidth="1"/>
    <col min="66" max="66" width="17.28515625" bestFit="1" customWidth="1"/>
    <col min="68" max="68" width="15.28515625" bestFit="1" customWidth="1"/>
    <col min="69" max="69" width="14.28515625" bestFit="1" customWidth="1"/>
    <col min="70" max="70" width="12.5703125" bestFit="1" customWidth="1"/>
    <col min="71" max="72" width="15.28515625" bestFit="1" customWidth="1"/>
  </cols>
  <sheetData>
    <row r="1" spans="1:72" s="148" customFormat="1" ht="81.75" customHeight="1" thickBot="1" x14ac:dyDescent="0.3">
      <c r="A1" s="147" t="s">
        <v>346</v>
      </c>
      <c r="B1" s="148" t="s">
        <v>0</v>
      </c>
      <c r="C1" s="148" t="s">
        <v>1</v>
      </c>
      <c r="D1" s="148" t="s">
        <v>2</v>
      </c>
      <c r="E1" s="148" t="s">
        <v>3</v>
      </c>
      <c r="F1" s="148" t="s">
        <v>4</v>
      </c>
      <c r="G1" s="148" t="s">
        <v>5</v>
      </c>
      <c r="H1" s="148" t="s">
        <v>6</v>
      </c>
      <c r="I1" s="148" t="s">
        <v>7</v>
      </c>
      <c r="J1" s="148" t="s">
        <v>8</v>
      </c>
      <c r="K1" s="148" t="s">
        <v>9</v>
      </c>
      <c r="L1" s="148" t="s">
        <v>10</v>
      </c>
      <c r="M1" s="148" t="s">
        <v>11</v>
      </c>
      <c r="N1" s="148" t="s">
        <v>12</v>
      </c>
      <c r="O1" s="148" t="s">
        <v>13</v>
      </c>
      <c r="P1" s="148" t="s">
        <v>347</v>
      </c>
      <c r="Q1" s="148" t="s">
        <v>348</v>
      </c>
      <c r="R1" s="148" t="s">
        <v>349</v>
      </c>
      <c r="S1" s="148" t="s">
        <v>350</v>
      </c>
      <c r="T1" s="148" t="s">
        <v>351</v>
      </c>
      <c r="U1" s="148" t="s">
        <v>352</v>
      </c>
      <c r="V1" s="148" t="s">
        <v>353</v>
      </c>
      <c r="W1" s="148" t="s">
        <v>354</v>
      </c>
      <c r="X1" s="148" t="s">
        <v>355</v>
      </c>
      <c r="Y1" s="148" t="s">
        <v>356</v>
      </c>
      <c r="Z1" s="148" t="s">
        <v>357</v>
      </c>
      <c r="AA1" s="148" t="s">
        <v>358</v>
      </c>
      <c r="AB1" s="148" t="s">
        <v>359</v>
      </c>
      <c r="AC1" s="148" t="s">
        <v>360</v>
      </c>
      <c r="AD1" s="148" t="s">
        <v>14</v>
      </c>
      <c r="AE1" s="148" t="s">
        <v>15</v>
      </c>
      <c r="AF1" s="148" t="s">
        <v>16</v>
      </c>
      <c r="AG1" s="148" t="s">
        <v>17</v>
      </c>
      <c r="AH1" s="148" t="s">
        <v>18</v>
      </c>
      <c r="AI1" s="148" t="s">
        <v>19</v>
      </c>
      <c r="AJ1" s="148" t="s">
        <v>361</v>
      </c>
      <c r="AK1" s="148" t="s">
        <v>21</v>
      </c>
      <c r="AL1" s="148" t="s">
        <v>22</v>
      </c>
      <c r="AM1" s="148" t="s">
        <v>23</v>
      </c>
      <c r="AN1" s="148" t="s">
        <v>24</v>
      </c>
      <c r="AO1" s="148" t="s">
        <v>25</v>
      </c>
      <c r="AP1" s="148" t="s">
        <v>26</v>
      </c>
      <c r="AQ1" s="148" t="s">
        <v>27</v>
      </c>
      <c r="AR1" s="148" t="s">
        <v>28</v>
      </c>
      <c r="AS1" s="148" t="s">
        <v>29</v>
      </c>
      <c r="AT1" s="148" t="s">
        <v>30</v>
      </c>
      <c r="AU1" s="148" t="s">
        <v>31</v>
      </c>
      <c r="AV1" s="148" t="s">
        <v>32</v>
      </c>
      <c r="AW1" s="148" t="s">
        <v>33</v>
      </c>
      <c r="AX1" s="148" t="s">
        <v>34</v>
      </c>
      <c r="AY1" s="148" t="s">
        <v>35</v>
      </c>
      <c r="AZ1" s="148" t="s">
        <v>40</v>
      </c>
      <c r="BA1" s="148" t="s">
        <v>41</v>
      </c>
      <c r="BB1" s="148" t="s">
        <v>42</v>
      </c>
      <c r="BC1" s="148" t="s">
        <v>342</v>
      </c>
      <c r="BD1" s="148" t="s">
        <v>43</v>
      </c>
      <c r="BE1" s="148" t="s">
        <v>44</v>
      </c>
      <c r="BF1" s="148" t="s">
        <v>343</v>
      </c>
      <c r="BG1" s="148" t="s">
        <v>45</v>
      </c>
      <c r="BH1" s="148" t="s">
        <v>344</v>
      </c>
      <c r="BI1" s="148" t="s">
        <v>46</v>
      </c>
      <c r="BJ1" s="148" t="s">
        <v>47</v>
      </c>
      <c r="BK1" s="148" t="s">
        <v>48</v>
      </c>
      <c r="BL1" s="148" t="s">
        <v>49</v>
      </c>
      <c r="BM1" s="148" t="s">
        <v>50</v>
      </c>
      <c r="BN1" s="148" t="s">
        <v>51</v>
      </c>
      <c r="BP1" s="148" t="s">
        <v>326</v>
      </c>
      <c r="BQ1" s="148" t="s">
        <v>327</v>
      </c>
      <c r="BR1" s="148" t="s">
        <v>328</v>
      </c>
      <c r="BS1" s="148" t="s">
        <v>329</v>
      </c>
      <c r="BT1" s="148" t="s">
        <v>330</v>
      </c>
    </row>
    <row r="2" spans="1:72" x14ac:dyDescent="0.25">
      <c r="A2" s="149" t="s">
        <v>56</v>
      </c>
      <c r="B2" s="135">
        <v>360855500</v>
      </c>
      <c r="C2" s="135">
        <v>174326900</v>
      </c>
      <c r="D2" s="135">
        <v>142206800</v>
      </c>
      <c r="E2" s="135">
        <v>0</v>
      </c>
      <c r="F2" s="135">
        <v>53242700</v>
      </c>
      <c r="G2" s="135">
        <v>11441200</v>
      </c>
      <c r="H2" s="135">
        <v>24269500</v>
      </c>
      <c r="I2" s="135">
        <v>2940900</v>
      </c>
      <c r="J2" s="135">
        <v>187000</v>
      </c>
      <c r="K2" s="135">
        <v>65500</v>
      </c>
      <c r="L2" s="135">
        <v>392350500</v>
      </c>
      <c r="M2" s="135">
        <v>93340700</v>
      </c>
      <c r="N2" s="135">
        <v>2058</v>
      </c>
      <c r="O2" s="135">
        <v>442</v>
      </c>
      <c r="P2" s="135">
        <v>4924000</v>
      </c>
      <c r="Q2" s="135">
        <v>2787300</v>
      </c>
      <c r="R2" s="135">
        <v>2729500</v>
      </c>
      <c r="S2" s="135">
        <v>874300</v>
      </c>
      <c r="T2" s="135">
        <v>306000</v>
      </c>
      <c r="U2" s="135">
        <v>165000</v>
      </c>
      <c r="V2" s="135">
        <v>4924000</v>
      </c>
      <c r="W2" s="135">
        <v>2787300</v>
      </c>
      <c r="X2" s="135">
        <v>2729500</v>
      </c>
      <c r="Y2" s="135">
        <v>874300</v>
      </c>
      <c r="Z2" s="135">
        <v>306000</v>
      </c>
      <c r="AA2" s="135">
        <v>165000</v>
      </c>
      <c r="AB2" s="135">
        <v>-6133800</v>
      </c>
      <c r="AC2" s="135">
        <v>-19376</v>
      </c>
      <c r="AD2" s="135">
        <v>109316</v>
      </c>
      <c r="AE2" s="135">
        <v>0</v>
      </c>
      <c r="AF2" s="135">
        <v>0</v>
      </c>
      <c r="AG2" s="135">
        <v>223379</v>
      </c>
      <c r="AH2" s="135">
        <v>1700500</v>
      </c>
      <c r="AI2" s="135">
        <v>505000</v>
      </c>
      <c r="AJ2" s="135"/>
      <c r="AK2" s="135">
        <v>138638097</v>
      </c>
      <c r="AL2" s="135">
        <v>6436950</v>
      </c>
      <c r="AM2" s="135">
        <v>557493</v>
      </c>
      <c r="AN2" s="135">
        <v>21016751</v>
      </c>
      <c r="AO2" s="135">
        <v>623859</v>
      </c>
      <c r="AP2" s="135">
        <v>13512685</v>
      </c>
      <c r="AQ2" s="135">
        <v>19686683</v>
      </c>
      <c r="AR2" s="135">
        <v>58339472</v>
      </c>
      <c r="AS2" s="135">
        <v>252098</v>
      </c>
      <c r="AT2" s="135">
        <v>723905</v>
      </c>
      <c r="AU2" s="135"/>
      <c r="AV2" s="135"/>
      <c r="AW2" s="135"/>
      <c r="AX2" s="135">
        <v>707453</v>
      </c>
      <c r="AY2" s="135">
        <v>64500</v>
      </c>
      <c r="AZ2" s="135">
        <v>7422514.3799999999</v>
      </c>
      <c r="BA2" s="135">
        <v>3859707</v>
      </c>
      <c r="BB2" s="135">
        <v>0</v>
      </c>
      <c r="BC2" s="135">
        <v>0</v>
      </c>
      <c r="BD2" s="135">
        <v>0</v>
      </c>
      <c r="BE2" s="135">
        <v>24105498</v>
      </c>
      <c r="BF2" s="135">
        <v>24105498</v>
      </c>
      <c r="BG2" s="135">
        <v>41476827</v>
      </c>
      <c r="BH2" s="135">
        <v>41355691</v>
      </c>
      <c r="BI2" s="135">
        <v>0</v>
      </c>
      <c r="BJ2" s="135">
        <v>0</v>
      </c>
      <c r="BK2" s="135"/>
      <c r="BL2" s="135">
        <v>935317936</v>
      </c>
      <c r="BM2" s="135">
        <v>720921993</v>
      </c>
      <c r="BN2" s="135">
        <v>275500</v>
      </c>
      <c r="BO2" s="135"/>
      <c r="BP2" s="135">
        <v>677389200</v>
      </c>
      <c r="BQ2" s="135">
        <v>138638097</v>
      </c>
      <c r="BR2" s="135">
        <v>6436950</v>
      </c>
      <c r="BS2" s="135">
        <v>41579391</v>
      </c>
      <c r="BT2" s="135">
        <v>864043638</v>
      </c>
    </row>
    <row r="3" spans="1:72" x14ac:dyDescent="0.25">
      <c r="A3" s="149" t="s">
        <v>57</v>
      </c>
      <c r="B3" s="135">
        <v>662082298</v>
      </c>
      <c r="C3" s="135">
        <v>237604190</v>
      </c>
      <c r="D3" s="135">
        <v>141487568</v>
      </c>
      <c r="E3" s="135">
        <v>0</v>
      </c>
      <c r="F3" s="135">
        <v>53564951</v>
      </c>
      <c r="G3" s="135">
        <v>16831050</v>
      </c>
      <c r="H3" s="135">
        <v>19552911</v>
      </c>
      <c r="I3" s="135">
        <v>2953685</v>
      </c>
      <c r="J3" s="135">
        <v>162000</v>
      </c>
      <c r="K3" s="135">
        <v>0</v>
      </c>
      <c r="L3" s="135">
        <v>414148284</v>
      </c>
      <c r="M3" s="135">
        <v>150782248</v>
      </c>
      <c r="N3" s="135">
        <v>1870</v>
      </c>
      <c r="O3" s="135">
        <v>528</v>
      </c>
      <c r="P3" s="135">
        <v>19640075</v>
      </c>
      <c r="Q3" s="135">
        <v>7527802</v>
      </c>
      <c r="R3" s="135">
        <v>982544</v>
      </c>
      <c r="S3" s="135">
        <v>4581027</v>
      </c>
      <c r="T3" s="135">
        <v>2571393</v>
      </c>
      <c r="U3" s="135">
        <v>3994360</v>
      </c>
      <c r="V3" s="135">
        <v>19640075</v>
      </c>
      <c r="W3" s="135">
        <v>8885588</v>
      </c>
      <c r="X3" s="135">
        <v>982544</v>
      </c>
      <c r="Y3" s="135">
        <v>4581027</v>
      </c>
      <c r="Z3" s="135">
        <v>5159972</v>
      </c>
      <c r="AA3" s="135">
        <v>3994360</v>
      </c>
      <c r="AB3" s="135">
        <v>-2116511</v>
      </c>
      <c r="AC3" s="135">
        <v>21525</v>
      </c>
      <c r="AD3" s="135">
        <v>60355</v>
      </c>
      <c r="AE3" s="135"/>
      <c r="AF3" s="135"/>
      <c r="AG3" s="135">
        <v>45754</v>
      </c>
      <c r="AH3" s="135">
        <v>650160</v>
      </c>
      <c r="AI3" s="135">
        <v>390000</v>
      </c>
      <c r="AJ3" s="135"/>
      <c r="AK3" s="135">
        <v>167121498</v>
      </c>
      <c r="AL3" s="135">
        <v>9988532</v>
      </c>
      <c r="AM3" s="135">
        <v>120000</v>
      </c>
      <c r="AN3" s="135">
        <v>35915178</v>
      </c>
      <c r="AO3" s="135">
        <v>2634365</v>
      </c>
      <c r="AP3" s="135">
        <v>136722456</v>
      </c>
      <c r="AQ3" s="135">
        <v>71798483</v>
      </c>
      <c r="AR3" s="135">
        <v>33292981</v>
      </c>
      <c r="AS3" s="135">
        <v>34090616</v>
      </c>
      <c r="AT3" s="135"/>
      <c r="AU3" s="135"/>
      <c r="AV3" s="135"/>
      <c r="AW3" s="135">
        <v>469</v>
      </c>
      <c r="AX3" s="135">
        <v>136550</v>
      </c>
      <c r="AY3" s="135"/>
      <c r="AZ3" s="135">
        <v>8947480.8800000008</v>
      </c>
      <c r="BA3" s="135">
        <v>4652690</v>
      </c>
      <c r="BB3" s="135">
        <v>0</v>
      </c>
      <c r="BC3" s="135">
        <v>0</v>
      </c>
      <c r="BD3" s="135">
        <v>0</v>
      </c>
      <c r="BE3" s="135">
        <v>32689532</v>
      </c>
      <c r="BF3" s="135">
        <v>32689532</v>
      </c>
      <c r="BG3" s="135">
        <v>52998181</v>
      </c>
      <c r="BH3" s="135">
        <v>52953102</v>
      </c>
      <c r="BI3" s="135">
        <v>0</v>
      </c>
      <c r="BJ3" s="135">
        <v>0</v>
      </c>
      <c r="BK3" s="135"/>
      <c r="BL3" s="135">
        <v>1419967596</v>
      </c>
      <c r="BM3" s="135">
        <v>1152562242</v>
      </c>
      <c r="BN3" s="135">
        <v>1654861</v>
      </c>
      <c r="BO3" s="135"/>
      <c r="BP3" s="135">
        <v>1041174056</v>
      </c>
      <c r="BQ3" s="135">
        <v>167121498</v>
      </c>
      <c r="BR3" s="135">
        <v>9988532</v>
      </c>
      <c r="BS3" s="135">
        <v>144438642</v>
      </c>
      <c r="BT3" s="135">
        <v>1362722728</v>
      </c>
    </row>
    <row r="4" spans="1:72" x14ac:dyDescent="0.25">
      <c r="A4" s="149" t="s">
        <v>58</v>
      </c>
      <c r="B4" s="135">
        <v>1130828119</v>
      </c>
      <c r="C4" s="135">
        <v>204412755</v>
      </c>
      <c r="D4" s="135">
        <v>277504727</v>
      </c>
      <c r="E4" s="135">
        <v>0</v>
      </c>
      <c r="F4" s="135">
        <v>77968500</v>
      </c>
      <c r="G4" s="135">
        <v>8646500</v>
      </c>
      <c r="H4" s="135">
        <v>15692500</v>
      </c>
      <c r="I4" s="135">
        <v>1093500</v>
      </c>
      <c r="J4" s="135">
        <v>162000</v>
      </c>
      <c r="K4" s="135">
        <v>0</v>
      </c>
      <c r="L4" s="135">
        <v>272069994</v>
      </c>
      <c r="M4" s="135">
        <v>143574410</v>
      </c>
      <c r="N4" s="135">
        <v>2350</v>
      </c>
      <c r="O4" s="135">
        <v>252</v>
      </c>
      <c r="P4" s="135">
        <v>15669080</v>
      </c>
      <c r="Q4" s="135">
        <v>1563000</v>
      </c>
      <c r="R4" s="135">
        <v>1831000</v>
      </c>
      <c r="S4" s="135">
        <v>1207400</v>
      </c>
      <c r="T4" s="135">
        <v>0</v>
      </c>
      <c r="U4" s="135">
        <v>225300</v>
      </c>
      <c r="V4" s="135">
        <v>15669080</v>
      </c>
      <c r="W4" s="135">
        <v>1953300</v>
      </c>
      <c r="X4" s="135">
        <v>1831000</v>
      </c>
      <c r="Y4" s="135">
        <v>1207400</v>
      </c>
      <c r="Z4" s="135">
        <v>0</v>
      </c>
      <c r="AA4" s="135">
        <v>225300</v>
      </c>
      <c r="AB4" s="135">
        <v>-3358900</v>
      </c>
      <c r="AC4" s="135">
        <v>0</v>
      </c>
      <c r="AD4" s="135">
        <v>0</v>
      </c>
      <c r="AE4" s="135">
        <v>0</v>
      </c>
      <c r="AF4" s="135">
        <v>0</v>
      </c>
      <c r="AG4" s="135">
        <v>107153</v>
      </c>
      <c r="AH4" s="135">
        <v>0</v>
      </c>
      <c r="AI4" s="135">
        <v>135000</v>
      </c>
      <c r="AJ4" s="135"/>
      <c r="AK4" s="135">
        <v>212747589</v>
      </c>
      <c r="AL4" s="135">
        <v>7612510</v>
      </c>
      <c r="AM4" s="135"/>
      <c r="AN4" s="135">
        <v>25186028</v>
      </c>
      <c r="AO4" s="135">
        <v>3934460</v>
      </c>
      <c r="AP4" s="135">
        <v>130261349</v>
      </c>
      <c r="AQ4" s="135">
        <v>26057236</v>
      </c>
      <c r="AR4" s="135">
        <v>18881905</v>
      </c>
      <c r="AS4" s="135">
        <v>15240522</v>
      </c>
      <c r="AT4" s="135">
        <v>336996</v>
      </c>
      <c r="AU4" s="135"/>
      <c r="AV4" s="135"/>
      <c r="AW4" s="135">
        <v>328443</v>
      </c>
      <c r="AX4" s="135">
        <v>7592</v>
      </c>
      <c r="AY4" s="135">
        <v>32500</v>
      </c>
      <c r="AZ4" s="135">
        <v>11390246.07</v>
      </c>
      <c r="BA4" s="135">
        <v>5922928</v>
      </c>
      <c r="BB4" s="135">
        <v>0</v>
      </c>
      <c r="BC4" s="135">
        <v>1755992</v>
      </c>
      <c r="BD4" s="135">
        <v>3376908</v>
      </c>
      <c r="BE4" s="135">
        <v>17281734</v>
      </c>
      <c r="BF4" s="135">
        <v>17281734</v>
      </c>
      <c r="BG4" s="135">
        <v>48164525</v>
      </c>
      <c r="BH4" s="135">
        <v>45857176</v>
      </c>
      <c r="BI4" s="135">
        <v>196728236</v>
      </c>
      <c r="BJ4" s="135">
        <v>0</v>
      </c>
      <c r="BK4" s="135"/>
      <c r="BL4" s="135">
        <v>2155964490</v>
      </c>
      <c r="BM4" s="135">
        <v>1668058325</v>
      </c>
      <c r="BN4" s="135">
        <v>1061180</v>
      </c>
      <c r="BO4" s="135"/>
      <c r="BP4" s="135">
        <v>1612745601</v>
      </c>
      <c r="BQ4" s="135">
        <v>212747589</v>
      </c>
      <c r="BR4" s="135">
        <v>7612510</v>
      </c>
      <c r="BS4" s="135">
        <v>70418246</v>
      </c>
      <c r="BT4" s="135">
        <v>1903523946</v>
      </c>
    </row>
    <row r="5" spans="1:72" x14ac:dyDescent="0.25">
      <c r="A5" s="149" t="s">
        <v>59</v>
      </c>
      <c r="B5" s="135">
        <v>193325428</v>
      </c>
      <c r="C5" s="135">
        <v>169930633</v>
      </c>
      <c r="D5" s="135">
        <v>73715397</v>
      </c>
      <c r="E5" s="135">
        <v>0</v>
      </c>
      <c r="F5" s="135">
        <v>29252050</v>
      </c>
      <c r="G5" s="135">
        <v>6522966</v>
      </c>
      <c r="H5" s="135">
        <v>7706691</v>
      </c>
      <c r="I5" s="135">
        <v>1053000</v>
      </c>
      <c r="J5" s="135">
        <v>0</v>
      </c>
      <c r="K5" s="135">
        <v>40500</v>
      </c>
      <c r="L5" s="135">
        <v>376339359</v>
      </c>
      <c r="M5" s="135">
        <v>49406341</v>
      </c>
      <c r="N5" s="135">
        <v>953</v>
      </c>
      <c r="O5" s="135">
        <v>205</v>
      </c>
      <c r="P5" s="135">
        <v>4335490</v>
      </c>
      <c r="Q5" s="135">
        <v>2136066</v>
      </c>
      <c r="R5" s="135">
        <v>1920000</v>
      </c>
      <c r="S5" s="135">
        <v>568450</v>
      </c>
      <c r="T5" s="135">
        <v>118519</v>
      </c>
      <c r="U5" s="135">
        <v>96500</v>
      </c>
      <c r="V5" s="135">
        <v>4335490</v>
      </c>
      <c r="W5" s="135">
        <v>2346793</v>
      </c>
      <c r="X5" s="135">
        <v>1920000</v>
      </c>
      <c r="Y5" s="135">
        <v>568450</v>
      </c>
      <c r="Z5" s="135">
        <v>170180</v>
      </c>
      <c r="AA5" s="135">
        <v>96500</v>
      </c>
      <c r="AB5" s="135">
        <v>-2678171</v>
      </c>
      <c r="AC5" s="135">
        <v>-1344728</v>
      </c>
      <c r="AD5" s="135"/>
      <c r="AE5" s="135"/>
      <c r="AF5" s="135"/>
      <c r="AG5" s="135"/>
      <c r="AH5" s="135">
        <v>0</v>
      </c>
      <c r="AI5" s="135">
        <v>55000</v>
      </c>
      <c r="AJ5" s="135"/>
      <c r="AK5" s="135">
        <v>79414425</v>
      </c>
      <c r="AL5" s="135">
        <v>3631500</v>
      </c>
      <c r="AM5" s="135"/>
      <c r="AN5" s="135">
        <v>28442829</v>
      </c>
      <c r="AO5" s="135">
        <v>7338206</v>
      </c>
      <c r="AP5" s="135">
        <v>105137314</v>
      </c>
      <c r="AQ5" s="135">
        <v>16894999</v>
      </c>
      <c r="AR5" s="135">
        <v>18940862</v>
      </c>
      <c r="AS5" s="135">
        <v>3061829</v>
      </c>
      <c r="AT5" s="135">
        <v>650737</v>
      </c>
      <c r="AU5" s="135"/>
      <c r="AV5" s="135"/>
      <c r="AW5" s="135">
        <v>9862468</v>
      </c>
      <c r="AX5" s="135"/>
      <c r="AY5" s="135"/>
      <c r="AZ5" s="135">
        <v>4251751.32</v>
      </c>
      <c r="BA5" s="135">
        <v>2210911</v>
      </c>
      <c r="BB5" s="135">
        <v>41391583.099274606</v>
      </c>
      <c r="BC5" s="135">
        <v>1150249</v>
      </c>
      <c r="BD5" s="135">
        <v>2212017</v>
      </c>
      <c r="BE5" s="135">
        <v>29411975</v>
      </c>
      <c r="BF5" s="135">
        <v>29411975</v>
      </c>
      <c r="BG5" s="135">
        <v>74908669</v>
      </c>
      <c r="BH5" s="135">
        <v>64568339</v>
      </c>
      <c r="BI5" s="135">
        <v>183805</v>
      </c>
      <c r="BJ5" s="135">
        <v>0</v>
      </c>
      <c r="BK5" s="135"/>
      <c r="BL5" s="135">
        <v>670273696</v>
      </c>
      <c r="BM5" s="135">
        <v>489702492</v>
      </c>
      <c r="BN5" s="135">
        <v>1850473</v>
      </c>
      <c r="BO5" s="135"/>
      <c r="BP5" s="135">
        <v>436971458</v>
      </c>
      <c r="BQ5" s="135">
        <v>79414425</v>
      </c>
      <c r="BR5" s="135">
        <v>3631500</v>
      </c>
      <c r="BS5" s="135">
        <v>1317998255</v>
      </c>
      <c r="BT5" s="135">
        <v>1838015638</v>
      </c>
    </row>
    <row r="6" spans="1:72" x14ac:dyDescent="0.25">
      <c r="A6" s="149" t="s">
        <v>60</v>
      </c>
      <c r="B6" s="135">
        <v>1458625004</v>
      </c>
      <c r="C6" s="135">
        <v>341814091</v>
      </c>
      <c r="D6" s="135">
        <v>554153317</v>
      </c>
      <c r="E6" s="135">
        <v>48500</v>
      </c>
      <c r="F6" s="135">
        <v>138804470</v>
      </c>
      <c r="G6" s="135">
        <v>16184910</v>
      </c>
      <c r="H6" s="135">
        <v>28905605</v>
      </c>
      <c r="I6" s="135">
        <v>1929100</v>
      </c>
      <c r="J6" s="135">
        <v>283500</v>
      </c>
      <c r="K6" s="135">
        <v>0</v>
      </c>
      <c r="L6" s="135">
        <v>610763679</v>
      </c>
      <c r="M6" s="135">
        <v>262552575</v>
      </c>
      <c r="N6" s="135">
        <v>4188</v>
      </c>
      <c r="O6" s="135">
        <v>485</v>
      </c>
      <c r="P6" s="135">
        <v>31018100</v>
      </c>
      <c r="Q6" s="135">
        <v>9751200</v>
      </c>
      <c r="R6" s="135">
        <v>19966516</v>
      </c>
      <c r="S6" s="135">
        <v>6626700</v>
      </c>
      <c r="T6" s="135">
        <v>2675600</v>
      </c>
      <c r="U6" s="135">
        <v>30794400</v>
      </c>
      <c r="V6" s="135">
        <v>31018100</v>
      </c>
      <c r="W6" s="135">
        <v>13516700</v>
      </c>
      <c r="X6" s="135">
        <v>19966516</v>
      </c>
      <c r="Y6" s="135">
        <v>6673300</v>
      </c>
      <c r="Z6" s="135">
        <v>5063500</v>
      </c>
      <c r="AA6" s="135">
        <v>30461400</v>
      </c>
      <c r="AB6" s="135">
        <v>-5959279</v>
      </c>
      <c r="AC6" s="135">
        <v>9826795</v>
      </c>
      <c r="AD6" s="135">
        <v>47</v>
      </c>
      <c r="AE6" s="135">
        <v>2024.0409999999999</v>
      </c>
      <c r="AF6" s="135">
        <v>0</v>
      </c>
      <c r="AG6" s="135">
        <v>265356</v>
      </c>
      <c r="AH6" s="135">
        <v>425000</v>
      </c>
      <c r="AI6" s="135">
        <v>400000</v>
      </c>
      <c r="AJ6" s="135"/>
      <c r="AK6" s="135">
        <v>355635947</v>
      </c>
      <c r="AL6" s="135">
        <v>20542511</v>
      </c>
      <c r="AM6" s="135">
        <v>2858668</v>
      </c>
      <c r="AN6" s="135">
        <v>98132241</v>
      </c>
      <c r="AO6" s="135">
        <v>18822055</v>
      </c>
      <c r="AP6" s="135">
        <v>232789398</v>
      </c>
      <c r="AQ6" s="135">
        <v>141486130</v>
      </c>
      <c r="AR6" s="135">
        <v>86173217</v>
      </c>
      <c r="AS6" s="135">
        <v>441829066</v>
      </c>
      <c r="AT6" s="135">
        <v>10809816</v>
      </c>
      <c r="AU6" s="135"/>
      <c r="AV6" s="135">
        <v>315969</v>
      </c>
      <c r="AW6" s="135">
        <v>24502</v>
      </c>
      <c r="AX6" s="135">
        <v>13263349</v>
      </c>
      <c r="AY6" s="135">
        <v>369070</v>
      </c>
      <c r="AZ6" s="135">
        <v>19040314.239999998</v>
      </c>
      <c r="BA6" s="135">
        <v>9900963</v>
      </c>
      <c r="BB6" s="135">
        <v>0</v>
      </c>
      <c r="BC6" s="135">
        <v>1427518</v>
      </c>
      <c r="BD6" s="135">
        <v>2745227</v>
      </c>
      <c r="BE6" s="135">
        <v>63378501</v>
      </c>
      <c r="BF6" s="135">
        <v>62948382</v>
      </c>
      <c r="BG6" s="135">
        <v>98566814</v>
      </c>
      <c r="BH6" s="135">
        <v>96280429</v>
      </c>
      <c r="BI6" s="135">
        <v>0</v>
      </c>
      <c r="BJ6" s="135">
        <v>19410575</v>
      </c>
      <c r="BK6" s="135"/>
      <c r="BL6" s="135">
        <v>3180004163</v>
      </c>
      <c r="BM6" s="135">
        <v>2613857838</v>
      </c>
      <c r="BN6" s="135">
        <v>4236222</v>
      </c>
      <c r="BO6" s="135"/>
      <c r="BP6" s="135">
        <v>2354592412</v>
      </c>
      <c r="BQ6" s="135">
        <v>355635947</v>
      </c>
      <c r="BR6" s="135">
        <v>20542511</v>
      </c>
      <c r="BS6" s="135">
        <v>700269492</v>
      </c>
      <c r="BT6" s="135">
        <v>3431040362</v>
      </c>
    </row>
    <row r="7" spans="1:72" x14ac:dyDescent="0.25">
      <c r="A7" s="149" t="s">
        <v>61</v>
      </c>
      <c r="B7" s="135">
        <v>219000229</v>
      </c>
      <c r="C7" s="135">
        <v>108127795</v>
      </c>
      <c r="D7" s="135">
        <v>51298011</v>
      </c>
      <c r="E7" s="135">
        <v>15466672</v>
      </c>
      <c r="F7" s="135">
        <v>33680472</v>
      </c>
      <c r="G7" s="135">
        <v>15203842</v>
      </c>
      <c r="H7" s="135">
        <v>10680413</v>
      </c>
      <c r="I7" s="135">
        <v>2591726</v>
      </c>
      <c r="J7" s="135">
        <v>0</v>
      </c>
      <c r="K7" s="135">
        <v>40500</v>
      </c>
      <c r="L7" s="135">
        <v>161438868</v>
      </c>
      <c r="M7" s="135">
        <v>67344650</v>
      </c>
      <c r="N7" s="135">
        <v>1162</v>
      </c>
      <c r="O7" s="135">
        <v>512</v>
      </c>
      <c r="P7" s="135">
        <v>2327334</v>
      </c>
      <c r="Q7" s="135">
        <v>1456086</v>
      </c>
      <c r="R7" s="135">
        <v>7925491</v>
      </c>
      <c r="S7" s="135">
        <v>1175307</v>
      </c>
      <c r="T7" s="135">
        <v>3080374</v>
      </c>
      <c r="U7" s="135">
        <v>299000</v>
      </c>
      <c r="V7" s="135">
        <v>2327334</v>
      </c>
      <c r="W7" s="135">
        <v>1583750</v>
      </c>
      <c r="X7" s="135">
        <v>7925491</v>
      </c>
      <c r="Y7" s="135">
        <v>1175307</v>
      </c>
      <c r="Z7" s="135">
        <v>312265</v>
      </c>
      <c r="AA7" s="135">
        <v>299000</v>
      </c>
      <c r="AB7" s="135">
        <v>-2271392</v>
      </c>
      <c r="AC7" s="135">
        <v>0</v>
      </c>
      <c r="AD7" s="135">
        <v>133</v>
      </c>
      <c r="AE7" s="135">
        <v>10180</v>
      </c>
      <c r="AF7" s="135">
        <v>27623694</v>
      </c>
      <c r="AG7" s="135">
        <v>228397</v>
      </c>
      <c r="AH7" s="135">
        <v>0</v>
      </c>
      <c r="AI7" s="135">
        <v>0</v>
      </c>
      <c r="AJ7" s="135"/>
      <c r="AK7" s="135">
        <v>95716825</v>
      </c>
      <c r="AL7" s="135">
        <v>2438027</v>
      </c>
      <c r="AM7" s="135"/>
      <c r="AN7" s="135">
        <v>17391267</v>
      </c>
      <c r="AO7" s="135">
        <v>788126</v>
      </c>
      <c r="AP7" s="135">
        <v>12601113</v>
      </c>
      <c r="AQ7" s="135">
        <v>5313846</v>
      </c>
      <c r="AR7" s="135">
        <v>7402522</v>
      </c>
      <c r="AS7" s="135">
        <v>8045897</v>
      </c>
      <c r="AT7" s="135">
        <v>222904</v>
      </c>
      <c r="AU7" s="135"/>
      <c r="AV7" s="135"/>
      <c r="AW7" s="135">
        <v>1636542</v>
      </c>
      <c r="AX7" s="135">
        <v>64027</v>
      </c>
      <c r="AY7" s="135">
        <v>92500</v>
      </c>
      <c r="AZ7" s="135">
        <v>5124561.9000000004</v>
      </c>
      <c r="BA7" s="135">
        <v>2664772</v>
      </c>
      <c r="BB7" s="135">
        <v>0</v>
      </c>
      <c r="BC7" s="135">
        <v>0</v>
      </c>
      <c r="BD7" s="135">
        <v>0</v>
      </c>
      <c r="BE7" s="135">
        <v>41524550</v>
      </c>
      <c r="BF7" s="135">
        <v>41524550</v>
      </c>
      <c r="BG7" s="135">
        <v>182164153</v>
      </c>
      <c r="BH7" s="135">
        <v>182149833</v>
      </c>
      <c r="BI7" s="135">
        <v>0</v>
      </c>
      <c r="BJ7" s="135">
        <v>0</v>
      </c>
      <c r="BK7" s="135"/>
      <c r="BL7" s="135">
        <v>726413281</v>
      </c>
      <c r="BM7" s="135">
        <v>401919274</v>
      </c>
      <c r="BN7" s="135"/>
      <c r="BO7" s="135"/>
      <c r="BP7" s="135">
        <v>378426035</v>
      </c>
      <c r="BQ7" s="135">
        <v>95716825</v>
      </c>
      <c r="BR7" s="135">
        <v>2438027</v>
      </c>
      <c r="BS7" s="135">
        <v>31539136</v>
      </c>
      <c r="BT7" s="135">
        <v>508120023</v>
      </c>
    </row>
    <row r="8" spans="1:72" x14ac:dyDescent="0.25">
      <c r="A8" s="149" t="s">
        <v>62</v>
      </c>
      <c r="B8" s="135">
        <v>459337200</v>
      </c>
      <c r="C8" s="135">
        <v>28603400</v>
      </c>
      <c r="D8" s="135">
        <v>194588104</v>
      </c>
      <c r="E8" s="135">
        <v>0</v>
      </c>
      <c r="F8" s="135">
        <v>87097500</v>
      </c>
      <c r="G8" s="135">
        <v>18566500</v>
      </c>
      <c r="H8" s="135">
        <v>4960300</v>
      </c>
      <c r="I8" s="135">
        <v>676000</v>
      </c>
      <c r="J8" s="135">
        <v>162000</v>
      </c>
      <c r="K8" s="135">
        <v>0</v>
      </c>
      <c r="L8" s="135">
        <v>33322750</v>
      </c>
      <c r="M8" s="135"/>
      <c r="N8" s="135">
        <v>2613</v>
      </c>
      <c r="O8" s="135">
        <v>602</v>
      </c>
      <c r="P8" s="135">
        <v>1404300</v>
      </c>
      <c r="Q8" s="135">
        <v>0</v>
      </c>
      <c r="R8" s="135">
        <v>302900</v>
      </c>
      <c r="S8" s="135">
        <v>3591900</v>
      </c>
      <c r="T8" s="135">
        <v>205400</v>
      </c>
      <c r="U8" s="135">
        <v>1019044</v>
      </c>
      <c r="V8" s="135">
        <v>1404300</v>
      </c>
      <c r="W8" s="135">
        <v>0</v>
      </c>
      <c r="X8" s="135">
        <v>302900</v>
      </c>
      <c r="Y8" s="135">
        <v>3591900</v>
      </c>
      <c r="Z8" s="135">
        <v>174400</v>
      </c>
      <c r="AA8" s="135">
        <v>1019044</v>
      </c>
      <c r="AB8" s="135">
        <v>-4366650</v>
      </c>
      <c r="AC8" s="135">
        <v>-75734</v>
      </c>
      <c r="AD8" s="135">
        <v>156456</v>
      </c>
      <c r="AE8" s="135">
        <v>0</v>
      </c>
      <c r="AF8" s="135">
        <v>0</v>
      </c>
      <c r="AG8" s="135">
        <v>0</v>
      </c>
      <c r="AH8" s="135">
        <v>7800000</v>
      </c>
      <c r="AI8" s="135">
        <v>5598170</v>
      </c>
      <c r="AJ8" s="135">
        <v>6050000</v>
      </c>
      <c r="AK8" s="135">
        <v>150005786</v>
      </c>
      <c r="AL8" s="135">
        <v>955556</v>
      </c>
      <c r="AM8" s="135"/>
      <c r="AN8" s="135">
        <v>48866621</v>
      </c>
      <c r="AO8" s="135">
        <v>4876656</v>
      </c>
      <c r="AP8" s="135">
        <v>40896717</v>
      </c>
      <c r="AQ8" s="135">
        <v>51848049</v>
      </c>
      <c r="AR8" s="135">
        <v>33125654</v>
      </c>
      <c r="AS8" s="135">
        <v>272007</v>
      </c>
      <c r="AT8" s="135"/>
      <c r="AU8" s="135"/>
      <c r="AV8" s="135"/>
      <c r="AW8" s="135"/>
      <c r="AX8" s="135">
        <v>37020</v>
      </c>
      <c r="AY8" s="135">
        <v>2138500</v>
      </c>
      <c r="AZ8" s="135">
        <v>8031126.5700000003</v>
      </c>
      <c r="BA8" s="135">
        <v>4176186</v>
      </c>
      <c r="BB8" s="135">
        <v>0</v>
      </c>
      <c r="BC8" s="135">
        <v>8282675</v>
      </c>
      <c r="BD8" s="135">
        <v>15928222</v>
      </c>
      <c r="BE8" s="135">
        <v>57213315</v>
      </c>
      <c r="BF8" s="135">
        <v>57213315</v>
      </c>
      <c r="BG8" s="135">
        <v>122128245</v>
      </c>
      <c r="BH8" s="135">
        <v>115490164</v>
      </c>
      <c r="BI8" s="135">
        <v>0</v>
      </c>
      <c r="BJ8" s="135">
        <v>0</v>
      </c>
      <c r="BK8" s="135"/>
      <c r="BL8" s="135">
        <v>1143691882</v>
      </c>
      <c r="BM8" s="135">
        <v>807568200</v>
      </c>
      <c r="BN8" s="135">
        <v>2481300</v>
      </c>
      <c r="BO8" s="135"/>
      <c r="BP8" s="135">
        <v>682528704</v>
      </c>
      <c r="BQ8" s="135">
        <v>150005786</v>
      </c>
      <c r="BR8" s="135">
        <v>955556</v>
      </c>
      <c r="BS8" s="135">
        <v>105863333</v>
      </c>
      <c r="BT8" s="135">
        <v>939353379</v>
      </c>
    </row>
    <row r="9" spans="1:72" x14ac:dyDescent="0.25">
      <c r="A9" s="149" t="s">
        <v>63</v>
      </c>
      <c r="B9" s="135">
        <v>8944231787</v>
      </c>
      <c r="C9" s="135">
        <v>328688056</v>
      </c>
      <c r="D9" s="135">
        <v>5994374535</v>
      </c>
      <c r="E9" s="135">
        <v>155005385</v>
      </c>
      <c r="F9" s="135">
        <v>374797450</v>
      </c>
      <c r="G9" s="135">
        <v>23211990</v>
      </c>
      <c r="H9" s="135">
        <v>18271790</v>
      </c>
      <c r="I9" s="135">
        <v>445500</v>
      </c>
      <c r="J9" s="135">
        <v>526500</v>
      </c>
      <c r="K9" s="135">
        <v>0</v>
      </c>
      <c r="L9" s="135">
        <v>838792954</v>
      </c>
      <c r="M9" s="135"/>
      <c r="N9" s="135">
        <v>9451</v>
      </c>
      <c r="O9" s="135">
        <v>594</v>
      </c>
      <c r="P9" s="135">
        <v>223965210</v>
      </c>
      <c r="Q9" s="135">
        <v>11362200</v>
      </c>
      <c r="R9" s="135">
        <v>212047520</v>
      </c>
      <c r="S9" s="135">
        <v>21284530</v>
      </c>
      <c r="T9" s="135">
        <v>7717090</v>
      </c>
      <c r="U9" s="135">
        <v>65769540</v>
      </c>
      <c r="V9" s="135">
        <v>223965210</v>
      </c>
      <c r="W9" s="135">
        <v>16272100</v>
      </c>
      <c r="X9" s="135">
        <v>212047520</v>
      </c>
      <c r="Y9" s="135">
        <v>21284530</v>
      </c>
      <c r="Z9" s="135">
        <v>38617320</v>
      </c>
      <c r="AA9" s="135">
        <v>65769540</v>
      </c>
      <c r="AB9" s="135">
        <v>-74227700</v>
      </c>
      <c r="AC9" s="135">
        <v>-186103924</v>
      </c>
      <c r="AD9" s="135"/>
      <c r="AE9" s="135"/>
      <c r="AF9" s="135"/>
      <c r="AG9" s="135"/>
      <c r="AH9" s="135">
        <v>0</v>
      </c>
      <c r="AI9" s="135">
        <v>500575</v>
      </c>
      <c r="AJ9" s="135"/>
      <c r="AK9" s="135">
        <v>1436274930</v>
      </c>
      <c r="AL9" s="135">
        <v>32433220</v>
      </c>
      <c r="AM9" s="135">
        <v>36830</v>
      </c>
      <c r="AN9" s="135">
        <v>1225139904</v>
      </c>
      <c r="AO9" s="135">
        <v>44333416</v>
      </c>
      <c r="AP9" s="135">
        <v>1380433193</v>
      </c>
      <c r="AQ9" s="135">
        <v>779706669</v>
      </c>
      <c r="AR9" s="135">
        <v>1071145111</v>
      </c>
      <c r="AS9" s="135">
        <v>2091696318</v>
      </c>
      <c r="AT9" s="135">
        <v>591310482</v>
      </c>
      <c r="AU9" s="135">
        <v>4214847</v>
      </c>
      <c r="AV9" s="135"/>
      <c r="AW9" s="135">
        <v>9075962</v>
      </c>
      <c r="AX9" s="135">
        <v>13098381</v>
      </c>
      <c r="AY9" s="135">
        <v>8244405</v>
      </c>
      <c r="AZ9" s="135">
        <v>76896405.519999996</v>
      </c>
      <c r="BA9" s="135">
        <v>39986131</v>
      </c>
      <c r="BB9" s="135">
        <v>55188777.465699486</v>
      </c>
      <c r="BC9" s="135">
        <v>1350933</v>
      </c>
      <c r="BD9" s="135">
        <v>2597949</v>
      </c>
      <c r="BE9" s="135">
        <v>237795678</v>
      </c>
      <c r="BF9" s="135">
        <v>237795678</v>
      </c>
      <c r="BG9" s="135">
        <v>956381445</v>
      </c>
      <c r="BH9" s="135">
        <v>614322302</v>
      </c>
      <c r="BI9" s="135">
        <v>538251</v>
      </c>
      <c r="BJ9" s="135">
        <v>0</v>
      </c>
      <c r="BK9" s="135"/>
      <c r="BL9" s="135">
        <v>19679676387</v>
      </c>
      <c r="BM9" s="135">
        <v>17316974942</v>
      </c>
      <c r="BN9" s="135">
        <v>4524670</v>
      </c>
      <c r="BO9" s="135"/>
      <c r="BP9" s="135">
        <v>15267294378</v>
      </c>
      <c r="BQ9" s="135">
        <v>1436274930</v>
      </c>
      <c r="BR9" s="135">
        <v>32433220</v>
      </c>
      <c r="BS9" s="135">
        <v>4140876307</v>
      </c>
      <c r="BT9" s="135">
        <v>20876878835</v>
      </c>
    </row>
    <row r="10" spans="1:72" x14ac:dyDescent="0.25">
      <c r="A10" s="149" t="s">
        <v>64</v>
      </c>
      <c r="B10" s="135">
        <v>811345135</v>
      </c>
      <c r="C10" s="135">
        <v>562564920</v>
      </c>
      <c r="D10" s="135">
        <v>238655795</v>
      </c>
      <c r="E10" s="135">
        <v>0</v>
      </c>
      <c r="F10" s="135">
        <v>61984645</v>
      </c>
      <c r="G10" s="135">
        <v>4812150</v>
      </c>
      <c r="H10" s="135">
        <v>16018042</v>
      </c>
      <c r="I10" s="135">
        <v>627750</v>
      </c>
      <c r="J10" s="135">
        <v>75500</v>
      </c>
      <c r="K10" s="135">
        <v>40500</v>
      </c>
      <c r="L10" s="135">
        <v>921064792</v>
      </c>
      <c r="M10" s="135">
        <v>296923828</v>
      </c>
      <c r="N10" s="135">
        <v>1954</v>
      </c>
      <c r="O10" s="135">
        <v>143</v>
      </c>
      <c r="P10" s="135">
        <v>6200822</v>
      </c>
      <c r="Q10" s="135">
        <v>2869500</v>
      </c>
      <c r="R10" s="135">
        <v>3032700</v>
      </c>
      <c r="S10" s="135">
        <v>2380648</v>
      </c>
      <c r="T10" s="135">
        <v>399610</v>
      </c>
      <c r="U10" s="135">
        <v>642000</v>
      </c>
      <c r="V10" s="135">
        <v>6200822</v>
      </c>
      <c r="W10" s="135">
        <v>6839750</v>
      </c>
      <c r="X10" s="135">
        <v>3032700</v>
      </c>
      <c r="Y10" s="135">
        <v>2380648</v>
      </c>
      <c r="Z10" s="135">
        <v>999960</v>
      </c>
      <c r="AA10" s="135">
        <v>642000</v>
      </c>
      <c r="AB10" s="135">
        <v>-5113940</v>
      </c>
      <c r="AC10" s="135">
        <v>-21600</v>
      </c>
      <c r="AD10" s="135">
        <v>0</v>
      </c>
      <c r="AE10" s="135">
        <v>0</v>
      </c>
      <c r="AF10" s="135">
        <v>0</v>
      </c>
      <c r="AG10" s="135">
        <v>602802.36399999994</v>
      </c>
      <c r="AH10" s="135">
        <v>0</v>
      </c>
      <c r="AI10" s="135">
        <v>435000</v>
      </c>
      <c r="AJ10" s="135"/>
      <c r="AK10" s="135">
        <v>208932158</v>
      </c>
      <c r="AL10" s="135">
        <v>4732347</v>
      </c>
      <c r="AM10" s="135"/>
      <c r="AN10" s="135">
        <v>44664099</v>
      </c>
      <c r="AO10" s="135">
        <v>26265089</v>
      </c>
      <c r="AP10" s="135">
        <v>252090614</v>
      </c>
      <c r="AQ10" s="135">
        <v>36311330</v>
      </c>
      <c r="AR10" s="135">
        <v>85766042</v>
      </c>
      <c r="AS10" s="135">
        <v>8329343</v>
      </c>
      <c r="AT10" s="135">
        <v>170807491</v>
      </c>
      <c r="AU10" s="135"/>
      <c r="AV10" s="135">
        <v>96984</v>
      </c>
      <c r="AW10" s="135">
        <v>398115</v>
      </c>
      <c r="AX10" s="135">
        <v>5694112</v>
      </c>
      <c r="AY10" s="135">
        <v>400075</v>
      </c>
      <c r="AZ10" s="135">
        <v>11185972.550000001</v>
      </c>
      <c r="BA10" s="135">
        <v>5816706</v>
      </c>
      <c r="BB10" s="135">
        <v>0</v>
      </c>
      <c r="BC10" s="135">
        <v>2477572</v>
      </c>
      <c r="BD10" s="135">
        <v>4764562</v>
      </c>
      <c r="BE10" s="135">
        <v>33974913</v>
      </c>
      <c r="BF10" s="135">
        <v>33974913</v>
      </c>
      <c r="BG10" s="135">
        <v>66072495</v>
      </c>
      <c r="BH10" s="135">
        <v>62069268</v>
      </c>
      <c r="BI10" s="135">
        <v>7794</v>
      </c>
      <c r="BJ10" s="135">
        <v>0</v>
      </c>
      <c r="BK10" s="135"/>
      <c r="BL10" s="135">
        <v>2038252126</v>
      </c>
      <c r="BM10" s="135">
        <v>1720241368</v>
      </c>
      <c r="BN10" s="135">
        <v>2219258</v>
      </c>
      <c r="BO10" s="135"/>
      <c r="BP10" s="135">
        <v>1612565850</v>
      </c>
      <c r="BQ10" s="135">
        <v>208932158</v>
      </c>
      <c r="BR10" s="135">
        <v>4732347</v>
      </c>
      <c r="BS10" s="135">
        <v>115569861</v>
      </c>
      <c r="BT10" s="135">
        <v>1941800216</v>
      </c>
    </row>
    <row r="11" spans="1:72" x14ac:dyDescent="0.25">
      <c r="A11" s="149" t="s">
        <v>65</v>
      </c>
      <c r="B11" s="135">
        <v>1304447992</v>
      </c>
      <c r="C11" s="135">
        <v>102603939</v>
      </c>
      <c r="D11" s="135">
        <v>789645703</v>
      </c>
      <c r="E11" s="135">
        <v>1000000</v>
      </c>
      <c r="F11" s="135">
        <v>150091180</v>
      </c>
      <c r="G11" s="135">
        <v>52261590</v>
      </c>
      <c r="H11" s="135">
        <v>9149622</v>
      </c>
      <c r="I11" s="135">
        <v>2693504</v>
      </c>
      <c r="J11" s="135">
        <v>456000</v>
      </c>
      <c r="K11" s="135">
        <v>243000</v>
      </c>
      <c r="L11" s="135">
        <v>67939528</v>
      </c>
      <c r="M11" s="135">
        <v>89600689</v>
      </c>
      <c r="N11" s="135">
        <v>4142</v>
      </c>
      <c r="O11" s="135">
        <v>1490</v>
      </c>
      <c r="P11" s="135">
        <v>5025528</v>
      </c>
      <c r="Q11" s="135">
        <v>935441</v>
      </c>
      <c r="R11" s="135">
        <v>11039695</v>
      </c>
      <c r="S11" s="135">
        <v>5321992</v>
      </c>
      <c r="T11" s="135">
        <v>143860</v>
      </c>
      <c r="U11" s="135">
        <v>9310700</v>
      </c>
      <c r="V11" s="135">
        <v>5025528</v>
      </c>
      <c r="W11" s="135">
        <v>3777666</v>
      </c>
      <c r="X11" s="135">
        <v>11039695</v>
      </c>
      <c r="Y11" s="135">
        <v>5321992</v>
      </c>
      <c r="Z11" s="135">
        <v>246255</v>
      </c>
      <c r="AA11" s="135">
        <v>9310700</v>
      </c>
      <c r="AB11" s="135">
        <v>-18195904</v>
      </c>
      <c r="AC11" s="135">
        <v>-158121</v>
      </c>
      <c r="AD11" s="135">
        <v>46973</v>
      </c>
      <c r="AE11" s="135">
        <v>0</v>
      </c>
      <c r="AF11" s="135">
        <v>0</v>
      </c>
      <c r="AG11" s="135">
        <v>63697.868699999999</v>
      </c>
      <c r="AH11" s="135">
        <v>39500</v>
      </c>
      <c r="AI11" s="135">
        <v>1532978</v>
      </c>
      <c r="AJ11" s="135">
        <v>301000</v>
      </c>
      <c r="AK11" s="135">
        <v>399074381</v>
      </c>
      <c r="AL11" s="135">
        <v>13360841</v>
      </c>
      <c r="AM11" s="135">
        <v>911636</v>
      </c>
      <c r="AN11" s="135">
        <v>112067739</v>
      </c>
      <c r="AO11" s="135">
        <v>10780971</v>
      </c>
      <c r="AP11" s="135">
        <v>222867892</v>
      </c>
      <c r="AQ11" s="135">
        <v>100092999</v>
      </c>
      <c r="AR11" s="135">
        <v>65350359</v>
      </c>
      <c r="AS11" s="135">
        <v>39773952</v>
      </c>
      <c r="AT11" s="135">
        <v>1381908837</v>
      </c>
      <c r="AU11" s="135"/>
      <c r="AV11" s="135"/>
      <c r="AW11" s="135"/>
      <c r="AX11" s="135">
        <v>3205843</v>
      </c>
      <c r="AY11" s="135"/>
      <c r="AZ11" s="135">
        <v>21365954.940000001</v>
      </c>
      <c r="BA11" s="135">
        <v>11110297</v>
      </c>
      <c r="BB11" s="135">
        <v>30973293.475647669</v>
      </c>
      <c r="BC11" s="135">
        <v>6974535</v>
      </c>
      <c r="BD11" s="135">
        <v>13412567</v>
      </c>
      <c r="BE11" s="135">
        <v>79674459</v>
      </c>
      <c r="BF11" s="135">
        <v>79674459</v>
      </c>
      <c r="BG11" s="135">
        <v>228200185</v>
      </c>
      <c r="BH11" s="135">
        <v>224212349</v>
      </c>
      <c r="BI11" s="135">
        <v>0</v>
      </c>
      <c r="BJ11" s="135">
        <v>0</v>
      </c>
      <c r="BK11" s="135"/>
      <c r="BL11" s="135">
        <v>3155919683</v>
      </c>
      <c r="BM11" s="135">
        <v>2421512821</v>
      </c>
      <c r="BN11" s="135">
        <v>6382843</v>
      </c>
      <c r="BO11" s="135"/>
      <c r="BP11" s="135">
        <v>2196697634</v>
      </c>
      <c r="BQ11" s="135">
        <v>399074381</v>
      </c>
      <c r="BR11" s="135">
        <v>13360841</v>
      </c>
      <c r="BS11" s="135">
        <v>262715661</v>
      </c>
      <c r="BT11" s="135">
        <v>2871848517</v>
      </c>
    </row>
    <row r="12" spans="1:72" x14ac:dyDescent="0.25">
      <c r="A12" s="149" t="s">
        <v>66</v>
      </c>
      <c r="B12" s="135">
        <v>1246651450</v>
      </c>
      <c r="C12" s="135">
        <v>211197850</v>
      </c>
      <c r="D12" s="135">
        <v>514120434</v>
      </c>
      <c r="E12" s="135">
        <v>0</v>
      </c>
      <c r="F12" s="135">
        <v>115034800</v>
      </c>
      <c r="G12" s="135">
        <v>8693000</v>
      </c>
      <c r="H12" s="135">
        <v>14586000</v>
      </c>
      <c r="I12" s="135">
        <v>943000</v>
      </c>
      <c r="J12" s="135">
        <v>121500</v>
      </c>
      <c r="K12" s="135">
        <v>0</v>
      </c>
      <c r="L12" s="135">
        <v>289229296</v>
      </c>
      <c r="M12" s="135">
        <v>177318000</v>
      </c>
      <c r="N12" s="135">
        <v>3279</v>
      </c>
      <c r="O12" s="135">
        <v>258</v>
      </c>
      <c r="P12" s="135">
        <v>8874300</v>
      </c>
      <c r="Q12" s="135">
        <v>2638000</v>
      </c>
      <c r="R12" s="135">
        <v>13749950</v>
      </c>
      <c r="S12" s="135">
        <v>1507250</v>
      </c>
      <c r="T12" s="135">
        <v>590000</v>
      </c>
      <c r="U12" s="135">
        <v>5944000</v>
      </c>
      <c r="V12" s="135">
        <v>8874300</v>
      </c>
      <c r="W12" s="135">
        <v>3072500</v>
      </c>
      <c r="X12" s="135">
        <v>13749950</v>
      </c>
      <c r="Y12" s="135">
        <v>1507250</v>
      </c>
      <c r="Z12" s="135">
        <v>1612000</v>
      </c>
      <c r="AA12" s="135">
        <v>5944000</v>
      </c>
      <c r="AB12" s="135">
        <v>-2828500</v>
      </c>
      <c r="AC12" s="135">
        <v>-494852</v>
      </c>
      <c r="AD12" s="135">
        <v>15096</v>
      </c>
      <c r="AE12" s="135">
        <v>0</v>
      </c>
      <c r="AF12" s="135">
        <v>0</v>
      </c>
      <c r="AG12" s="135">
        <v>96385</v>
      </c>
      <c r="AH12" s="135">
        <v>0</v>
      </c>
      <c r="AI12" s="135">
        <v>0</v>
      </c>
      <c r="AJ12" s="135"/>
      <c r="AK12" s="135">
        <v>238959649</v>
      </c>
      <c r="AL12" s="135">
        <v>8086634</v>
      </c>
      <c r="AM12" s="135">
        <v>1500</v>
      </c>
      <c r="AN12" s="135">
        <v>78076497</v>
      </c>
      <c r="AO12" s="135">
        <v>10516863</v>
      </c>
      <c r="AP12" s="135">
        <v>172884507</v>
      </c>
      <c r="AQ12" s="135">
        <v>78979765</v>
      </c>
      <c r="AR12" s="135">
        <v>134910546</v>
      </c>
      <c r="AS12" s="135">
        <v>307103016</v>
      </c>
      <c r="AT12" s="135">
        <v>615228</v>
      </c>
      <c r="AU12" s="135">
        <v>0</v>
      </c>
      <c r="AV12" s="135">
        <v>257706</v>
      </c>
      <c r="AW12" s="135">
        <v>661403</v>
      </c>
      <c r="AX12" s="135">
        <v>364554</v>
      </c>
      <c r="AY12" s="135">
        <v>13001550</v>
      </c>
      <c r="AZ12" s="135">
        <v>12793607.75</v>
      </c>
      <c r="BA12" s="135">
        <v>6652676</v>
      </c>
      <c r="BB12" s="135">
        <v>0</v>
      </c>
      <c r="BC12" s="135">
        <v>3562893</v>
      </c>
      <c r="BD12" s="135">
        <v>6851718</v>
      </c>
      <c r="BE12" s="135">
        <v>74023296</v>
      </c>
      <c r="BF12" s="135">
        <v>74023296</v>
      </c>
      <c r="BG12" s="135">
        <v>80830386</v>
      </c>
      <c r="BH12" s="135">
        <v>74320317</v>
      </c>
      <c r="BI12" s="135">
        <v>28616210</v>
      </c>
      <c r="BJ12" s="135">
        <v>0</v>
      </c>
      <c r="BK12" s="135"/>
      <c r="BL12" s="135">
        <v>2573764534</v>
      </c>
      <c r="BM12" s="135">
        <v>2139542859</v>
      </c>
      <c r="BN12" s="135">
        <v>2550000</v>
      </c>
      <c r="BO12" s="135"/>
      <c r="BP12" s="135">
        <v>1971969734</v>
      </c>
      <c r="BQ12" s="135">
        <v>238959649</v>
      </c>
      <c r="BR12" s="135">
        <v>8086634</v>
      </c>
      <c r="BS12" s="135">
        <v>474676141</v>
      </c>
      <c r="BT12" s="135">
        <v>2693692158</v>
      </c>
    </row>
    <row r="13" spans="1:72" x14ac:dyDescent="0.25">
      <c r="A13" s="149" t="s">
        <v>67</v>
      </c>
      <c r="B13" s="135">
        <v>164122060</v>
      </c>
      <c r="C13" s="135">
        <v>112987800</v>
      </c>
      <c r="D13" s="135">
        <v>28782090</v>
      </c>
      <c r="E13" s="135">
        <v>0</v>
      </c>
      <c r="F13" s="135">
        <v>25845050</v>
      </c>
      <c r="G13" s="135">
        <v>3608440</v>
      </c>
      <c r="H13" s="135">
        <v>10859500</v>
      </c>
      <c r="I13" s="135">
        <v>860750</v>
      </c>
      <c r="J13" s="135">
        <v>0</v>
      </c>
      <c r="K13" s="135">
        <v>0</v>
      </c>
      <c r="L13" s="135">
        <v>138494305</v>
      </c>
      <c r="M13" s="135">
        <v>74562835</v>
      </c>
      <c r="N13" s="135">
        <v>973</v>
      </c>
      <c r="O13" s="135">
        <v>127</v>
      </c>
      <c r="P13" s="135">
        <v>1545100</v>
      </c>
      <c r="Q13" s="135">
        <v>3175800</v>
      </c>
      <c r="R13" s="135">
        <v>485000</v>
      </c>
      <c r="S13" s="135">
        <v>866600</v>
      </c>
      <c r="T13" s="135">
        <v>1033656</v>
      </c>
      <c r="U13" s="135">
        <v>429000</v>
      </c>
      <c r="V13" s="135">
        <v>1545100</v>
      </c>
      <c r="W13" s="135">
        <v>3200800</v>
      </c>
      <c r="X13" s="135">
        <v>485000</v>
      </c>
      <c r="Y13" s="135">
        <v>866600</v>
      </c>
      <c r="Z13" s="135">
        <v>235200</v>
      </c>
      <c r="AA13" s="135">
        <v>429000</v>
      </c>
      <c r="AB13" s="135">
        <v>-542400</v>
      </c>
      <c r="AC13" s="135">
        <v>0</v>
      </c>
      <c r="AD13" s="135">
        <v>0</v>
      </c>
      <c r="AE13" s="135">
        <v>0</v>
      </c>
      <c r="AF13" s="135">
        <v>0</v>
      </c>
      <c r="AG13" s="135">
        <v>118306</v>
      </c>
      <c r="AH13" s="135">
        <v>0</v>
      </c>
      <c r="AI13" s="135">
        <v>0</v>
      </c>
      <c r="AJ13" s="135"/>
      <c r="AK13" s="135">
        <v>76590636</v>
      </c>
      <c r="AL13" s="135">
        <v>1539467</v>
      </c>
      <c r="AM13" s="135"/>
      <c r="AN13" s="135">
        <v>3397097</v>
      </c>
      <c r="AO13" s="135">
        <v>36428</v>
      </c>
      <c r="AP13" s="135">
        <v>29282946</v>
      </c>
      <c r="AQ13" s="135">
        <v>2688711</v>
      </c>
      <c r="AR13" s="135">
        <v>9470486</v>
      </c>
      <c r="AS13" s="135">
        <v>8963242</v>
      </c>
      <c r="AT13" s="135">
        <v>166445</v>
      </c>
      <c r="AU13" s="135">
        <v>0</v>
      </c>
      <c r="AV13" s="135">
        <v>0</v>
      </c>
      <c r="AW13" s="135">
        <v>0</v>
      </c>
      <c r="AX13" s="135">
        <v>0</v>
      </c>
      <c r="AY13" s="135"/>
      <c r="AZ13" s="135">
        <v>4100569.11</v>
      </c>
      <c r="BA13" s="135">
        <v>2132296</v>
      </c>
      <c r="BB13" s="135">
        <v>27172025.640000004</v>
      </c>
      <c r="BC13" s="135">
        <v>1608430</v>
      </c>
      <c r="BD13" s="135">
        <v>3093134</v>
      </c>
      <c r="BE13" s="135">
        <v>129046954</v>
      </c>
      <c r="BF13" s="135">
        <v>129046954</v>
      </c>
      <c r="BG13" s="135">
        <v>75737660</v>
      </c>
      <c r="BH13" s="135">
        <v>70375893</v>
      </c>
      <c r="BI13" s="135">
        <v>894</v>
      </c>
      <c r="BJ13" s="135">
        <v>0</v>
      </c>
      <c r="BK13" s="135"/>
      <c r="BL13" s="135">
        <v>593308756</v>
      </c>
      <c r="BM13" s="135">
        <v>312014186</v>
      </c>
      <c r="BN13" s="135">
        <v>935040</v>
      </c>
      <c r="BO13" s="135"/>
      <c r="BP13" s="135">
        <v>305891950</v>
      </c>
      <c r="BQ13" s="135">
        <v>76590636</v>
      </c>
      <c r="BR13" s="135">
        <v>1539467</v>
      </c>
      <c r="BS13" s="135">
        <v>15085478</v>
      </c>
      <c r="BT13" s="135">
        <v>399107531</v>
      </c>
    </row>
    <row r="14" spans="1:72" x14ac:dyDescent="0.25">
      <c r="A14" s="149" t="s">
        <v>68</v>
      </c>
      <c r="B14" s="135">
        <v>141650921</v>
      </c>
      <c r="C14" s="135">
        <v>80643282</v>
      </c>
      <c r="D14" s="135">
        <v>76663149</v>
      </c>
      <c r="E14" s="135">
        <v>0</v>
      </c>
      <c r="F14" s="135">
        <v>25276220</v>
      </c>
      <c r="G14" s="135">
        <v>35525920</v>
      </c>
      <c r="H14" s="135">
        <v>12213920</v>
      </c>
      <c r="I14" s="135">
        <v>12310540</v>
      </c>
      <c r="J14" s="135">
        <v>202500</v>
      </c>
      <c r="K14" s="135">
        <v>202000</v>
      </c>
      <c r="L14" s="135">
        <v>92463454</v>
      </c>
      <c r="M14" s="135">
        <v>50925865</v>
      </c>
      <c r="N14" s="135">
        <v>1051</v>
      </c>
      <c r="O14" s="135">
        <v>1472</v>
      </c>
      <c r="P14" s="135">
        <v>2503100</v>
      </c>
      <c r="Q14" s="135">
        <v>333400</v>
      </c>
      <c r="R14" s="135">
        <v>200000</v>
      </c>
      <c r="S14" s="135">
        <v>3148385</v>
      </c>
      <c r="T14" s="135">
        <v>135010</v>
      </c>
      <c r="U14" s="135">
        <v>436500</v>
      </c>
      <c r="V14" s="135">
        <v>2503100</v>
      </c>
      <c r="W14" s="135">
        <v>408500</v>
      </c>
      <c r="X14" s="135">
        <v>200000</v>
      </c>
      <c r="Y14" s="135">
        <v>3148385</v>
      </c>
      <c r="Z14" s="135">
        <v>114900</v>
      </c>
      <c r="AA14" s="135">
        <v>436500</v>
      </c>
      <c r="AB14" s="135">
        <v>-2779477</v>
      </c>
      <c r="AC14" s="135">
        <v>-377148</v>
      </c>
      <c r="AD14" s="135"/>
      <c r="AE14" s="135"/>
      <c r="AF14" s="135"/>
      <c r="AG14" s="135"/>
      <c r="AH14" s="135">
        <v>550000</v>
      </c>
      <c r="AI14" s="135">
        <v>1007708</v>
      </c>
      <c r="AJ14" s="135">
        <v>1050000</v>
      </c>
      <c r="AK14" s="135">
        <v>76942349</v>
      </c>
      <c r="AL14" s="135">
        <v>1923949</v>
      </c>
      <c r="AM14" s="135"/>
      <c r="AN14" s="135">
        <v>11225974</v>
      </c>
      <c r="AO14" s="135">
        <v>293285</v>
      </c>
      <c r="AP14" s="135">
        <v>1105740</v>
      </c>
      <c r="AQ14" s="135">
        <v>9843214</v>
      </c>
      <c r="AR14" s="135">
        <v>1135037</v>
      </c>
      <c r="AS14" s="135"/>
      <c r="AT14" s="135">
        <v>220701</v>
      </c>
      <c r="AU14" s="135"/>
      <c r="AV14" s="135"/>
      <c r="AW14" s="135"/>
      <c r="AX14" s="135"/>
      <c r="AY14" s="135">
        <v>5000</v>
      </c>
      <c r="AZ14" s="135">
        <v>4119399.39</v>
      </c>
      <c r="BA14" s="135">
        <v>2142088</v>
      </c>
      <c r="BB14" s="135">
        <v>0</v>
      </c>
      <c r="BC14" s="135">
        <v>2681946</v>
      </c>
      <c r="BD14" s="135">
        <v>5157588</v>
      </c>
      <c r="BE14" s="135">
        <v>17847998</v>
      </c>
      <c r="BF14" s="135">
        <v>17847998</v>
      </c>
      <c r="BG14" s="135">
        <v>60035890</v>
      </c>
      <c r="BH14" s="135">
        <v>53040286</v>
      </c>
      <c r="BI14" s="135">
        <v>0</v>
      </c>
      <c r="BJ14" s="135">
        <v>0</v>
      </c>
      <c r="BK14" s="135"/>
      <c r="BL14" s="135">
        <v>477506149</v>
      </c>
      <c r="BM14" s="135">
        <v>322927533</v>
      </c>
      <c r="BN14" s="135">
        <v>1368077</v>
      </c>
      <c r="BO14" s="135"/>
      <c r="BP14" s="135">
        <v>298957352</v>
      </c>
      <c r="BQ14" s="135">
        <v>76942349</v>
      </c>
      <c r="BR14" s="135">
        <v>1923949</v>
      </c>
      <c r="BS14" s="135">
        <v>21362473</v>
      </c>
      <c r="BT14" s="135">
        <v>399186123</v>
      </c>
    </row>
    <row r="15" spans="1:72" x14ac:dyDescent="0.25">
      <c r="A15" s="149" t="s">
        <v>69</v>
      </c>
      <c r="B15" s="135">
        <v>741701120</v>
      </c>
      <c r="C15" s="135">
        <v>277164201</v>
      </c>
      <c r="D15" s="135">
        <v>111184423</v>
      </c>
      <c r="E15" s="135">
        <v>0</v>
      </c>
      <c r="F15" s="135">
        <v>65756781</v>
      </c>
      <c r="G15" s="135">
        <v>9957800</v>
      </c>
      <c r="H15" s="135">
        <v>24890208</v>
      </c>
      <c r="I15" s="135">
        <v>2070819</v>
      </c>
      <c r="J15" s="135">
        <v>111000</v>
      </c>
      <c r="K15" s="135">
        <v>0</v>
      </c>
      <c r="L15" s="135">
        <v>514395343</v>
      </c>
      <c r="M15" s="135">
        <v>163320950</v>
      </c>
      <c r="N15" s="135">
        <v>2399</v>
      </c>
      <c r="O15" s="135">
        <v>346</v>
      </c>
      <c r="P15" s="135">
        <v>15449400</v>
      </c>
      <c r="Q15" s="135">
        <v>5820800</v>
      </c>
      <c r="R15" s="135">
        <v>3821350</v>
      </c>
      <c r="S15" s="135">
        <v>1714525</v>
      </c>
      <c r="T15" s="135">
        <v>412000</v>
      </c>
      <c r="U15" s="135">
        <v>27194</v>
      </c>
      <c r="V15" s="135">
        <v>15449400</v>
      </c>
      <c r="W15" s="135">
        <v>5840800</v>
      </c>
      <c r="X15" s="135">
        <v>3821350</v>
      </c>
      <c r="Y15" s="135">
        <v>1714525</v>
      </c>
      <c r="Z15" s="135">
        <v>412000</v>
      </c>
      <c r="AA15" s="135">
        <v>27194</v>
      </c>
      <c r="AB15" s="135">
        <v>-1318850</v>
      </c>
      <c r="AC15" s="135">
        <v>-5129</v>
      </c>
      <c r="AD15" s="135">
        <v>147972</v>
      </c>
      <c r="AE15" s="135">
        <v>0</v>
      </c>
      <c r="AF15" s="135">
        <v>0</v>
      </c>
      <c r="AG15" s="135">
        <v>345982</v>
      </c>
      <c r="AH15" s="135">
        <v>1450000</v>
      </c>
      <c r="AI15" s="135">
        <v>700000</v>
      </c>
      <c r="AJ15" s="135"/>
      <c r="AK15" s="135">
        <v>179748523</v>
      </c>
      <c r="AL15" s="135">
        <v>24676373</v>
      </c>
      <c r="AM15" s="135">
        <v>274700</v>
      </c>
      <c r="AN15" s="135">
        <v>24524338</v>
      </c>
      <c r="AO15" s="135">
        <v>259463</v>
      </c>
      <c r="AP15" s="135">
        <v>23951056</v>
      </c>
      <c r="AQ15" s="135">
        <v>19298434</v>
      </c>
      <c r="AR15" s="135">
        <v>13254356</v>
      </c>
      <c r="AS15" s="135">
        <v>0</v>
      </c>
      <c r="AT15" s="135">
        <v>1613803</v>
      </c>
      <c r="AU15" s="135">
        <v>0</v>
      </c>
      <c r="AV15" s="135">
        <v>0</v>
      </c>
      <c r="AW15" s="135">
        <v>1353550</v>
      </c>
      <c r="AX15" s="135">
        <v>0</v>
      </c>
      <c r="AY15" s="135">
        <v>166190</v>
      </c>
      <c r="AZ15" s="135">
        <v>9623516.3800000008</v>
      </c>
      <c r="BA15" s="135">
        <v>5004229</v>
      </c>
      <c r="BB15" s="135">
        <v>31818019.661347151</v>
      </c>
      <c r="BC15" s="135">
        <v>2190563</v>
      </c>
      <c r="BD15" s="135">
        <v>4212622</v>
      </c>
      <c r="BE15" s="135">
        <v>31760188</v>
      </c>
      <c r="BF15" s="135">
        <v>31760188</v>
      </c>
      <c r="BG15" s="135">
        <v>120871891</v>
      </c>
      <c r="BH15" s="135">
        <v>117750003</v>
      </c>
      <c r="BI15" s="135">
        <v>0</v>
      </c>
      <c r="BJ15" s="135">
        <v>0</v>
      </c>
      <c r="BK15" s="135"/>
      <c r="BL15" s="135">
        <v>1537411858</v>
      </c>
      <c r="BM15" s="135">
        <v>1176281979</v>
      </c>
      <c r="BN15" s="135">
        <v>2187533</v>
      </c>
      <c r="BO15" s="135"/>
      <c r="BP15" s="135">
        <v>1130049744</v>
      </c>
      <c r="BQ15" s="135">
        <v>179748523</v>
      </c>
      <c r="BR15" s="135">
        <v>24676373</v>
      </c>
      <c r="BS15" s="135">
        <v>44082235</v>
      </c>
      <c r="BT15" s="135">
        <v>1378556875</v>
      </c>
    </row>
    <row r="16" spans="1:72" x14ac:dyDescent="0.25">
      <c r="A16" s="149" t="s">
        <v>70</v>
      </c>
      <c r="B16" s="135">
        <v>5071013102</v>
      </c>
      <c r="C16" s="135">
        <v>292084409</v>
      </c>
      <c r="D16" s="135">
        <v>1727863319</v>
      </c>
      <c r="E16" s="135">
        <v>29974897</v>
      </c>
      <c r="F16" s="135">
        <v>267531837</v>
      </c>
      <c r="G16" s="135">
        <v>45685363</v>
      </c>
      <c r="H16" s="135">
        <v>20999399</v>
      </c>
      <c r="I16" s="135">
        <v>2811022</v>
      </c>
      <c r="J16" s="135">
        <v>283500</v>
      </c>
      <c r="K16" s="135">
        <v>0</v>
      </c>
      <c r="L16" s="135">
        <v>318950954</v>
      </c>
      <c r="M16" s="135">
        <v>189360039</v>
      </c>
      <c r="N16" s="135">
        <v>7245</v>
      </c>
      <c r="O16" s="135">
        <v>1265</v>
      </c>
      <c r="P16" s="135">
        <v>126462696</v>
      </c>
      <c r="Q16" s="135">
        <v>8646745</v>
      </c>
      <c r="R16" s="135">
        <v>111607441</v>
      </c>
      <c r="S16" s="135">
        <v>6396271</v>
      </c>
      <c r="T16" s="135">
        <v>6238586</v>
      </c>
      <c r="U16" s="135">
        <v>3482547</v>
      </c>
      <c r="V16" s="135">
        <v>126462696</v>
      </c>
      <c r="W16" s="135">
        <v>8809214</v>
      </c>
      <c r="X16" s="135">
        <v>111607441</v>
      </c>
      <c r="Y16" s="135">
        <v>6396271</v>
      </c>
      <c r="Z16" s="135">
        <v>7141983</v>
      </c>
      <c r="AA16" s="135">
        <v>3482547</v>
      </c>
      <c r="AB16" s="135">
        <v>-16763051</v>
      </c>
      <c r="AC16" s="135">
        <v>1513740</v>
      </c>
      <c r="AD16" s="135">
        <v>22914</v>
      </c>
      <c r="AE16" s="135">
        <v>552</v>
      </c>
      <c r="AF16" s="135">
        <v>16561926</v>
      </c>
      <c r="AG16" s="135">
        <v>97167.604900000006</v>
      </c>
      <c r="AH16" s="135">
        <v>0</v>
      </c>
      <c r="AI16" s="135">
        <v>1655400</v>
      </c>
      <c r="AJ16" s="135"/>
      <c r="AK16" s="135">
        <v>810386827</v>
      </c>
      <c r="AL16" s="135">
        <v>30204199</v>
      </c>
      <c r="AM16" s="135">
        <v>6000</v>
      </c>
      <c r="AN16" s="135">
        <v>303211837</v>
      </c>
      <c r="AO16" s="135">
        <v>4956333</v>
      </c>
      <c r="AP16" s="135">
        <v>268343932</v>
      </c>
      <c r="AQ16" s="135">
        <v>995116795</v>
      </c>
      <c r="AR16" s="135">
        <v>135445651</v>
      </c>
      <c r="AS16" s="135">
        <v>9204710248</v>
      </c>
      <c r="AT16" s="135">
        <v>21507667</v>
      </c>
      <c r="AU16" s="135"/>
      <c r="AV16" s="135"/>
      <c r="AW16" s="135">
        <v>4244512</v>
      </c>
      <c r="AX16" s="135">
        <v>708985</v>
      </c>
      <c r="AY16" s="135">
        <v>78852</v>
      </c>
      <c r="AZ16" s="135">
        <v>43387120.93</v>
      </c>
      <c r="BA16" s="135">
        <v>22561303</v>
      </c>
      <c r="BB16" s="135">
        <v>0</v>
      </c>
      <c r="BC16" s="135">
        <v>3402050</v>
      </c>
      <c r="BD16" s="135">
        <v>6542404</v>
      </c>
      <c r="BE16" s="135">
        <v>38703318</v>
      </c>
      <c r="BF16" s="135">
        <v>38400218</v>
      </c>
      <c r="BG16" s="135">
        <v>87465768</v>
      </c>
      <c r="BH16" s="135">
        <v>83043307</v>
      </c>
      <c r="BI16" s="135">
        <v>354606517</v>
      </c>
      <c r="BJ16" s="135">
        <v>0</v>
      </c>
      <c r="BK16" s="135"/>
      <c r="BL16" s="135">
        <v>9738505616</v>
      </c>
      <c r="BM16" s="135">
        <v>8395901195</v>
      </c>
      <c r="BN16" s="135">
        <v>3332633</v>
      </c>
      <c r="BO16" s="135"/>
      <c r="BP16" s="135">
        <v>7090960830</v>
      </c>
      <c r="BQ16" s="135">
        <v>810386827</v>
      </c>
      <c r="BR16" s="135">
        <v>30204199</v>
      </c>
      <c r="BS16" s="135">
        <v>10507995213</v>
      </c>
      <c r="BT16" s="135">
        <v>18439547069</v>
      </c>
    </row>
    <row r="17" spans="1:72" x14ac:dyDescent="0.25">
      <c r="A17" s="149" t="s">
        <v>71</v>
      </c>
      <c r="B17" s="135">
        <v>241855680</v>
      </c>
      <c r="C17" s="135">
        <v>173496450</v>
      </c>
      <c r="D17" s="135">
        <v>78366013</v>
      </c>
      <c r="E17" s="135">
        <v>0</v>
      </c>
      <c r="F17" s="135">
        <v>27601400</v>
      </c>
      <c r="G17" s="135">
        <v>10121600</v>
      </c>
      <c r="H17" s="135">
        <v>15059900</v>
      </c>
      <c r="I17" s="135">
        <v>3576900</v>
      </c>
      <c r="J17" s="135">
        <v>0</v>
      </c>
      <c r="K17" s="135">
        <v>0</v>
      </c>
      <c r="L17" s="135">
        <v>285740191</v>
      </c>
      <c r="M17" s="135">
        <v>105527100</v>
      </c>
      <c r="N17" s="135">
        <v>1132</v>
      </c>
      <c r="O17" s="135">
        <v>394</v>
      </c>
      <c r="P17" s="135">
        <v>860500</v>
      </c>
      <c r="Q17" s="135">
        <v>1125700</v>
      </c>
      <c r="R17" s="135">
        <v>122000</v>
      </c>
      <c r="S17" s="135">
        <v>285000</v>
      </c>
      <c r="T17" s="135">
        <v>348300</v>
      </c>
      <c r="U17" s="135">
        <v>18500</v>
      </c>
      <c r="V17" s="135">
        <v>860500</v>
      </c>
      <c r="W17" s="135">
        <v>1353200</v>
      </c>
      <c r="X17" s="135">
        <v>122000</v>
      </c>
      <c r="Y17" s="135">
        <v>285000</v>
      </c>
      <c r="Z17" s="135">
        <v>283700</v>
      </c>
      <c r="AA17" s="135">
        <v>18500</v>
      </c>
      <c r="AB17" s="135">
        <v>-941800</v>
      </c>
      <c r="AC17" s="135">
        <v>-3814693</v>
      </c>
      <c r="AD17" s="135">
        <v>151478</v>
      </c>
      <c r="AE17" s="135">
        <v>0</v>
      </c>
      <c r="AF17" s="135">
        <v>0</v>
      </c>
      <c r="AG17" s="135">
        <v>255103</v>
      </c>
      <c r="AH17" s="135">
        <v>196000</v>
      </c>
      <c r="AI17" s="135">
        <v>75000</v>
      </c>
      <c r="AJ17" s="135"/>
      <c r="AK17" s="135">
        <v>115108481</v>
      </c>
      <c r="AL17" s="135">
        <v>3227790</v>
      </c>
      <c r="AM17" s="135"/>
      <c r="AN17" s="135">
        <v>18279839</v>
      </c>
      <c r="AO17" s="135">
        <v>4049422</v>
      </c>
      <c r="AP17" s="135">
        <v>57559971</v>
      </c>
      <c r="AQ17" s="135">
        <v>11246420</v>
      </c>
      <c r="AR17" s="135">
        <v>35333911</v>
      </c>
      <c r="AS17" s="135">
        <v>11912519</v>
      </c>
      <c r="AT17" s="135">
        <v>1661661</v>
      </c>
      <c r="AU17" s="135"/>
      <c r="AV17" s="135"/>
      <c r="AW17" s="135"/>
      <c r="AX17" s="135">
        <v>271039</v>
      </c>
      <c r="AY17" s="135"/>
      <c r="AZ17" s="135">
        <v>6162767.4800000004</v>
      </c>
      <c r="BA17" s="135">
        <v>3204639</v>
      </c>
      <c r="BB17" s="135">
        <v>0</v>
      </c>
      <c r="BC17" s="135">
        <v>0</v>
      </c>
      <c r="BD17" s="135">
        <v>0</v>
      </c>
      <c r="BE17" s="135">
        <v>4646693</v>
      </c>
      <c r="BF17" s="135">
        <v>4646693</v>
      </c>
      <c r="BG17" s="135">
        <v>28607675</v>
      </c>
      <c r="BH17" s="135">
        <v>28607675</v>
      </c>
      <c r="BI17" s="135">
        <v>0</v>
      </c>
      <c r="BJ17" s="135">
        <v>0</v>
      </c>
      <c r="BK17" s="135"/>
      <c r="BL17" s="135">
        <v>682360102</v>
      </c>
      <c r="BM17" s="135">
        <v>527564824</v>
      </c>
      <c r="BN17" s="135">
        <v>1582400</v>
      </c>
      <c r="BO17" s="135"/>
      <c r="BP17" s="135">
        <v>493718143</v>
      </c>
      <c r="BQ17" s="135">
        <v>115108481</v>
      </c>
      <c r="BR17" s="135">
        <v>3227790</v>
      </c>
      <c r="BS17" s="135">
        <v>45488200</v>
      </c>
      <c r="BT17" s="135">
        <v>657542614</v>
      </c>
    </row>
    <row r="18" spans="1:72" x14ac:dyDescent="0.25">
      <c r="A18" s="149" t="s">
        <v>72</v>
      </c>
      <c r="B18" s="135">
        <v>267088318</v>
      </c>
      <c r="C18" s="135">
        <v>137356840</v>
      </c>
      <c r="D18" s="135">
        <v>109526825</v>
      </c>
      <c r="E18" s="135">
        <v>3700000</v>
      </c>
      <c r="F18" s="135">
        <v>39872761</v>
      </c>
      <c r="G18" s="135">
        <v>11130070</v>
      </c>
      <c r="H18" s="135">
        <v>11288356</v>
      </c>
      <c r="I18" s="135">
        <v>1925642</v>
      </c>
      <c r="J18" s="135">
        <v>131800</v>
      </c>
      <c r="K18" s="135">
        <v>37000</v>
      </c>
      <c r="L18" s="135">
        <v>347249400</v>
      </c>
      <c r="M18" s="135">
        <v>75426554</v>
      </c>
      <c r="N18" s="135">
        <v>1323</v>
      </c>
      <c r="O18" s="135">
        <v>366</v>
      </c>
      <c r="P18" s="135">
        <v>3127441</v>
      </c>
      <c r="Q18" s="135">
        <v>2862555</v>
      </c>
      <c r="R18" s="135">
        <v>1559100</v>
      </c>
      <c r="S18" s="135">
        <v>11948168</v>
      </c>
      <c r="T18" s="135">
        <v>763820</v>
      </c>
      <c r="U18" s="135">
        <v>1657200</v>
      </c>
      <c r="V18" s="135">
        <v>3127441</v>
      </c>
      <c r="W18" s="135">
        <v>2974085</v>
      </c>
      <c r="X18" s="135">
        <v>1559100</v>
      </c>
      <c r="Y18" s="135">
        <v>11948168</v>
      </c>
      <c r="Z18" s="135">
        <v>830775</v>
      </c>
      <c r="AA18" s="135">
        <v>1657200</v>
      </c>
      <c r="AB18" s="135">
        <v>-1764972</v>
      </c>
      <c r="AC18" s="135">
        <v>-761901</v>
      </c>
      <c r="AD18" s="135">
        <v>24747</v>
      </c>
      <c r="AE18" s="135">
        <v>46781</v>
      </c>
      <c r="AF18" s="135">
        <v>33168535</v>
      </c>
      <c r="AG18" s="135">
        <v>199012</v>
      </c>
      <c r="AH18" s="135">
        <v>2500</v>
      </c>
      <c r="AI18" s="135">
        <v>1500300</v>
      </c>
      <c r="AJ18" s="135"/>
      <c r="AK18" s="135">
        <v>115324894</v>
      </c>
      <c r="AL18" s="135">
        <v>4410254</v>
      </c>
      <c r="AM18" s="135"/>
      <c r="AN18" s="135">
        <v>31800047</v>
      </c>
      <c r="AO18" s="135">
        <v>7205486</v>
      </c>
      <c r="AP18" s="135">
        <v>128391409</v>
      </c>
      <c r="AQ18" s="135">
        <v>24474137</v>
      </c>
      <c r="AR18" s="135">
        <v>21532671</v>
      </c>
      <c r="AS18" s="135">
        <v>14746415</v>
      </c>
      <c r="AT18" s="135">
        <v>1609191</v>
      </c>
      <c r="AU18" s="135">
        <v>117845</v>
      </c>
      <c r="AV18" s="135"/>
      <c r="AW18" s="135"/>
      <c r="AX18" s="135">
        <v>48753</v>
      </c>
      <c r="AY18" s="135">
        <v>1026000</v>
      </c>
      <c r="AZ18" s="135">
        <v>6174353.9699999997</v>
      </c>
      <c r="BA18" s="135">
        <v>3210664</v>
      </c>
      <c r="BB18" s="135">
        <v>0</v>
      </c>
      <c r="BC18" s="135">
        <v>1629088</v>
      </c>
      <c r="BD18" s="135">
        <v>3132862</v>
      </c>
      <c r="BE18" s="135">
        <v>31652717</v>
      </c>
      <c r="BF18" s="135">
        <v>26765333</v>
      </c>
      <c r="BG18" s="135">
        <v>35038953</v>
      </c>
      <c r="BH18" s="135">
        <v>32977376</v>
      </c>
      <c r="BI18" s="135">
        <v>0</v>
      </c>
      <c r="BJ18" s="135">
        <v>13245911</v>
      </c>
      <c r="BK18" s="135"/>
      <c r="BL18" s="135">
        <v>776517973</v>
      </c>
      <c r="BM18" s="135">
        <v>578954453</v>
      </c>
      <c r="BN18" s="135">
        <v>439000</v>
      </c>
      <c r="BO18" s="135"/>
      <c r="BP18" s="135">
        <v>513971983</v>
      </c>
      <c r="BQ18" s="135">
        <v>115324894</v>
      </c>
      <c r="BR18" s="135">
        <v>4410254</v>
      </c>
      <c r="BS18" s="135">
        <v>78226085</v>
      </c>
      <c r="BT18" s="135">
        <v>711933216</v>
      </c>
    </row>
    <row r="19" spans="1:72" x14ac:dyDescent="0.25">
      <c r="A19" s="149" t="s">
        <v>73</v>
      </c>
      <c r="B19" s="135">
        <v>1603885626</v>
      </c>
      <c r="C19" s="135">
        <v>289895744</v>
      </c>
      <c r="D19" s="135">
        <v>463188917</v>
      </c>
      <c r="E19" s="135">
        <v>0</v>
      </c>
      <c r="F19" s="135">
        <v>124765408</v>
      </c>
      <c r="G19" s="135">
        <v>9993711</v>
      </c>
      <c r="H19" s="135">
        <v>20170200</v>
      </c>
      <c r="I19" s="135">
        <v>940500</v>
      </c>
      <c r="J19" s="135">
        <v>81000</v>
      </c>
      <c r="K19" s="135">
        <v>81000</v>
      </c>
      <c r="L19" s="135">
        <v>701645045</v>
      </c>
      <c r="M19" s="135">
        <v>173284102</v>
      </c>
      <c r="N19" s="135">
        <v>3726</v>
      </c>
      <c r="O19" s="135">
        <v>310</v>
      </c>
      <c r="P19" s="135">
        <v>17186746</v>
      </c>
      <c r="Q19" s="135">
        <v>5321000</v>
      </c>
      <c r="R19" s="135">
        <v>1295000</v>
      </c>
      <c r="S19" s="135">
        <v>4089525</v>
      </c>
      <c r="T19" s="135">
        <v>233000</v>
      </c>
      <c r="U19" s="135">
        <v>5126500</v>
      </c>
      <c r="V19" s="135">
        <v>17186746</v>
      </c>
      <c r="W19" s="135">
        <v>5647300</v>
      </c>
      <c r="X19" s="135">
        <v>1295000</v>
      </c>
      <c r="Y19" s="135">
        <v>4089525</v>
      </c>
      <c r="Z19" s="135">
        <v>155000</v>
      </c>
      <c r="AA19" s="135">
        <v>5126500</v>
      </c>
      <c r="AB19" s="135">
        <v>-18927482</v>
      </c>
      <c r="AC19" s="135">
        <v>-2943424</v>
      </c>
      <c r="AD19" s="135">
        <v>64725</v>
      </c>
      <c r="AE19" s="135">
        <v>4681</v>
      </c>
      <c r="AF19" s="135">
        <v>2340500</v>
      </c>
      <c r="AG19" s="135">
        <v>204243</v>
      </c>
      <c r="AH19" s="135">
        <v>0</v>
      </c>
      <c r="AI19" s="135">
        <v>30500</v>
      </c>
      <c r="AJ19" s="135"/>
      <c r="AK19" s="135">
        <v>326807995</v>
      </c>
      <c r="AL19" s="135">
        <v>19653518</v>
      </c>
      <c r="AM19" s="135">
        <v>360250</v>
      </c>
      <c r="AN19" s="135">
        <v>79303770</v>
      </c>
      <c r="AO19" s="135">
        <v>4551835</v>
      </c>
      <c r="AP19" s="135">
        <v>119160157</v>
      </c>
      <c r="AQ19" s="135">
        <v>63701350</v>
      </c>
      <c r="AR19" s="135">
        <v>74874611</v>
      </c>
      <c r="AS19" s="135">
        <v>47187508</v>
      </c>
      <c r="AT19" s="135">
        <v>7454729</v>
      </c>
      <c r="AU19" s="135"/>
      <c r="AV19" s="135"/>
      <c r="AW19" s="135">
        <v>1933093</v>
      </c>
      <c r="AX19" s="135">
        <v>1115588</v>
      </c>
      <c r="AY19" s="135">
        <v>1849797</v>
      </c>
      <c r="AZ19" s="135">
        <v>17496900.899999999</v>
      </c>
      <c r="BA19" s="135">
        <v>9098388</v>
      </c>
      <c r="BB19" s="135">
        <v>13163649.727150258</v>
      </c>
      <c r="BC19" s="135">
        <v>811593</v>
      </c>
      <c r="BD19" s="135">
        <v>1560756</v>
      </c>
      <c r="BE19" s="135">
        <v>6494763</v>
      </c>
      <c r="BF19" s="135">
        <v>6494763</v>
      </c>
      <c r="BG19" s="135">
        <v>50764391</v>
      </c>
      <c r="BH19" s="135">
        <v>50288735</v>
      </c>
      <c r="BI19" s="135">
        <v>0</v>
      </c>
      <c r="BJ19" s="135">
        <v>9710983</v>
      </c>
      <c r="BK19" s="135"/>
      <c r="BL19" s="135">
        <v>2927423717</v>
      </c>
      <c r="BM19" s="135">
        <v>2504557742</v>
      </c>
      <c r="BN19" s="135">
        <v>3758617</v>
      </c>
      <c r="BO19" s="135"/>
      <c r="BP19" s="135">
        <v>2356970287</v>
      </c>
      <c r="BQ19" s="135">
        <v>326807995</v>
      </c>
      <c r="BR19" s="135">
        <v>19653518</v>
      </c>
      <c r="BS19" s="135">
        <v>194744463</v>
      </c>
      <c r="BT19" s="135">
        <v>2898176263</v>
      </c>
    </row>
    <row r="20" spans="1:72" x14ac:dyDescent="0.25">
      <c r="A20" s="149" t="s">
        <v>74</v>
      </c>
      <c r="B20" s="135">
        <v>5748671150</v>
      </c>
      <c r="C20" s="135">
        <v>235407000</v>
      </c>
      <c r="D20" s="135">
        <v>1389756076</v>
      </c>
      <c r="E20" s="135">
        <v>0</v>
      </c>
      <c r="F20" s="135">
        <v>309766608</v>
      </c>
      <c r="G20" s="135">
        <v>34955138</v>
      </c>
      <c r="H20" s="135">
        <v>16899900</v>
      </c>
      <c r="I20" s="135">
        <v>1701000</v>
      </c>
      <c r="J20" s="135">
        <v>931500</v>
      </c>
      <c r="K20" s="135">
        <v>81000</v>
      </c>
      <c r="L20" s="135">
        <v>248657633</v>
      </c>
      <c r="M20" s="135">
        <v>484597433</v>
      </c>
      <c r="N20" s="135">
        <v>8136</v>
      </c>
      <c r="O20" s="135">
        <v>925</v>
      </c>
      <c r="P20" s="135">
        <v>83723688</v>
      </c>
      <c r="Q20" s="135">
        <v>9347800</v>
      </c>
      <c r="R20" s="135">
        <v>18519773</v>
      </c>
      <c r="S20" s="135">
        <v>14981500</v>
      </c>
      <c r="T20" s="135">
        <v>4381700</v>
      </c>
      <c r="U20" s="135">
        <v>21503900</v>
      </c>
      <c r="V20" s="135">
        <v>83723688</v>
      </c>
      <c r="W20" s="135">
        <v>9347800</v>
      </c>
      <c r="X20" s="135">
        <v>18519773</v>
      </c>
      <c r="Y20" s="135">
        <v>14981500</v>
      </c>
      <c r="Z20" s="135">
        <v>4381700</v>
      </c>
      <c r="AA20" s="135">
        <v>21503900</v>
      </c>
      <c r="AB20" s="135">
        <v>-14341472</v>
      </c>
      <c r="AC20" s="135">
        <v>-4000905</v>
      </c>
      <c r="AD20" s="135">
        <v>0</v>
      </c>
      <c r="AE20" s="135">
        <v>0</v>
      </c>
      <c r="AF20" s="135">
        <v>0</v>
      </c>
      <c r="AG20" s="135">
        <v>0</v>
      </c>
      <c r="AH20" s="135">
        <v>0</v>
      </c>
      <c r="AI20" s="135">
        <v>0</v>
      </c>
      <c r="AJ20" s="135"/>
      <c r="AK20" s="135">
        <v>761444885</v>
      </c>
      <c r="AL20" s="135">
        <v>17053934</v>
      </c>
      <c r="AM20" s="135">
        <v>10000</v>
      </c>
      <c r="AN20" s="135">
        <v>186306320</v>
      </c>
      <c r="AO20" s="135">
        <v>16002931</v>
      </c>
      <c r="AP20" s="135">
        <v>188314869</v>
      </c>
      <c r="AQ20" s="135">
        <v>112410322</v>
      </c>
      <c r="AR20" s="135">
        <v>64194063</v>
      </c>
      <c r="AS20" s="135">
        <v>12569129</v>
      </c>
      <c r="AT20" s="135">
        <v>244125</v>
      </c>
      <c r="AU20" s="135"/>
      <c r="AV20" s="135"/>
      <c r="AW20" s="135">
        <v>292583</v>
      </c>
      <c r="AX20" s="135">
        <v>6679650</v>
      </c>
      <c r="AY20" s="135"/>
      <c r="AZ20" s="135">
        <v>40766829.130000003</v>
      </c>
      <c r="BA20" s="135">
        <v>21198751</v>
      </c>
      <c r="BB20" s="135">
        <v>42095521.587357506</v>
      </c>
      <c r="BC20" s="135">
        <v>2611854</v>
      </c>
      <c r="BD20" s="135">
        <v>5022796</v>
      </c>
      <c r="BE20" s="135">
        <v>89964100</v>
      </c>
      <c r="BF20" s="135">
        <v>89964100</v>
      </c>
      <c r="BG20" s="135">
        <v>169696716</v>
      </c>
      <c r="BH20" s="135">
        <v>162506250</v>
      </c>
      <c r="BI20" s="135">
        <v>3926302</v>
      </c>
      <c r="BJ20" s="135">
        <v>0</v>
      </c>
      <c r="BK20" s="135"/>
      <c r="BL20" s="135">
        <v>8747259875</v>
      </c>
      <c r="BM20" s="135">
        <v>7688553799</v>
      </c>
      <c r="BN20" s="135">
        <v>7214857</v>
      </c>
      <c r="BO20" s="135"/>
      <c r="BP20" s="135">
        <v>7373834226</v>
      </c>
      <c r="BQ20" s="135">
        <v>761444885</v>
      </c>
      <c r="BR20" s="135">
        <v>17053934</v>
      </c>
      <c r="BS20" s="135">
        <v>327288702</v>
      </c>
      <c r="BT20" s="135">
        <v>8479621747</v>
      </c>
    </row>
    <row r="21" spans="1:72" x14ac:dyDescent="0.25">
      <c r="A21" s="149" t="s">
        <v>75</v>
      </c>
      <c r="B21" s="135">
        <v>88464115</v>
      </c>
      <c r="C21" s="135">
        <v>98914635</v>
      </c>
      <c r="D21" s="135">
        <v>20164213</v>
      </c>
      <c r="E21" s="135">
        <v>0</v>
      </c>
      <c r="F21" s="135">
        <v>15299549</v>
      </c>
      <c r="G21" s="135">
        <v>6274800</v>
      </c>
      <c r="H21" s="135">
        <v>6953168</v>
      </c>
      <c r="I21" s="135">
        <v>1160343</v>
      </c>
      <c r="J21" s="135">
        <v>0</v>
      </c>
      <c r="K21" s="135">
        <v>0</v>
      </c>
      <c r="L21" s="135">
        <v>399206741</v>
      </c>
      <c r="M21" s="135">
        <v>34767939</v>
      </c>
      <c r="N21" s="135">
        <v>614</v>
      </c>
      <c r="O21" s="135">
        <v>217</v>
      </c>
      <c r="P21" s="135">
        <v>749700</v>
      </c>
      <c r="Q21" s="135">
        <v>1457000</v>
      </c>
      <c r="R21" s="135">
        <v>312500</v>
      </c>
      <c r="S21" s="135">
        <v>1247165</v>
      </c>
      <c r="T21" s="135">
        <v>1429718</v>
      </c>
      <c r="U21" s="135">
        <v>145700</v>
      </c>
      <c r="V21" s="135">
        <v>749700</v>
      </c>
      <c r="W21" s="135">
        <v>0</v>
      </c>
      <c r="X21" s="135">
        <v>312500</v>
      </c>
      <c r="Y21" s="135">
        <v>1247165</v>
      </c>
      <c r="Z21" s="135">
        <v>4394434</v>
      </c>
      <c r="AA21" s="135">
        <v>145700</v>
      </c>
      <c r="AB21" s="135">
        <v>-572422</v>
      </c>
      <c r="AC21" s="135">
        <v>-3324</v>
      </c>
      <c r="AD21" s="135">
        <v>25792</v>
      </c>
      <c r="AE21" s="135">
        <v>92133</v>
      </c>
      <c r="AF21" s="135">
        <v>53844927</v>
      </c>
      <c r="AG21" s="135">
        <v>38804</v>
      </c>
      <c r="AH21" s="135">
        <v>0</v>
      </c>
      <c r="AI21" s="135">
        <v>1000</v>
      </c>
      <c r="AJ21" s="135"/>
      <c r="AK21" s="135">
        <v>56362388</v>
      </c>
      <c r="AL21" s="135">
        <v>2240673</v>
      </c>
      <c r="AM21" s="135"/>
      <c r="AN21" s="135">
        <v>11524349</v>
      </c>
      <c r="AO21" s="135">
        <v>18318</v>
      </c>
      <c r="AP21" s="135">
        <v>65712</v>
      </c>
      <c r="AQ21" s="135">
        <v>1948738</v>
      </c>
      <c r="AR21" s="135">
        <v>212913</v>
      </c>
      <c r="AS21" s="135"/>
      <c r="AT21" s="135">
        <v>1685160</v>
      </c>
      <c r="AU21" s="135"/>
      <c r="AV21" s="135"/>
      <c r="AW21" s="135"/>
      <c r="AX21" s="135"/>
      <c r="AY21" s="135"/>
      <c r="AZ21" s="135">
        <v>3017573.41</v>
      </c>
      <c r="BA21" s="135">
        <v>1569138</v>
      </c>
      <c r="BB21" s="135">
        <v>17598462.202072538</v>
      </c>
      <c r="BC21" s="135">
        <v>907509</v>
      </c>
      <c r="BD21" s="135">
        <v>1745209</v>
      </c>
      <c r="BE21" s="135">
        <v>17716846</v>
      </c>
      <c r="BF21" s="135">
        <v>17716846</v>
      </c>
      <c r="BG21" s="135">
        <v>37658295</v>
      </c>
      <c r="BH21" s="135">
        <v>30230596</v>
      </c>
      <c r="BI21" s="135">
        <v>0</v>
      </c>
      <c r="BJ21" s="135">
        <v>0</v>
      </c>
      <c r="BK21" s="135"/>
      <c r="BL21" s="135">
        <v>330062518</v>
      </c>
      <c r="BM21" s="135">
        <v>221035368</v>
      </c>
      <c r="BN21" s="135">
        <v>277450</v>
      </c>
      <c r="BO21" s="135"/>
      <c r="BP21" s="135">
        <v>207542963</v>
      </c>
      <c r="BQ21" s="135">
        <v>56362388</v>
      </c>
      <c r="BR21" s="135">
        <v>2240673</v>
      </c>
      <c r="BS21" s="135">
        <v>13491405</v>
      </c>
      <c r="BT21" s="135">
        <v>279637429</v>
      </c>
    </row>
    <row r="22" spans="1:72" x14ac:dyDescent="0.25">
      <c r="A22" s="149" t="s">
        <v>76</v>
      </c>
      <c r="B22" s="135">
        <v>260291140</v>
      </c>
      <c r="C22" s="135">
        <v>73155450</v>
      </c>
      <c r="D22" s="135">
        <v>246349913</v>
      </c>
      <c r="E22" s="135">
        <v>252009448</v>
      </c>
      <c r="F22" s="135">
        <v>29061700</v>
      </c>
      <c r="G22" s="135">
        <v>2827500</v>
      </c>
      <c r="H22" s="135">
        <v>5806800</v>
      </c>
      <c r="I22" s="135">
        <v>227400</v>
      </c>
      <c r="J22" s="135">
        <v>187000</v>
      </c>
      <c r="K22" s="135">
        <v>40500</v>
      </c>
      <c r="L22" s="135">
        <v>140253090</v>
      </c>
      <c r="M22" s="135">
        <v>51365600</v>
      </c>
      <c r="N22" s="135">
        <v>915</v>
      </c>
      <c r="O22" s="135">
        <v>91</v>
      </c>
      <c r="P22" s="135">
        <v>5072200</v>
      </c>
      <c r="Q22" s="135">
        <v>2584800</v>
      </c>
      <c r="R22" s="135">
        <v>4404500</v>
      </c>
      <c r="S22" s="135">
        <v>1058000</v>
      </c>
      <c r="T22" s="135">
        <v>705200</v>
      </c>
      <c r="U22" s="135">
        <v>2063000</v>
      </c>
      <c r="V22" s="135">
        <v>5072200</v>
      </c>
      <c r="W22" s="135">
        <v>3361400</v>
      </c>
      <c r="X22" s="135">
        <v>4404500</v>
      </c>
      <c r="Y22" s="135">
        <v>1058000</v>
      </c>
      <c r="Z22" s="135">
        <v>1005200</v>
      </c>
      <c r="AA22" s="135">
        <v>2063000</v>
      </c>
      <c r="AB22" s="135">
        <v>-383000</v>
      </c>
      <c r="AC22" s="135">
        <v>-402639</v>
      </c>
      <c r="AD22" s="135">
        <v>22055</v>
      </c>
      <c r="AE22" s="135">
        <v>0</v>
      </c>
      <c r="AF22" s="135">
        <v>0</v>
      </c>
      <c r="AG22" s="135">
        <v>66703</v>
      </c>
      <c r="AH22" s="135">
        <v>0</v>
      </c>
      <c r="AI22" s="135">
        <v>495000</v>
      </c>
      <c r="AJ22" s="135"/>
      <c r="AK22" s="135">
        <v>96725020</v>
      </c>
      <c r="AL22" s="135">
        <v>1713907</v>
      </c>
      <c r="AM22" s="135">
        <v>523383</v>
      </c>
      <c r="AN22" s="135">
        <v>42208109</v>
      </c>
      <c r="AO22" s="135">
        <v>9462526</v>
      </c>
      <c r="AP22" s="135">
        <v>185864787</v>
      </c>
      <c r="AQ22" s="135">
        <v>25079904</v>
      </c>
      <c r="AR22" s="135">
        <v>55319927</v>
      </c>
      <c r="AS22" s="135">
        <v>19667080</v>
      </c>
      <c r="AT22" s="135">
        <v>1756453965</v>
      </c>
      <c r="AU22" s="135"/>
      <c r="AV22" s="135"/>
      <c r="AW22" s="135"/>
      <c r="AX22" s="135">
        <v>9996310</v>
      </c>
      <c r="AY22" s="135"/>
      <c r="AZ22" s="135">
        <v>5178539.43</v>
      </c>
      <c r="BA22" s="135">
        <v>2692841</v>
      </c>
      <c r="BB22" s="135">
        <v>32064398.132176165</v>
      </c>
      <c r="BC22" s="135">
        <v>2293119</v>
      </c>
      <c r="BD22" s="135">
        <v>4409844</v>
      </c>
      <c r="BE22" s="135">
        <v>96119303</v>
      </c>
      <c r="BF22" s="135">
        <v>96119303</v>
      </c>
      <c r="BG22" s="135">
        <v>68549839</v>
      </c>
      <c r="BH22" s="135">
        <v>66281132</v>
      </c>
      <c r="BI22" s="135">
        <v>0</v>
      </c>
      <c r="BJ22" s="135">
        <v>0</v>
      </c>
      <c r="BK22" s="135"/>
      <c r="BL22" s="135">
        <v>922867364</v>
      </c>
      <c r="BM22" s="135">
        <v>657042042</v>
      </c>
      <c r="BN22" s="135">
        <v>993300</v>
      </c>
      <c r="BO22" s="135"/>
      <c r="BP22" s="135">
        <v>579796503</v>
      </c>
      <c r="BQ22" s="135">
        <v>96725020</v>
      </c>
      <c r="BR22" s="135">
        <v>1713907</v>
      </c>
      <c r="BS22" s="135">
        <v>96417619</v>
      </c>
      <c r="BT22" s="135">
        <v>774653049</v>
      </c>
    </row>
    <row r="23" spans="1:72" x14ac:dyDescent="0.25">
      <c r="A23" s="149" t="s">
        <v>77</v>
      </c>
      <c r="B23" s="135">
        <v>481866826</v>
      </c>
      <c r="C23" s="135">
        <v>177019528</v>
      </c>
      <c r="D23" s="135">
        <v>203621867</v>
      </c>
      <c r="E23" s="135">
        <v>0</v>
      </c>
      <c r="F23" s="135">
        <v>62312600</v>
      </c>
      <c r="G23" s="135">
        <v>37153200</v>
      </c>
      <c r="H23" s="135">
        <v>20988850</v>
      </c>
      <c r="I23" s="135">
        <v>8913550</v>
      </c>
      <c r="J23" s="135">
        <v>165000</v>
      </c>
      <c r="K23" s="135">
        <v>81000</v>
      </c>
      <c r="L23" s="135">
        <v>146328466</v>
      </c>
      <c r="M23" s="135">
        <v>130427600</v>
      </c>
      <c r="N23" s="135">
        <v>2289</v>
      </c>
      <c r="O23" s="135">
        <v>1345</v>
      </c>
      <c r="P23" s="135">
        <v>9112705</v>
      </c>
      <c r="Q23" s="135">
        <v>1745900</v>
      </c>
      <c r="R23" s="135">
        <v>6100000</v>
      </c>
      <c r="S23" s="135">
        <v>2769280</v>
      </c>
      <c r="T23" s="135">
        <v>1547400</v>
      </c>
      <c r="U23" s="135">
        <v>156000</v>
      </c>
      <c r="V23" s="135">
        <v>9112705</v>
      </c>
      <c r="W23" s="135">
        <v>1835900</v>
      </c>
      <c r="X23" s="135">
        <v>6100000</v>
      </c>
      <c r="Y23" s="135">
        <v>2769280</v>
      </c>
      <c r="Z23" s="135">
        <v>996800</v>
      </c>
      <c r="AA23" s="135">
        <v>156000</v>
      </c>
      <c r="AB23" s="135">
        <v>-9574200</v>
      </c>
      <c r="AC23" s="135">
        <v>2306853</v>
      </c>
      <c r="AD23" s="135">
        <v>144038</v>
      </c>
      <c r="AE23" s="135">
        <v>0</v>
      </c>
      <c r="AF23" s="135">
        <v>0</v>
      </c>
      <c r="AG23" s="135">
        <v>216121</v>
      </c>
      <c r="AH23" s="135">
        <v>0</v>
      </c>
      <c r="AI23" s="135">
        <v>1150500</v>
      </c>
      <c r="AJ23" s="135">
        <v>56000</v>
      </c>
      <c r="AK23" s="135">
        <v>231137098</v>
      </c>
      <c r="AL23" s="135">
        <v>6662761</v>
      </c>
      <c r="AM23" s="135">
        <v>215000</v>
      </c>
      <c r="AN23" s="135">
        <v>30431410</v>
      </c>
      <c r="AO23" s="135">
        <v>3393202</v>
      </c>
      <c r="AP23" s="135">
        <v>32830842</v>
      </c>
      <c r="AQ23" s="135">
        <v>30145827</v>
      </c>
      <c r="AR23" s="135">
        <v>13280169</v>
      </c>
      <c r="AS23" s="135"/>
      <c r="AT23" s="135">
        <v>1291131</v>
      </c>
      <c r="AU23" s="135"/>
      <c r="AV23" s="135"/>
      <c r="AW23" s="135">
        <v>80682</v>
      </c>
      <c r="AX23" s="135">
        <v>1027194</v>
      </c>
      <c r="AY23" s="135"/>
      <c r="AZ23" s="135">
        <v>12374797.92</v>
      </c>
      <c r="BA23" s="135">
        <v>6434895</v>
      </c>
      <c r="BB23" s="135">
        <v>0</v>
      </c>
      <c r="BC23" s="135">
        <v>0</v>
      </c>
      <c r="BD23" s="135">
        <v>0</v>
      </c>
      <c r="BE23" s="135">
        <v>37256794</v>
      </c>
      <c r="BF23" s="135">
        <v>37256794</v>
      </c>
      <c r="BG23" s="135">
        <v>126029229</v>
      </c>
      <c r="BH23" s="135">
        <v>126019817</v>
      </c>
      <c r="BI23" s="135">
        <v>0</v>
      </c>
      <c r="BJ23" s="135">
        <v>0</v>
      </c>
      <c r="BK23" s="135"/>
      <c r="BL23" s="135">
        <v>1335196525</v>
      </c>
      <c r="BM23" s="135">
        <v>927685160</v>
      </c>
      <c r="BN23" s="135">
        <v>13995291</v>
      </c>
      <c r="BO23" s="135"/>
      <c r="BP23" s="135">
        <v>862508221</v>
      </c>
      <c r="BQ23" s="135">
        <v>231137098</v>
      </c>
      <c r="BR23" s="135">
        <v>6662761</v>
      </c>
      <c r="BS23" s="135">
        <v>63970439</v>
      </c>
      <c r="BT23" s="135">
        <v>1164278519</v>
      </c>
    </row>
    <row r="24" spans="1:72" x14ac:dyDescent="0.25">
      <c r="A24" s="149" t="s">
        <v>78</v>
      </c>
      <c r="B24" s="135">
        <v>267819300</v>
      </c>
      <c r="C24" s="135">
        <v>209935450</v>
      </c>
      <c r="D24" s="135">
        <v>80046800</v>
      </c>
      <c r="E24" s="135">
        <v>0</v>
      </c>
      <c r="F24" s="135">
        <v>46539700</v>
      </c>
      <c r="G24" s="135">
        <v>7140100</v>
      </c>
      <c r="H24" s="135">
        <v>23945900</v>
      </c>
      <c r="I24" s="135">
        <v>2038600</v>
      </c>
      <c r="J24" s="135">
        <v>0</v>
      </c>
      <c r="K24" s="135">
        <v>0</v>
      </c>
      <c r="L24" s="135">
        <v>368433925</v>
      </c>
      <c r="M24" s="135">
        <v>132154600</v>
      </c>
      <c r="N24" s="135">
        <v>1896</v>
      </c>
      <c r="O24" s="135">
        <v>288</v>
      </c>
      <c r="P24" s="135">
        <v>1261000</v>
      </c>
      <c r="Q24" s="135">
        <v>2104000</v>
      </c>
      <c r="R24" s="135">
        <v>819000</v>
      </c>
      <c r="S24" s="135">
        <v>404500</v>
      </c>
      <c r="T24" s="135">
        <v>42000</v>
      </c>
      <c r="U24" s="135">
        <v>104000</v>
      </c>
      <c r="V24" s="135">
        <v>1261000</v>
      </c>
      <c r="W24" s="135">
        <v>2146000</v>
      </c>
      <c r="X24" s="135">
        <v>819000</v>
      </c>
      <c r="Y24" s="135">
        <v>404500</v>
      </c>
      <c r="Z24" s="135">
        <v>107000</v>
      </c>
      <c r="AA24" s="135">
        <v>104000</v>
      </c>
      <c r="AB24" s="135">
        <v>-2250000</v>
      </c>
      <c r="AC24" s="135">
        <v>-7953</v>
      </c>
      <c r="AD24" s="135">
        <v>146044</v>
      </c>
      <c r="AE24" s="135">
        <v>0</v>
      </c>
      <c r="AF24" s="135">
        <v>0</v>
      </c>
      <c r="AG24" s="135">
        <v>275577</v>
      </c>
      <c r="AH24" s="135">
        <v>0</v>
      </c>
      <c r="AI24" s="135">
        <v>65000</v>
      </c>
      <c r="AJ24" s="135"/>
      <c r="AK24" s="135">
        <v>115918395</v>
      </c>
      <c r="AL24" s="135">
        <v>4004514</v>
      </c>
      <c r="AM24" s="135"/>
      <c r="AN24" s="135">
        <v>12891749</v>
      </c>
      <c r="AO24" s="135">
        <v>427004</v>
      </c>
      <c r="AP24" s="135">
        <v>37765779</v>
      </c>
      <c r="AQ24" s="135">
        <v>15421598</v>
      </c>
      <c r="AR24" s="135">
        <v>45662699</v>
      </c>
      <c r="AS24" s="135">
        <v>28454957</v>
      </c>
      <c r="AT24" s="135">
        <v>357086</v>
      </c>
      <c r="AU24" s="135"/>
      <c r="AV24" s="135"/>
      <c r="AW24" s="135"/>
      <c r="AX24" s="135">
        <v>8492</v>
      </c>
      <c r="AY24" s="135"/>
      <c r="AZ24" s="135">
        <v>6206129.29</v>
      </c>
      <c r="BA24" s="135">
        <v>3227187</v>
      </c>
      <c r="BB24" s="135">
        <v>0</v>
      </c>
      <c r="BC24" s="135">
        <v>0</v>
      </c>
      <c r="BD24" s="135">
        <v>0</v>
      </c>
      <c r="BE24" s="135">
        <v>26223311</v>
      </c>
      <c r="BF24" s="135">
        <v>26223311</v>
      </c>
      <c r="BG24" s="135">
        <v>64658923</v>
      </c>
      <c r="BH24" s="135">
        <v>64354275</v>
      </c>
      <c r="BI24" s="135">
        <v>0</v>
      </c>
      <c r="BJ24" s="135">
        <v>0</v>
      </c>
      <c r="BK24" s="135"/>
      <c r="BL24" s="135">
        <v>800334583</v>
      </c>
      <c r="BM24" s="135">
        <v>586606901</v>
      </c>
      <c r="BN24" s="135">
        <v>674500</v>
      </c>
      <c r="BO24" s="135"/>
      <c r="BP24" s="135">
        <v>557801550</v>
      </c>
      <c r="BQ24" s="135">
        <v>115918395</v>
      </c>
      <c r="BR24" s="135">
        <v>4004514</v>
      </c>
      <c r="BS24" s="135">
        <v>57195308</v>
      </c>
      <c r="BT24" s="135">
        <v>734919767</v>
      </c>
    </row>
    <row r="25" spans="1:72" x14ac:dyDescent="0.25">
      <c r="A25" s="149" t="s">
        <v>79</v>
      </c>
      <c r="B25" s="135">
        <v>2257610973</v>
      </c>
      <c r="C25" s="135">
        <v>463756281</v>
      </c>
      <c r="D25" s="135">
        <v>1121295671</v>
      </c>
      <c r="E25" s="135">
        <v>42518206</v>
      </c>
      <c r="F25" s="135">
        <v>140984818</v>
      </c>
      <c r="G25" s="135">
        <v>25576865</v>
      </c>
      <c r="H25" s="135">
        <v>17287016</v>
      </c>
      <c r="I25" s="135">
        <v>1470208</v>
      </c>
      <c r="J25" s="135">
        <v>162000</v>
      </c>
      <c r="K25" s="135">
        <v>0</v>
      </c>
      <c r="L25" s="135">
        <v>1837281042</v>
      </c>
      <c r="M25" s="135">
        <v>220962874</v>
      </c>
      <c r="N25" s="135">
        <v>4009</v>
      </c>
      <c r="O25" s="135">
        <v>704</v>
      </c>
      <c r="P25" s="135">
        <v>32040000</v>
      </c>
      <c r="Q25" s="135">
        <v>11512244</v>
      </c>
      <c r="R25" s="135">
        <v>17676340</v>
      </c>
      <c r="S25" s="135">
        <v>8021539</v>
      </c>
      <c r="T25" s="135">
        <v>4731970</v>
      </c>
      <c r="U25" s="135">
        <v>7392624</v>
      </c>
      <c r="V25" s="135">
        <v>32040000</v>
      </c>
      <c r="W25" s="135">
        <v>12366236</v>
      </c>
      <c r="X25" s="135">
        <v>17676340</v>
      </c>
      <c r="Y25" s="135">
        <v>8021539</v>
      </c>
      <c r="Z25" s="135">
        <v>11508531</v>
      </c>
      <c r="AA25" s="135">
        <v>7392624</v>
      </c>
      <c r="AB25" s="135">
        <v>-5962310</v>
      </c>
      <c r="AC25" s="135">
        <v>454540</v>
      </c>
      <c r="AD25" s="135">
        <v>43985</v>
      </c>
      <c r="AE25" s="135">
        <v>2810</v>
      </c>
      <c r="AF25" s="135">
        <v>295236704</v>
      </c>
      <c r="AG25" s="135">
        <v>409337</v>
      </c>
      <c r="AH25" s="135">
        <v>1150000</v>
      </c>
      <c r="AI25" s="135">
        <v>963984</v>
      </c>
      <c r="AJ25" s="135"/>
      <c r="AK25" s="135">
        <v>431087339</v>
      </c>
      <c r="AL25" s="135">
        <v>9248233</v>
      </c>
      <c r="AM25" s="135"/>
      <c r="AN25" s="135">
        <v>200635884</v>
      </c>
      <c r="AO25" s="135">
        <v>51537032</v>
      </c>
      <c r="AP25" s="135">
        <v>708730131</v>
      </c>
      <c r="AQ25" s="135">
        <v>203056152</v>
      </c>
      <c r="AR25" s="135">
        <v>205156555</v>
      </c>
      <c r="AS25" s="135">
        <v>86095604</v>
      </c>
      <c r="AT25" s="135">
        <v>7452004</v>
      </c>
      <c r="AU25" s="135">
        <v>19302144</v>
      </c>
      <c r="AV25" s="135">
        <v>25104</v>
      </c>
      <c r="AW25" s="135">
        <v>265499163</v>
      </c>
      <c r="AX25" s="135">
        <v>2418855</v>
      </c>
      <c r="AY25" s="135">
        <v>4500951</v>
      </c>
      <c r="AZ25" s="135">
        <v>23079889.609999999</v>
      </c>
      <c r="BA25" s="135">
        <v>12001543</v>
      </c>
      <c r="BB25" s="135">
        <v>0</v>
      </c>
      <c r="BC25" s="135">
        <v>2484950</v>
      </c>
      <c r="BD25" s="135">
        <v>4778750</v>
      </c>
      <c r="BE25" s="135">
        <v>81477841</v>
      </c>
      <c r="BF25" s="135">
        <v>81477841</v>
      </c>
      <c r="BG25" s="135">
        <v>100803652</v>
      </c>
      <c r="BH25" s="135">
        <v>93515264</v>
      </c>
      <c r="BI25" s="135">
        <v>234936</v>
      </c>
      <c r="BJ25" s="135">
        <v>17483873</v>
      </c>
      <c r="BK25" s="135"/>
      <c r="BL25" s="135">
        <v>4947539956</v>
      </c>
      <c r="BM25" s="135">
        <v>4300005977</v>
      </c>
      <c r="BN25" s="135">
        <v>4976626</v>
      </c>
      <c r="BO25" s="135"/>
      <c r="BP25" s="135">
        <v>3842662925</v>
      </c>
      <c r="BQ25" s="135">
        <v>431087339</v>
      </c>
      <c r="BR25" s="135">
        <v>9248233</v>
      </c>
      <c r="BS25" s="135">
        <v>541324672</v>
      </c>
      <c r="BT25" s="135">
        <v>4824323169</v>
      </c>
    </row>
    <row r="26" spans="1:72" x14ac:dyDescent="0.25">
      <c r="A26" s="149" t="s">
        <v>80</v>
      </c>
      <c r="B26" s="135">
        <v>1673954267</v>
      </c>
      <c r="C26" s="135">
        <v>277222770</v>
      </c>
      <c r="D26" s="135">
        <v>728399500</v>
      </c>
      <c r="E26" s="135">
        <v>15790262</v>
      </c>
      <c r="F26" s="135">
        <v>109574800</v>
      </c>
      <c r="G26" s="135">
        <v>19143000</v>
      </c>
      <c r="H26" s="135">
        <v>16252100</v>
      </c>
      <c r="I26" s="135">
        <v>1529200</v>
      </c>
      <c r="J26" s="135">
        <v>243000</v>
      </c>
      <c r="K26" s="135">
        <v>0</v>
      </c>
      <c r="L26" s="135">
        <v>488659330</v>
      </c>
      <c r="M26" s="135">
        <v>201234400</v>
      </c>
      <c r="N26" s="135">
        <v>3175</v>
      </c>
      <c r="O26" s="135">
        <v>538</v>
      </c>
      <c r="P26" s="135">
        <v>35365000</v>
      </c>
      <c r="Q26" s="135">
        <v>11441400</v>
      </c>
      <c r="R26" s="135">
        <v>21953300</v>
      </c>
      <c r="S26" s="135">
        <v>7926800</v>
      </c>
      <c r="T26" s="135">
        <v>4759600</v>
      </c>
      <c r="U26" s="135">
        <v>3573500</v>
      </c>
      <c r="V26" s="135">
        <v>35365000</v>
      </c>
      <c r="W26" s="135">
        <v>12739000</v>
      </c>
      <c r="X26" s="135">
        <v>21953300</v>
      </c>
      <c r="Y26" s="135">
        <v>7926800</v>
      </c>
      <c r="Z26" s="135">
        <v>10988800</v>
      </c>
      <c r="AA26" s="135">
        <v>3573500</v>
      </c>
      <c r="AB26" s="135">
        <v>-5485000</v>
      </c>
      <c r="AC26" s="135">
        <v>-1474242</v>
      </c>
      <c r="AD26" s="135">
        <v>0</v>
      </c>
      <c r="AE26" s="135">
        <v>0</v>
      </c>
      <c r="AF26" s="135">
        <v>0</v>
      </c>
      <c r="AG26" s="135">
        <v>134592.17000000001</v>
      </c>
      <c r="AH26" s="135">
        <v>0</v>
      </c>
      <c r="AI26" s="135">
        <v>0</v>
      </c>
      <c r="AJ26" s="135"/>
      <c r="AK26" s="135">
        <v>328544504</v>
      </c>
      <c r="AL26" s="135">
        <v>7990280</v>
      </c>
      <c r="AM26" s="135"/>
      <c r="AN26" s="135">
        <v>106386433</v>
      </c>
      <c r="AO26" s="135">
        <v>19544582</v>
      </c>
      <c r="AP26" s="135">
        <v>298048174</v>
      </c>
      <c r="AQ26" s="135">
        <v>87414511</v>
      </c>
      <c r="AR26" s="135">
        <v>151620274</v>
      </c>
      <c r="AS26" s="135">
        <v>60553912</v>
      </c>
      <c r="AT26" s="135">
        <v>945117</v>
      </c>
      <c r="AU26" s="135"/>
      <c r="AV26" s="135">
        <v>10172</v>
      </c>
      <c r="AW26" s="135">
        <v>23992866</v>
      </c>
      <c r="AX26" s="135">
        <v>4338405</v>
      </c>
      <c r="AY26" s="135">
        <v>10000</v>
      </c>
      <c r="AZ26" s="135">
        <v>17589871.469999999</v>
      </c>
      <c r="BA26" s="135">
        <v>9146733</v>
      </c>
      <c r="BB26" s="135">
        <v>0</v>
      </c>
      <c r="BC26" s="135">
        <v>3806371</v>
      </c>
      <c r="BD26" s="135">
        <v>7319944</v>
      </c>
      <c r="BE26" s="135">
        <v>90495832</v>
      </c>
      <c r="BF26" s="135">
        <v>90375158</v>
      </c>
      <c r="BG26" s="135">
        <v>181693891</v>
      </c>
      <c r="BH26" s="135">
        <v>175621304</v>
      </c>
      <c r="BI26" s="135">
        <v>0</v>
      </c>
      <c r="BJ26" s="135">
        <v>0</v>
      </c>
      <c r="BK26" s="135"/>
      <c r="BL26" s="135">
        <v>3508406413</v>
      </c>
      <c r="BM26" s="135">
        <v>2892922063</v>
      </c>
      <c r="BN26" s="135">
        <v>1804200</v>
      </c>
      <c r="BO26" s="135"/>
      <c r="BP26" s="135">
        <v>2679576537</v>
      </c>
      <c r="BQ26" s="135">
        <v>328544504</v>
      </c>
      <c r="BR26" s="135">
        <v>7990280</v>
      </c>
      <c r="BS26" s="135">
        <v>273899438</v>
      </c>
      <c r="BT26" s="135">
        <v>3290010759</v>
      </c>
    </row>
    <row r="27" spans="1:72" x14ac:dyDescent="0.25">
      <c r="A27" s="149" t="s">
        <v>81</v>
      </c>
      <c r="B27" s="135">
        <v>215503900</v>
      </c>
      <c r="C27" s="135">
        <v>73379195</v>
      </c>
      <c r="D27" s="135">
        <v>83385500</v>
      </c>
      <c r="E27" s="135">
        <v>0</v>
      </c>
      <c r="F27" s="135">
        <v>52777200</v>
      </c>
      <c r="G27" s="135">
        <v>33176200</v>
      </c>
      <c r="H27" s="135">
        <v>13231100</v>
      </c>
      <c r="I27" s="135">
        <v>5160000</v>
      </c>
      <c r="J27" s="135">
        <v>40500</v>
      </c>
      <c r="K27" s="135">
        <v>81000</v>
      </c>
      <c r="L27" s="135">
        <v>80620240</v>
      </c>
      <c r="M27" s="135">
        <v>45529190</v>
      </c>
      <c r="N27" s="135">
        <v>1816</v>
      </c>
      <c r="O27" s="135">
        <v>1068</v>
      </c>
      <c r="P27" s="135">
        <v>3455100</v>
      </c>
      <c r="Q27" s="135">
        <v>414500</v>
      </c>
      <c r="R27" s="135">
        <v>59000</v>
      </c>
      <c r="S27" s="135">
        <v>2013600</v>
      </c>
      <c r="T27" s="135">
        <v>488500</v>
      </c>
      <c r="U27" s="135">
        <v>774600</v>
      </c>
      <c r="V27" s="135">
        <v>3455100</v>
      </c>
      <c r="W27" s="135">
        <v>531200</v>
      </c>
      <c r="X27" s="135">
        <v>59000</v>
      </c>
      <c r="Y27" s="135">
        <v>2013600</v>
      </c>
      <c r="Z27" s="135">
        <v>386570</v>
      </c>
      <c r="AA27" s="135">
        <v>774600</v>
      </c>
      <c r="AB27" s="135">
        <v>-2196100</v>
      </c>
      <c r="AC27" s="135">
        <v>-44184</v>
      </c>
      <c r="AD27" s="135">
        <v>200860</v>
      </c>
      <c r="AE27" s="135">
        <v>0</v>
      </c>
      <c r="AF27" s="135">
        <v>0</v>
      </c>
      <c r="AG27" s="135">
        <v>222551</v>
      </c>
      <c r="AH27" s="135">
        <v>2500000</v>
      </c>
      <c r="AI27" s="135">
        <v>7500540</v>
      </c>
      <c r="AJ27" s="135">
        <v>10000</v>
      </c>
      <c r="AK27" s="135">
        <v>120103911</v>
      </c>
      <c r="AL27" s="135">
        <v>3233610</v>
      </c>
      <c r="AM27" s="135"/>
      <c r="AN27" s="135">
        <v>13537242</v>
      </c>
      <c r="AO27" s="135">
        <v>317497</v>
      </c>
      <c r="AP27" s="135">
        <v>6641109</v>
      </c>
      <c r="AQ27" s="135">
        <v>7902624</v>
      </c>
      <c r="AR27" s="135">
        <v>1616336</v>
      </c>
      <c r="AS27" s="135"/>
      <c r="AT27" s="135">
        <v>220414</v>
      </c>
      <c r="AU27" s="135"/>
      <c r="AV27" s="135"/>
      <c r="AW27" s="135"/>
      <c r="AX27" s="135">
        <v>43978</v>
      </c>
      <c r="AY27" s="135"/>
      <c r="AZ27" s="135">
        <v>6430216.7000000002</v>
      </c>
      <c r="BA27" s="135">
        <v>3343713</v>
      </c>
      <c r="BB27" s="135">
        <v>0</v>
      </c>
      <c r="BC27" s="135">
        <v>787245</v>
      </c>
      <c r="BD27" s="135">
        <v>1513933</v>
      </c>
      <c r="BE27" s="135">
        <v>14498086</v>
      </c>
      <c r="BF27" s="135">
        <v>14498086</v>
      </c>
      <c r="BG27" s="135">
        <v>56816248</v>
      </c>
      <c r="BH27" s="135">
        <v>55764637</v>
      </c>
      <c r="BI27" s="135">
        <v>0</v>
      </c>
      <c r="BJ27" s="135">
        <v>0</v>
      </c>
      <c r="BK27" s="135"/>
      <c r="BL27" s="135">
        <v>601767700</v>
      </c>
      <c r="BM27" s="135">
        <v>404036498</v>
      </c>
      <c r="BN27" s="135">
        <v>504700</v>
      </c>
      <c r="BO27" s="135"/>
      <c r="BP27" s="135">
        <v>372268595</v>
      </c>
      <c r="BQ27" s="135">
        <v>120103911</v>
      </c>
      <c r="BR27" s="135">
        <v>3233610</v>
      </c>
      <c r="BS27" s="135">
        <v>21757363</v>
      </c>
      <c r="BT27" s="135">
        <v>517363479</v>
      </c>
    </row>
    <row r="28" spans="1:72" x14ac:dyDescent="0.25">
      <c r="A28" s="149" t="s">
        <v>82</v>
      </c>
      <c r="B28" s="135">
        <v>216286384</v>
      </c>
      <c r="C28" s="135">
        <v>74450403</v>
      </c>
      <c r="D28" s="135">
        <v>111448706</v>
      </c>
      <c r="E28" s="135">
        <v>0</v>
      </c>
      <c r="F28" s="135">
        <v>26624900</v>
      </c>
      <c r="G28" s="135">
        <v>11354400</v>
      </c>
      <c r="H28" s="135">
        <v>8923350</v>
      </c>
      <c r="I28" s="135">
        <v>1531550</v>
      </c>
      <c r="J28" s="135">
        <v>0</v>
      </c>
      <c r="K28" s="135">
        <v>40500</v>
      </c>
      <c r="L28" s="135">
        <v>142124250</v>
      </c>
      <c r="M28" s="135">
        <v>48638340</v>
      </c>
      <c r="N28" s="135">
        <v>999</v>
      </c>
      <c r="O28" s="135">
        <v>408</v>
      </c>
      <c r="P28" s="135">
        <v>5083800</v>
      </c>
      <c r="Q28" s="135">
        <v>298350</v>
      </c>
      <c r="R28" s="135">
        <v>408000</v>
      </c>
      <c r="S28" s="135">
        <v>3376473</v>
      </c>
      <c r="T28" s="135">
        <v>207288</v>
      </c>
      <c r="U28" s="135">
        <v>301000</v>
      </c>
      <c r="V28" s="135">
        <v>5083800</v>
      </c>
      <c r="W28" s="135">
        <v>355000</v>
      </c>
      <c r="X28" s="135">
        <v>408000</v>
      </c>
      <c r="Y28" s="135">
        <v>3376473</v>
      </c>
      <c r="Z28" s="135">
        <v>232000</v>
      </c>
      <c r="AA28" s="135">
        <v>301000</v>
      </c>
      <c r="AB28" s="135">
        <v>-800100</v>
      </c>
      <c r="AC28" s="135">
        <v>-12735</v>
      </c>
      <c r="AD28" s="135">
        <v>47653</v>
      </c>
      <c r="AE28" s="135">
        <v>0</v>
      </c>
      <c r="AF28" s="135">
        <v>0</v>
      </c>
      <c r="AG28" s="135">
        <v>96342</v>
      </c>
      <c r="AH28" s="135">
        <v>1169000</v>
      </c>
      <c r="AI28" s="135">
        <v>400500</v>
      </c>
      <c r="AJ28" s="135"/>
      <c r="AK28" s="135">
        <v>70008762</v>
      </c>
      <c r="AL28" s="135">
        <v>10628290</v>
      </c>
      <c r="AM28" s="135">
        <v>5760480</v>
      </c>
      <c r="AN28" s="135">
        <v>14053223</v>
      </c>
      <c r="AO28" s="135">
        <v>7270731</v>
      </c>
      <c r="AP28" s="135">
        <v>39048923</v>
      </c>
      <c r="AQ28" s="135">
        <v>8958682</v>
      </c>
      <c r="AR28" s="135">
        <v>1877480</v>
      </c>
      <c r="AS28" s="135"/>
      <c r="AT28" s="135">
        <v>779539</v>
      </c>
      <c r="AU28" s="135"/>
      <c r="AV28" s="135"/>
      <c r="AW28" s="135">
        <v>643215</v>
      </c>
      <c r="AX28" s="135"/>
      <c r="AY28" s="135"/>
      <c r="AZ28" s="135">
        <v>3748183.61</v>
      </c>
      <c r="BA28" s="135">
        <v>1949055</v>
      </c>
      <c r="BB28" s="135">
        <v>0</v>
      </c>
      <c r="BC28" s="135">
        <v>0</v>
      </c>
      <c r="BD28" s="135">
        <v>0</v>
      </c>
      <c r="BE28" s="135">
        <v>4086467</v>
      </c>
      <c r="BF28" s="135">
        <v>4086467</v>
      </c>
      <c r="BG28" s="135">
        <v>30038272</v>
      </c>
      <c r="BH28" s="135">
        <v>29375504</v>
      </c>
      <c r="BI28" s="135">
        <v>0</v>
      </c>
      <c r="BJ28" s="135">
        <v>0</v>
      </c>
      <c r="BK28" s="135"/>
      <c r="BL28" s="135">
        <v>550085707</v>
      </c>
      <c r="BM28" s="135">
        <v>434037629</v>
      </c>
      <c r="BN28" s="135">
        <v>402056</v>
      </c>
      <c r="BO28" s="135"/>
      <c r="BP28" s="135">
        <v>402185493</v>
      </c>
      <c r="BQ28" s="135">
        <v>70008762</v>
      </c>
      <c r="BR28" s="135">
        <v>10628290</v>
      </c>
      <c r="BS28" s="135">
        <v>30282636</v>
      </c>
      <c r="BT28" s="135">
        <v>513105181</v>
      </c>
    </row>
    <row r="29" spans="1:72" x14ac:dyDescent="0.25">
      <c r="A29" s="149" t="s">
        <v>83</v>
      </c>
      <c r="B29" s="135">
        <v>173647027</v>
      </c>
      <c r="C29" s="135">
        <v>161237302</v>
      </c>
      <c r="D29" s="135">
        <v>53872049</v>
      </c>
      <c r="E29" s="135">
        <v>0</v>
      </c>
      <c r="F29" s="135">
        <v>27745300</v>
      </c>
      <c r="G29" s="135">
        <v>5056594</v>
      </c>
      <c r="H29" s="135">
        <v>9599875</v>
      </c>
      <c r="I29" s="135">
        <v>1229499</v>
      </c>
      <c r="J29" s="135">
        <v>17500</v>
      </c>
      <c r="K29" s="135">
        <v>0</v>
      </c>
      <c r="L29" s="135">
        <v>254536345</v>
      </c>
      <c r="M29" s="135">
        <v>62845927</v>
      </c>
      <c r="N29" s="135">
        <v>1013</v>
      </c>
      <c r="O29" s="135">
        <v>188</v>
      </c>
      <c r="P29" s="135">
        <v>4266070</v>
      </c>
      <c r="Q29" s="135">
        <v>412600</v>
      </c>
      <c r="R29" s="135">
        <v>2372200</v>
      </c>
      <c r="S29" s="135">
        <v>1616498</v>
      </c>
      <c r="T29" s="135">
        <v>2687158</v>
      </c>
      <c r="U29" s="135">
        <v>279500</v>
      </c>
      <c r="V29" s="135">
        <v>4266070</v>
      </c>
      <c r="W29" s="135">
        <v>892142</v>
      </c>
      <c r="X29" s="135">
        <v>2372200</v>
      </c>
      <c r="Y29" s="135">
        <v>1616498</v>
      </c>
      <c r="Z29" s="135">
        <v>3837738</v>
      </c>
      <c r="AA29" s="135">
        <v>279500</v>
      </c>
      <c r="AB29" s="135">
        <v>-1200733</v>
      </c>
      <c r="AC29" s="135">
        <v>-21144</v>
      </c>
      <c r="AD29" s="135">
        <v>94510</v>
      </c>
      <c r="AE29" s="135">
        <v>4571</v>
      </c>
      <c r="AF29" s="135">
        <v>780226</v>
      </c>
      <c r="AG29" s="135">
        <v>212046</v>
      </c>
      <c r="AH29" s="135">
        <v>0</v>
      </c>
      <c r="AI29" s="135">
        <v>540000</v>
      </c>
      <c r="AJ29" s="135"/>
      <c r="AK29" s="135">
        <v>74377844</v>
      </c>
      <c r="AL29" s="135">
        <v>2910479</v>
      </c>
      <c r="AM29" s="135"/>
      <c r="AN29" s="135">
        <v>8952734</v>
      </c>
      <c r="AO29" s="135">
        <v>230927</v>
      </c>
      <c r="AP29" s="135">
        <v>7595432</v>
      </c>
      <c r="AQ29" s="135">
        <v>8862419</v>
      </c>
      <c r="AR29" s="135">
        <v>15761351</v>
      </c>
      <c r="AS29" s="135"/>
      <c r="AT29" s="135">
        <v>283612</v>
      </c>
      <c r="AU29" s="135"/>
      <c r="AV29" s="135"/>
      <c r="AW29" s="135">
        <v>100776</v>
      </c>
      <c r="AX29" s="135">
        <v>1982705</v>
      </c>
      <c r="AY29" s="135">
        <v>907100</v>
      </c>
      <c r="AZ29" s="135">
        <v>3982098.92</v>
      </c>
      <c r="BA29" s="135">
        <v>2070691</v>
      </c>
      <c r="BB29" s="135">
        <v>30058173.441139895</v>
      </c>
      <c r="BC29" s="135">
        <v>0</v>
      </c>
      <c r="BD29" s="135">
        <v>0</v>
      </c>
      <c r="BE29" s="135">
        <v>13254957</v>
      </c>
      <c r="BF29" s="135">
        <v>13254957</v>
      </c>
      <c r="BG29" s="135">
        <v>32670103</v>
      </c>
      <c r="BH29" s="135">
        <v>32267623</v>
      </c>
      <c r="BI29" s="135">
        <v>0</v>
      </c>
      <c r="BJ29" s="135">
        <v>0</v>
      </c>
      <c r="BK29" s="135"/>
      <c r="BL29" s="135">
        <v>532224052</v>
      </c>
      <c r="BM29" s="135">
        <v>407342458</v>
      </c>
      <c r="BN29" s="135">
        <v>424294</v>
      </c>
      <c r="BO29" s="135"/>
      <c r="BP29" s="135">
        <v>388756378</v>
      </c>
      <c r="BQ29" s="135">
        <v>74377844</v>
      </c>
      <c r="BR29" s="135">
        <v>2910479</v>
      </c>
      <c r="BS29" s="135">
        <v>18046080</v>
      </c>
      <c r="BT29" s="135">
        <v>484090781</v>
      </c>
    </row>
    <row r="30" spans="1:72" x14ac:dyDescent="0.25">
      <c r="A30" s="149" t="s">
        <v>84</v>
      </c>
      <c r="B30" s="135">
        <v>190271390</v>
      </c>
      <c r="C30" s="135">
        <v>131633950</v>
      </c>
      <c r="D30" s="135">
        <v>46275240</v>
      </c>
      <c r="E30" s="135">
        <v>0</v>
      </c>
      <c r="F30" s="135">
        <v>20245500</v>
      </c>
      <c r="G30" s="135">
        <v>4935100</v>
      </c>
      <c r="H30" s="135">
        <v>8544300</v>
      </c>
      <c r="I30" s="135">
        <v>1093500</v>
      </c>
      <c r="J30" s="135">
        <v>40500</v>
      </c>
      <c r="K30" s="135">
        <v>0</v>
      </c>
      <c r="L30" s="135">
        <v>157728271</v>
      </c>
      <c r="M30" s="135">
        <v>66379000</v>
      </c>
      <c r="N30" s="135">
        <v>731</v>
      </c>
      <c r="O30" s="135">
        <v>155</v>
      </c>
      <c r="P30" s="135">
        <v>4328279</v>
      </c>
      <c r="Q30" s="135">
        <v>1065000</v>
      </c>
      <c r="R30" s="135">
        <v>4711000</v>
      </c>
      <c r="S30" s="135">
        <v>2030998</v>
      </c>
      <c r="T30" s="135">
        <v>540500</v>
      </c>
      <c r="U30" s="135">
        <v>703462</v>
      </c>
      <c r="V30" s="135">
        <v>4328279</v>
      </c>
      <c r="W30" s="135">
        <v>1245000</v>
      </c>
      <c r="X30" s="135">
        <v>4711000</v>
      </c>
      <c r="Y30" s="135">
        <v>2030998</v>
      </c>
      <c r="Z30" s="135">
        <v>570000</v>
      </c>
      <c r="AA30" s="135">
        <v>703462</v>
      </c>
      <c r="AB30" s="135">
        <v>-3279500</v>
      </c>
      <c r="AC30" s="135">
        <v>342113</v>
      </c>
      <c r="AD30" s="135">
        <v>188002</v>
      </c>
      <c r="AE30" s="135">
        <v>0</v>
      </c>
      <c r="AF30" s="135">
        <v>0</v>
      </c>
      <c r="AG30" s="135">
        <v>0</v>
      </c>
      <c r="AH30" s="135">
        <v>1795000</v>
      </c>
      <c r="AI30" s="135">
        <v>0</v>
      </c>
      <c r="AJ30" s="135"/>
      <c r="AK30" s="135">
        <v>53830072</v>
      </c>
      <c r="AL30" s="135">
        <v>8532996</v>
      </c>
      <c r="AM30" s="135">
        <v>5293230</v>
      </c>
      <c r="AN30" s="135">
        <v>5709450</v>
      </c>
      <c r="AO30" s="135">
        <v>29620</v>
      </c>
      <c r="AP30" s="135">
        <v>1609636</v>
      </c>
      <c r="AQ30" s="135">
        <v>4361546</v>
      </c>
      <c r="AR30" s="135">
        <v>1425857</v>
      </c>
      <c r="AS30" s="135"/>
      <c r="AT30" s="135">
        <v>597887</v>
      </c>
      <c r="AU30" s="135"/>
      <c r="AV30" s="135"/>
      <c r="AW30" s="135"/>
      <c r="AX30" s="135"/>
      <c r="AY30" s="135">
        <v>50000</v>
      </c>
      <c r="AZ30" s="135">
        <v>2881996.31</v>
      </c>
      <c r="BA30" s="135">
        <v>1498638</v>
      </c>
      <c r="BB30" s="135">
        <v>0</v>
      </c>
      <c r="BC30" s="135">
        <v>0</v>
      </c>
      <c r="BD30" s="135">
        <v>0</v>
      </c>
      <c r="BE30" s="135">
        <v>2200978</v>
      </c>
      <c r="BF30" s="135">
        <v>2200978</v>
      </c>
      <c r="BG30" s="135">
        <v>24827617</v>
      </c>
      <c r="BH30" s="135">
        <v>24737228</v>
      </c>
      <c r="BI30" s="135">
        <v>0</v>
      </c>
      <c r="BJ30" s="135">
        <v>0</v>
      </c>
      <c r="BK30" s="135"/>
      <c r="BL30" s="135">
        <v>470876108</v>
      </c>
      <c r="BM30" s="135">
        <v>380076196</v>
      </c>
      <c r="BN30" s="135">
        <v>406000</v>
      </c>
      <c r="BO30" s="135"/>
      <c r="BP30" s="135">
        <v>368180580</v>
      </c>
      <c r="BQ30" s="135">
        <v>53830072</v>
      </c>
      <c r="BR30" s="135">
        <v>8532996</v>
      </c>
      <c r="BS30" s="135">
        <v>10100616</v>
      </c>
      <c r="BT30" s="135">
        <v>440644264</v>
      </c>
    </row>
    <row r="31" spans="1:72" x14ac:dyDescent="0.25">
      <c r="A31" s="149" t="s">
        <v>85</v>
      </c>
      <c r="B31" s="135">
        <v>4557742191</v>
      </c>
      <c r="C31" s="135">
        <v>517696767</v>
      </c>
      <c r="D31" s="135">
        <v>2012898698</v>
      </c>
      <c r="E31" s="135">
        <v>37566659</v>
      </c>
      <c r="F31" s="135">
        <v>363740300</v>
      </c>
      <c r="G31" s="135">
        <v>31134700</v>
      </c>
      <c r="H31" s="135">
        <v>24928968</v>
      </c>
      <c r="I31" s="135">
        <v>1395187</v>
      </c>
      <c r="J31" s="135">
        <v>891000</v>
      </c>
      <c r="K31" s="135">
        <v>81000</v>
      </c>
      <c r="L31" s="135">
        <v>1145439381</v>
      </c>
      <c r="M31" s="135">
        <v>272674183</v>
      </c>
      <c r="N31" s="135">
        <v>9710</v>
      </c>
      <c r="O31" s="135">
        <v>833</v>
      </c>
      <c r="P31" s="135">
        <v>101273620</v>
      </c>
      <c r="Q31" s="135">
        <v>8477495</v>
      </c>
      <c r="R31" s="135">
        <v>42015315</v>
      </c>
      <c r="S31" s="135">
        <v>10397505</v>
      </c>
      <c r="T31" s="135">
        <v>3961937</v>
      </c>
      <c r="U31" s="135">
        <v>14086253</v>
      </c>
      <c r="V31" s="135">
        <v>101273620</v>
      </c>
      <c r="W31" s="135">
        <v>9484282</v>
      </c>
      <c r="X31" s="135">
        <v>420153158</v>
      </c>
      <c r="Y31" s="135">
        <v>10397505</v>
      </c>
      <c r="Z31" s="135">
        <v>14969808</v>
      </c>
      <c r="AA31" s="135">
        <v>14086253</v>
      </c>
      <c r="AB31" s="135">
        <v>-16806443</v>
      </c>
      <c r="AC31" s="135">
        <v>3043514</v>
      </c>
      <c r="AD31" s="135"/>
      <c r="AE31" s="135"/>
      <c r="AF31" s="135"/>
      <c r="AG31" s="135"/>
      <c r="AH31" s="135">
        <v>4100000</v>
      </c>
      <c r="AI31" s="135">
        <v>300000</v>
      </c>
      <c r="AJ31" s="135">
        <v>448278.68852459016</v>
      </c>
      <c r="AK31" s="135">
        <v>856744959</v>
      </c>
      <c r="AL31" s="135">
        <v>20975912</v>
      </c>
      <c r="AM31" s="135">
        <v>101500</v>
      </c>
      <c r="AN31" s="135">
        <v>266515231</v>
      </c>
      <c r="AO31" s="135">
        <v>88637707</v>
      </c>
      <c r="AP31" s="135">
        <v>730866718</v>
      </c>
      <c r="AQ31" s="135">
        <v>297331378</v>
      </c>
      <c r="AR31" s="135">
        <v>367402470</v>
      </c>
      <c r="AS31" s="135">
        <v>84334297</v>
      </c>
      <c r="AT31" s="135">
        <v>213629590</v>
      </c>
      <c r="AU31" s="135">
        <v>21386910</v>
      </c>
      <c r="AV31" s="135">
        <v>3692221</v>
      </c>
      <c r="AW31" s="135">
        <v>99264770</v>
      </c>
      <c r="AX31" s="135">
        <v>8143697</v>
      </c>
      <c r="AY31" s="135">
        <v>6721246</v>
      </c>
      <c r="AZ31" s="135">
        <v>45869078.700000003</v>
      </c>
      <c r="BA31" s="135">
        <v>23851921</v>
      </c>
      <c r="BB31" s="135">
        <v>46882303.306321248</v>
      </c>
      <c r="BC31" s="135">
        <v>2184661</v>
      </c>
      <c r="BD31" s="135">
        <v>4201271</v>
      </c>
      <c r="BE31" s="135">
        <v>118860326</v>
      </c>
      <c r="BF31" s="135">
        <v>118860326</v>
      </c>
      <c r="BG31" s="135">
        <v>157138305</v>
      </c>
      <c r="BH31" s="135">
        <v>152130756</v>
      </c>
      <c r="BI31" s="135">
        <v>98461579</v>
      </c>
      <c r="BJ31" s="135">
        <v>0</v>
      </c>
      <c r="BK31" s="135"/>
      <c r="BL31" s="135">
        <v>9018880364.6885242</v>
      </c>
      <c r="BM31" s="135">
        <v>7745670250.6885242</v>
      </c>
      <c r="BN31" s="135">
        <v>3743483</v>
      </c>
      <c r="BO31" s="135"/>
      <c r="BP31" s="135">
        <v>7088337656</v>
      </c>
      <c r="BQ31" s="135">
        <v>856744959</v>
      </c>
      <c r="BR31" s="135">
        <v>20975912</v>
      </c>
      <c r="BS31" s="135">
        <v>736818613</v>
      </c>
      <c r="BT31" s="135">
        <v>8702877140</v>
      </c>
    </row>
    <row r="32" spans="1:72" x14ac:dyDescent="0.25">
      <c r="A32" s="149" t="s">
        <v>86</v>
      </c>
      <c r="B32" s="135">
        <v>540026379</v>
      </c>
      <c r="C32" s="135">
        <v>140133403</v>
      </c>
      <c r="D32" s="135">
        <v>57120183</v>
      </c>
      <c r="E32" s="135">
        <v>0</v>
      </c>
      <c r="F32" s="135">
        <v>33020750</v>
      </c>
      <c r="G32" s="135">
        <v>11534250</v>
      </c>
      <c r="H32" s="135">
        <v>14641559</v>
      </c>
      <c r="I32" s="135">
        <v>1779889</v>
      </c>
      <c r="J32" s="135">
        <v>40500</v>
      </c>
      <c r="K32" s="135">
        <v>0</v>
      </c>
      <c r="L32" s="135">
        <v>266166685</v>
      </c>
      <c r="M32" s="135">
        <v>113644500</v>
      </c>
      <c r="N32" s="135">
        <v>1245</v>
      </c>
      <c r="O32" s="135">
        <v>386</v>
      </c>
      <c r="P32" s="135">
        <v>19182484</v>
      </c>
      <c r="Q32" s="135">
        <v>2494870</v>
      </c>
      <c r="R32" s="135">
        <v>432000</v>
      </c>
      <c r="S32" s="135">
        <v>506100</v>
      </c>
      <c r="T32" s="135">
        <v>33000</v>
      </c>
      <c r="U32" s="135">
        <v>0</v>
      </c>
      <c r="V32" s="135">
        <v>19182484</v>
      </c>
      <c r="W32" s="135">
        <v>105000</v>
      </c>
      <c r="X32" s="135">
        <v>432000</v>
      </c>
      <c r="Y32" s="135">
        <v>506100</v>
      </c>
      <c r="Z32" s="135">
        <v>0</v>
      </c>
      <c r="AA32" s="135">
        <v>0</v>
      </c>
      <c r="AB32" s="135">
        <v>1120450</v>
      </c>
      <c r="AC32" s="135">
        <v>0</v>
      </c>
      <c r="AD32" s="135">
        <v>71739</v>
      </c>
      <c r="AE32" s="135">
        <v>7845</v>
      </c>
      <c r="AF32" s="135">
        <v>10653260</v>
      </c>
      <c r="AG32" s="135">
        <v>129001</v>
      </c>
      <c r="AH32" s="135">
        <v>550000</v>
      </c>
      <c r="AI32" s="135">
        <v>0</v>
      </c>
      <c r="AJ32" s="135"/>
      <c r="AK32" s="135">
        <v>101635709</v>
      </c>
      <c r="AL32" s="135">
        <v>10767304</v>
      </c>
      <c r="AM32" s="135">
        <v>350000</v>
      </c>
      <c r="AN32" s="135">
        <v>5572210</v>
      </c>
      <c r="AO32" s="135">
        <v>118250</v>
      </c>
      <c r="AP32" s="135">
        <v>4512382</v>
      </c>
      <c r="AQ32" s="135">
        <v>6012608</v>
      </c>
      <c r="AR32" s="135">
        <v>1726259</v>
      </c>
      <c r="AS32" s="135"/>
      <c r="AT32" s="135">
        <v>802328</v>
      </c>
      <c r="AU32" s="135"/>
      <c r="AV32" s="135"/>
      <c r="AW32" s="135"/>
      <c r="AX32" s="135"/>
      <c r="AY32" s="135">
        <v>10000</v>
      </c>
      <c r="AZ32" s="135">
        <v>5441451.7199999997</v>
      </c>
      <c r="BA32" s="135">
        <v>2829555</v>
      </c>
      <c r="BB32" s="135">
        <v>0</v>
      </c>
      <c r="BC32" s="135">
        <v>327588</v>
      </c>
      <c r="BD32" s="135">
        <v>629978</v>
      </c>
      <c r="BE32" s="135">
        <v>3228794</v>
      </c>
      <c r="BF32" s="135">
        <v>3228794</v>
      </c>
      <c r="BG32" s="135">
        <v>20610347</v>
      </c>
      <c r="BH32" s="135">
        <v>19881923</v>
      </c>
      <c r="BI32" s="135">
        <v>0</v>
      </c>
      <c r="BJ32" s="135">
        <v>0</v>
      </c>
      <c r="BK32" s="135"/>
      <c r="BL32" s="135">
        <v>888203906</v>
      </c>
      <c r="BM32" s="135">
        <v>749533033</v>
      </c>
      <c r="BN32" s="135">
        <v>767550</v>
      </c>
      <c r="BO32" s="135"/>
      <c r="BP32" s="135">
        <v>737279965</v>
      </c>
      <c r="BQ32" s="135">
        <v>101635709</v>
      </c>
      <c r="BR32" s="135">
        <v>10767304</v>
      </c>
      <c r="BS32" s="135">
        <v>11703068</v>
      </c>
      <c r="BT32" s="135">
        <v>861386046</v>
      </c>
    </row>
    <row r="33" spans="1:72" x14ac:dyDescent="0.25">
      <c r="A33" s="149" t="s">
        <v>87</v>
      </c>
      <c r="B33" s="135">
        <v>73877291</v>
      </c>
      <c r="C33" s="135">
        <v>75286590</v>
      </c>
      <c r="D33" s="135">
        <v>21218193</v>
      </c>
      <c r="E33" s="135">
        <v>0</v>
      </c>
      <c r="F33" s="135">
        <v>8634977</v>
      </c>
      <c r="G33" s="135">
        <v>8760650</v>
      </c>
      <c r="H33" s="135">
        <v>11596770</v>
      </c>
      <c r="I33" s="135">
        <v>7360038</v>
      </c>
      <c r="J33" s="135">
        <v>40500</v>
      </c>
      <c r="K33" s="135">
        <v>0</v>
      </c>
      <c r="L33" s="135">
        <v>115199413</v>
      </c>
      <c r="M33" s="135">
        <v>54965299</v>
      </c>
      <c r="N33" s="135">
        <v>541</v>
      </c>
      <c r="O33" s="135">
        <v>485</v>
      </c>
      <c r="P33" s="135">
        <v>1847108</v>
      </c>
      <c r="Q33" s="135">
        <v>1916000</v>
      </c>
      <c r="R33" s="135">
        <v>124500</v>
      </c>
      <c r="S33" s="135">
        <v>816094</v>
      </c>
      <c r="T33" s="135">
        <v>2986744</v>
      </c>
      <c r="U33" s="135">
        <v>22616</v>
      </c>
      <c r="V33" s="135">
        <v>1847108</v>
      </c>
      <c r="W33" s="135">
        <v>2362544</v>
      </c>
      <c r="X33" s="135">
        <v>124500</v>
      </c>
      <c r="Y33" s="135">
        <v>816094</v>
      </c>
      <c r="Z33" s="135">
        <v>4001834</v>
      </c>
      <c r="AA33" s="135">
        <v>22616</v>
      </c>
      <c r="AB33" s="135">
        <v>-1605747</v>
      </c>
      <c r="AC33" s="135">
        <v>-361383</v>
      </c>
      <c r="AD33" s="135">
        <v>123329</v>
      </c>
      <c r="AE33" s="135">
        <v>7540</v>
      </c>
      <c r="AF33" s="135">
        <v>0</v>
      </c>
      <c r="AG33" s="135">
        <v>190559</v>
      </c>
      <c r="AH33" s="135">
        <v>670000</v>
      </c>
      <c r="AI33" s="135">
        <v>0</v>
      </c>
      <c r="AJ33" s="135">
        <v>23000</v>
      </c>
      <c r="AK33" s="135">
        <v>42512747</v>
      </c>
      <c r="AL33" s="135">
        <v>1256619</v>
      </c>
      <c r="AM33" s="135"/>
      <c r="AN33" s="135">
        <v>1962588</v>
      </c>
      <c r="AO33" s="135">
        <v>61367</v>
      </c>
      <c r="AP33" s="135">
        <v>219479</v>
      </c>
      <c r="AQ33" s="135">
        <v>1522368</v>
      </c>
      <c r="AR33" s="135">
        <v>27729</v>
      </c>
      <c r="AS33" s="135"/>
      <c r="AT33" s="135">
        <v>997348</v>
      </c>
      <c r="AU33" s="135"/>
      <c r="AV33" s="135"/>
      <c r="AW33" s="135"/>
      <c r="AX33" s="135">
        <v>8308</v>
      </c>
      <c r="AY33" s="135"/>
      <c r="AZ33" s="135">
        <v>2276080.5499999998</v>
      </c>
      <c r="BA33" s="135">
        <v>1183562</v>
      </c>
      <c r="BB33" s="135">
        <v>0</v>
      </c>
      <c r="BC33" s="135">
        <v>0</v>
      </c>
      <c r="BD33" s="135">
        <v>0</v>
      </c>
      <c r="BE33" s="135">
        <v>182086</v>
      </c>
      <c r="BF33" s="135">
        <v>182086</v>
      </c>
      <c r="BG33" s="135">
        <v>24367278</v>
      </c>
      <c r="BH33" s="135">
        <v>24362982</v>
      </c>
      <c r="BI33" s="135">
        <v>0</v>
      </c>
      <c r="BJ33" s="135">
        <v>0</v>
      </c>
      <c r="BK33" s="135"/>
      <c r="BL33" s="135">
        <v>244119393</v>
      </c>
      <c r="BM33" s="135">
        <v>174621397</v>
      </c>
      <c r="BN33" s="135">
        <v>54500</v>
      </c>
      <c r="BO33" s="135"/>
      <c r="BP33" s="135">
        <v>170382074</v>
      </c>
      <c r="BQ33" s="135">
        <v>42512747</v>
      </c>
      <c r="BR33" s="135">
        <v>1256619</v>
      </c>
      <c r="BS33" s="135">
        <v>3546323</v>
      </c>
      <c r="BT33" s="135">
        <v>217697763</v>
      </c>
    </row>
    <row r="34" spans="1:72" x14ac:dyDescent="0.25">
      <c r="A34" s="149" t="s">
        <v>88</v>
      </c>
      <c r="B34" s="135">
        <v>260248617</v>
      </c>
      <c r="C34" s="135">
        <v>123881400</v>
      </c>
      <c r="D34" s="135">
        <v>74058989</v>
      </c>
      <c r="E34" s="135">
        <v>0</v>
      </c>
      <c r="F34" s="135">
        <v>40041592</v>
      </c>
      <c r="G34" s="135">
        <v>11193435</v>
      </c>
      <c r="H34" s="135">
        <v>12129701</v>
      </c>
      <c r="I34" s="135">
        <v>2265100</v>
      </c>
      <c r="J34" s="135">
        <v>76500</v>
      </c>
      <c r="K34" s="135">
        <v>0</v>
      </c>
      <c r="L34" s="135">
        <v>89608987</v>
      </c>
      <c r="M34" s="135">
        <v>2372800</v>
      </c>
      <c r="N34" s="135">
        <v>1411</v>
      </c>
      <c r="O34" s="135">
        <v>393</v>
      </c>
      <c r="P34" s="135">
        <v>4408000</v>
      </c>
      <c r="Q34" s="135">
        <v>219000</v>
      </c>
      <c r="R34" s="135">
        <v>579500</v>
      </c>
      <c r="S34" s="135">
        <v>2983243</v>
      </c>
      <c r="T34" s="135">
        <v>5449385</v>
      </c>
      <c r="U34" s="135">
        <v>806000</v>
      </c>
      <c r="V34" s="135">
        <v>4408000</v>
      </c>
      <c r="W34" s="135">
        <v>219000</v>
      </c>
      <c r="X34" s="135">
        <v>579500</v>
      </c>
      <c r="Y34" s="135">
        <v>2983243</v>
      </c>
      <c r="Z34" s="135">
        <v>1626630</v>
      </c>
      <c r="AA34" s="135">
        <v>806000</v>
      </c>
      <c r="AB34" s="135">
        <v>-2452066</v>
      </c>
      <c r="AC34" s="135">
        <v>-60526</v>
      </c>
      <c r="AD34" s="135">
        <v>94088</v>
      </c>
      <c r="AE34" s="135">
        <v>11628</v>
      </c>
      <c r="AF34" s="135">
        <v>15306134</v>
      </c>
      <c r="AG34" s="135">
        <v>136039</v>
      </c>
      <c r="AH34" s="135">
        <v>1600000</v>
      </c>
      <c r="AI34" s="135">
        <v>35000</v>
      </c>
      <c r="AJ34" s="135"/>
      <c r="AK34" s="135">
        <v>99086986</v>
      </c>
      <c r="AL34" s="135">
        <v>2211358</v>
      </c>
      <c r="AM34" s="135"/>
      <c r="AN34" s="135">
        <v>8012117</v>
      </c>
      <c r="AO34" s="135">
        <v>1483044</v>
      </c>
      <c r="AP34" s="135">
        <v>3296681</v>
      </c>
      <c r="AQ34" s="135">
        <v>6314444</v>
      </c>
      <c r="AR34" s="135">
        <v>1435268</v>
      </c>
      <c r="AS34" s="135"/>
      <c r="AT34" s="135">
        <v>142172</v>
      </c>
      <c r="AU34" s="135"/>
      <c r="AV34" s="135"/>
      <c r="AW34" s="135"/>
      <c r="AX34" s="135">
        <v>258310</v>
      </c>
      <c r="AY34" s="135">
        <v>104000</v>
      </c>
      <c r="AZ34" s="135">
        <v>5304996.21</v>
      </c>
      <c r="BA34" s="135">
        <v>2758598</v>
      </c>
      <c r="BB34" s="135">
        <v>0</v>
      </c>
      <c r="BC34" s="135">
        <v>5307080</v>
      </c>
      <c r="BD34" s="135">
        <v>10205924</v>
      </c>
      <c r="BE34" s="135">
        <v>20096963</v>
      </c>
      <c r="BF34" s="135">
        <v>20096963</v>
      </c>
      <c r="BG34" s="135">
        <v>44348303</v>
      </c>
      <c r="BH34" s="135">
        <v>40633359</v>
      </c>
      <c r="BI34" s="135">
        <v>0</v>
      </c>
      <c r="BJ34" s="135">
        <v>0</v>
      </c>
      <c r="BK34" s="135"/>
      <c r="BL34" s="135">
        <v>645727955</v>
      </c>
      <c r="BM34" s="135">
        <v>475633611</v>
      </c>
      <c r="BN34" s="135">
        <v>1073000</v>
      </c>
      <c r="BO34" s="135"/>
      <c r="BP34" s="135">
        <v>458189006</v>
      </c>
      <c r="BQ34" s="135">
        <v>99086986</v>
      </c>
      <c r="BR34" s="135">
        <v>2211358</v>
      </c>
      <c r="BS34" s="135">
        <v>15809605</v>
      </c>
      <c r="BT34" s="135">
        <v>575296955</v>
      </c>
    </row>
    <row r="35" spans="1:72" x14ac:dyDescent="0.25">
      <c r="A35" s="149" t="s">
        <v>89</v>
      </c>
      <c r="B35" s="135">
        <v>22069257700</v>
      </c>
      <c r="C35" s="135">
        <v>792779400</v>
      </c>
      <c r="D35" s="135">
        <v>10095322800</v>
      </c>
      <c r="E35" s="135">
        <v>0</v>
      </c>
      <c r="F35" s="135">
        <v>883343300</v>
      </c>
      <c r="G35" s="135">
        <v>37492700</v>
      </c>
      <c r="H35" s="135">
        <v>13120400</v>
      </c>
      <c r="I35" s="135">
        <v>202500</v>
      </c>
      <c r="J35" s="135">
        <v>1377000</v>
      </c>
      <c r="K35" s="135">
        <v>81000</v>
      </c>
      <c r="L35" s="135">
        <v>1462768200</v>
      </c>
      <c r="M35" s="135">
        <v>483829800</v>
      </c>
      <c r="N35" s="135">
        <v>22289</v>
      </c>
      <c r="O35" s="135">
        <v>948</v>
      </c>
      <c r="P35" s="135">
        <v>267005300</v>
      </c>
      <c r="Q35" s="135">
        <v>13126100</v>
      </c>
      <c r="R35" s="135">
        <v>177050400</v>
      </c>
      <c r="S35" s="135">
        <v>115740900</v>
      </c>
      <c r="T35" s="135">
        <v>28726200</v>
      </c>
      <c r="U35" s="135">
        <v>50553700</v>
      </c>
      <c r="V35" s="135">
        <v>267005300</v>
      </c>
      <c r="W35" s="135">
        <v>27600700</v>
      </c>
      <c r="X35" s="135">
        <v>177050400</v>
      </c>
      <c r="Y35" s="135">
        <v>115740900</v>
      </c>
      <c r="Z35" s="135">
        <v>61642900</v>
      </c>
      <c r="AA35" s="135">
        <v>50553700</v>
      </c>
      <c r="AB35" s="135">
        <v>67478798</v>
      </c>
      <c r="AC35" s="135">
        <v>-16478529</v>
      </c>
      <c r="AD35" s="135">
        <v>0</v>
      </c>
      <c r="AE35" s="135">
        <v>0</v>
      </c>
      <c r="AF35" s="135">
        <v>0</v>
      </c>
      <c r="AG35" s="135">
        <v>109132.3306</v>
      </c>
      <c r="AH35" s="135">
        <v>0</v>
      </c>
      <c r="AI35" s="135">
        <v>409000</v>
      </c>
      <c r="AJ35" s="135"/>
      <c r="AK35" s="135">
        <v>2663543515</v>
      </c>
      <c r="AL35" s="135">
        <v>35678437</v>
      </c>
      <c r="AM35" s="135"/>
      <c r="AN35" s="135">
        <v>1003857418</v>
      </c>
      <c r="AO35" s="135">
        <v>42745926</v>
      </c>
      <c r="AP35" s="135">
        <v>546975398</v>
      </c>
      <c r="AQ35" s="135">
        <v>821651893</v>
      </c>
      <c r="AR35" s="135">
        <v>508087307</v>
      </c>
      <c r="AS35" s="135">
        <v>293315106</v>
      </c>
      <c r="AT35" s="135">
        <v>601213573</v>
      </c>
      <c r="AU35" s="135"/>
      <c r="AV35" s="135">
        <v>20841</v>
      </c>
      <c r="AW35" s="135"/>
      <c r="AX35" s="135">
        <v>4877807</v>
      </c>
      <c r="AY35" s="135">
        <v>97649653</v>
      </c>
      <c r="AZ35" s="135">
        <v>142602866.59999999</v>
      </c>
      <c r="BA35" s="135">
        <v>74153491</v>
      </c>
      <c r="BB35" s="135">
        <v>0</v>
      </c>
      <c r="BC35" s="135">
        <v>5990294</v>
      </c>
      <c r="BD35" s="135">
        <v>11519796</v>
      </c>
      <c r="BE35" s="135">
        <v>423779133</v>
      </c>
      <c r="BF35" s="135">
        <v>420133323</v>
      </c>
      <c r="BG35" s="135">
        <v>741983350</v>
      </c>
      <c r="BH35" s="135">
        <v>700004017</v>
      </c>
      <c r="BI35" s="135">
        <v>304423</v>
      </c>
      <c r="BJ35" s="135">
        <v>0</v>
      </c>
      <c r="BK35" s="135"/>
      <c r="BL35" s="135">
        <v>38725831637</v>
      </c>
      <c r="BM35" s="135">
        <v>34826024137</v>
      </c>
      <c r="BN35" s="135">
        <v>14309500</v>
      </c>
      <c r="BO35" s="135"/>
      <c r="BP35" s="135">
        <v>32957359900</v>
      </c>
      <c r="BQ35" s="135">
        <v>2663543515</v>
      </c>
      <c r="BR35" s="135">
        <v>35678437</v>
      </c>
      <c r="BS35" s="135">
        <v>2161570343</v>
      </c>
      <c r="BT35" s="135">
        <v>37818152195</v>
      </c>
    </row>
    <row r="36" spans="1:72" x14ac:dyDescent="0.25">
      <c r="A36" s="149" t="s">
        <v>90</v>
      </c>
      <c r="B36" s="135">
        <v>328521873</v>
      </c>
      <c r="C36" s="135">
        <v>223185483</v>
      </c>
      <c r="D36" s="135">
        <v>92518660</v>
      </c>
      <c r="E36" s="135">
        <v>0</v>
      </c>
      <c r="F36" s="135">
        <v>47859920</v>
      </c>
      <c r="G36" s="135">
        <v>8374000</v>
      </c>
      <c r="H36" s="135">
        <v>16771900</v>
      </c>
      <c r="I36" s="135">
        <v>1567500</v>
      </c>
      <c r="J36" s="135">
        <v>40500</v>
      </c>
      <c r="K36" s="135">
        <v>0</v>
      </c>
      <c r="L36" s="135">
        <v>292719364</v>
      </c>
      <c r="M36" s="135">
        <v>122836550</v>
      </c>
      <c r="N36" s="135">
        <v>1696</v>
      </c>
      <c r="O36" s="135">
        <v>274</v>
      </c>
      <c r="P36" s="135">
        <v>2905900</v>
      </c>
      <c r="Q36" s="135">
        <v>4053100</v>
      </c>
      <c r="R36" s="135">
        <v>1493500</v>
      </c>
      <c r="S36" s="135">
        <v>1534300</v>
      </c>
      <c r="T36" s="135">
        <v>761150</v>
      </c>
      <c r="U36" s="135">
        <v>687500</v>
      </c>
      <c r="V36" s="135">
        <v>2905900</v>
      </c>
      <c r="W36" s="135">
        <v>4333100</v>
      </c>
      <c r="X36" s="135">
        <v>1493500</v>
      </c>
      <c r="Y36" s="135">
        <v>1534300</v>
      </c>
      <c r="Z36" s="135">
        <v>1191000</v>
      </c>
      <c r="AA36" s="135">
        <v>687500</v>
      </c>
      <c r="AB36" s="135">
        <v>-668520</v>
      </c>
      <c r="AC36" s="135">
        <v>-146419</v>
      </c>
      <c r="AD36" s="135">
        <v>51957</v>
      </c>
      <c r="AE36" s="135">
        <v>100898</v>
      </c>
      <c r="AF36" s="135">
        <v>93233160</v>
      </c>
      <c r="AG36" s="135">
        <v>217850</v>
      </c>
      <c r="AH36" s="135">
        <v>0</v>
      </c>
      <c r="AI36" s="135">
        <v>65000</v>
      </c>
      <c r="AJ36" s="135"/>
      <c r="AK36" s="135">
        <v>143066617</v>
      </c>
      <c r="AL36" s="135">
        <v>2370889</v>
      </c>
      <c r="AM36" s="135"/>
      <c r="AN36" s="135">
        <v>25119074</v>
      </c>
      <c r="AO36" s="135">
        <v>3235865</v>
      </c>
      <c r="AP36" s="135">
        <v>40242803</v>
      </c>
      <c r="AQ36" s="135">
        <v>23439500</v>
      </c>
      <c r="AR36" s="135">
        <v>12518061</v>
      </c>
      <c r="AS36" s="135">
        <v>1251366</v>
      </c>
      <c r="AT36" s="135">
        <v>241766</v>
      </c>
      <c r="AU36" s="135"/>
      <c r="AV36" s="135"/>
      <c r="AW36" s="135">
        <v>1494765</v>
      </c>
      <c r="AX36" s="135">
        <v>17588</v>
      </c>
      <c r="AY36" s="135">
        <v>60000</v>
      </c>
      <c r="AZ36" s="135">
        <v>7659611.9400000004</v>
      </c>
      <c r="BA36" s="135">
        <v>3982998</v>
      </c>
      <c r="BB36" s="135">
        <v>0</v>
      </c>
      <c r="BC36" s="135">
        <v>659604</v>
      </c>
      <c r="BD36" s="135">
        <v>1268469</v>
      </c>
      <c r="BE36" s="135">
        <v>18498590</v>
      </c>
      <c r="BF36" s="135">
        <v>18498590</v>
      </c>
      <c r="BG36" s="135">
        <v>37136242</v>
      </c>
      <c r="BH36" s="135">
        <v>36722752</v>
      </c>
      <c r="BI36" s="135">
        <v>0</v>
      </c>
      <c r="BJ36" s="135">
        <v>0</v>
      </c>
      <c r="BK36" s="135"/>
      <c r="BL36" s="135">
        <v>901386905</v>
      </c>
      <c r="BM36" s="135">
        <v>696085455</v>
      </c>
      <c r="BN36" s="135">
        <v>913050</v>
      </c>
      <c r="BO36" s="135"/>
      <c r="BP36" s="135">
        <v>644226016</v>
      </c>
      <c r="BQ36" s="135">
        <v>143066617</v>
      </c>
      <c r="BR36" s="135">
        <v>2370889</v>
      </c>
      <c r="BS36" s="135">
        <v>53045805</v>
      </c>
      <c r="BT36" s="135">
        <v>842709327</v>
      </c>
    </row>
    <row r="37" spans="1:72" x14ac:dyDescent="0.25">
      <c r="A37" s="149" t="s">
        <v>91</v>
      </c>
      <c r="B37" s="135">
        <v>676969902</v>
      </c>
      <c r="C37" s="135">
        <v>141757597</v>
      </c>
      <c r="D37" s="135">
        <v>288275086</v>
      </c>
      <c r="E37" s="135">
        <v>0</v>
      </c>
      <c r="F37" s="135">
        <v>86926250</v>
      </c>
      <c r="G37" s="135">
        <v>85814850</v>
      </c>
      <c r="H37" s="135">
        <v>17982550</v>
      </c>
      <c r="I37" s="135">
        <v>10905300</v>
      </c>
      <c r="J37" s="135">
        <v>351000</v>
      </c>
      <c r="K37" s="135">
        <v>151500</v>
      </c>
      <c r="L37" s="135">
        <v>89141199</v>
      </c>
      <c r="M37" s="135">
        <v>62314677</v>
      </c>
      <c r="N37" s="135">
        <v>2916</v>
      </c>
      <c r="O37" s="135">
        <v>2998</v>
      </c>
      <c r="P37" s="135">
        <v>8325480</v>
      </c>
      <c r="Q37" s="135">
        <v>84000</v>
      </c>
      <c r="R37" s="135">
        <v>322000</v>
      </c>
      <c r="S37" s="135">
        <v>3735250</v>
      </c>
      <c r="T37" s="135">
        <v>116000</v>
      </c>
      <c r="U37" s="135">
        <v>693000</v>
      </c>
      <c r="V37" s="135">
        <v>8325480</v>
      </c>
      <c r="W37" s="135">
        <v>84000</v>
      </c>
      <c r="X37" s="135">
        <v>322000</v>
      </c>
      <c r="Y37" s="135">
        <v>3735250</v>
      </c>
      <c r="Z37" s="135">
        <v>116000</v>
      </c>
      <c r="AA37" s="135">
        <v>693000</v>
      </c>
      <c r="AB37" s="135">
        <v>-7800950</v>
      </c>
      <c r="AC37" s="135">
        <v>0</v>
      </c>
      <c r="AD37" s="135">
        <v>183803</v>
      </c>
      <c r="AE37" s="135">
        <v>93</v>
      </c>
      <c r="AF37" s="135">
        <v>0</v>
      </c>
      <c r="AG37" s="135">
        <v>273862</v>
      </c>
      <c r="AH37" s="135">
        <v>1400000</v>
      </c>
      <c r="AI37" s="135">
        <v>25500900</v>
      </c>
      <c r="AJ37" s="135">
        <v>4642704.9180327877</v>
      </c>
      <c r="AK37" s="135">
        <v>320147129</v>
      </c>
      <c r="AL37" s="135">
        <v>9910175</v>
      </c>
      <c r="AM37" s="135"/>
      <c r="AN37" s="135">
        <v>49618296</v>
      </c>
      <c r="AO37" s="135">
        <v>3754510</v>
      </c>
      <c r="AP37" s="135">
        <v>97110157</v>
      </c>
      <c r="AQ37" s="135">
        <v>53906804</v>
      </c>
      <c r="AR37" s="135">
        <v>22790971</v>
      </c>
      <c r="AS37" s="135">
        <v>857184</v>
      </c>
      <c r="AT37" s="135">
        <v>0</v>
      </c>
      <c r="AU37" s="135">
        <v>0</v>
      </c>
      <c r="AV37" s="135">
        <v>0</v>
      </c>
      <c r="AW37" s="135">
        <v>0</v>
      </c>
      <c r="AX37" s="135">
        <v>1112</v>
      </c>
      <c r="AY37" s="135">
        <v>0</v>
      </c>
      <c r="AZ37" s="135">
        <v>17140286.27</v>
      </c>
      <c r="BA37" s="135">
        <v>8912949</v>
      </c>
      <c r="BB37" s="135">
        <v>0</v>
      </c>
      <c r="BC37" s="135">
        <v>5627291</v>
      </c>
      <c r="BD37" s="135">
        <v>10821713</v>
      </c>
      <c r="BE37" s="135">
        <v>93827623</v>
      </c>
      <c r="BF37" s="135">
        <v>93827623</v>
      </c>
      <c r="BG37" s="135">
        <v>207351801</v>
      </c>
      <c r="BH37" s="135">
        <v>201934973</v>
      </c>
      <c r="BI37" s="135">
        <v>0</v>
      </c>
      <c r="BJ37" s="135">
        <v>0</v>
      </c>
      <c r="BK37" s="135"/>
      <c r="BL37" s="135">
        <v>1886185939.9180329</v>
      </c>
      <c r="BM37" s="135">
        <v>1245825799.9180329</v>
      </c>
      <c r="BN37" s="135">
        <v>14803000</v>
      </c>
      <c r="BO37" s="135"/>
      <c r="BP37" s="135">
        <v>1107002585</v>
      </c>
      <c r="BQ37" s="135">
        <v>320147129</v>
      </c>
      <c r="BR37" s="135">
        <v>9910175</v>
      </c>
      <c r="BS37" s="135">
        <v>108136794</v>
      </c>
      <c r="BT37" s="135">
        <v>1545196683</v>
      </c>
    </row>
    <row r="38" spans="1:72" x14ac:dyDescent="0.25">
      <c r="A38" s="149" t="s">
        <v>92</v>
      </c>
      <c r="B38" s="135">
        <v>2365320578</v>
      </c>
      <c r="C38" s="135">
        <v>224253609</v>
      </c>
      <c r="D38" s="135">
        <v>1084355225</v>
      </c>
      <c r="E38" s="135">
        <v>0</v>
      </c>
      <c r="F38" s="135">
        <v>192143000</v>
      </c>
      <c r="G38" s="135">
        <v>11139000</v>
      </c>
      <c r="H38" s="135">
        <v>13662495</v>
      </c>
      <c r="I38" s="135">
        <v>504744</v>
      </c>
      <c r="J38" s="135">
        <v>323000</v>
      </c>
      <c r="K38" s="135">
        <v>40500</v>
      </c>
      <c r="L38" s="135">
        <v>180379988</v>
      </c>
      <c r="M38" s="135">
        <v>172282135</v>
      </c>
      <c r="N38" s="135">
        <v>5092</v>
      </c>
      <c r="O38" s="135">
        <v>291</v>
      </c>
      <c r="P38" s="135">
        <v>30294236</v>
      </c>
      <c r="Q38" s="135">
        <v>5650929</v>
      </c>
      <c r="R38" s="135">
        <v>21249256</v>
      </c>
      <c r="S38" s="135">
        <v>2947932</v>
      </c>
      <c r="T38" s="135">
        <v>1810979</v>
      </c>
      <c r="U38" s="135">
        <v>17064021</v>
      </c>
      <c r="V38" s="135">
        <v>30294236</v>
      </c>
      <c r="W38" s="135">
        <v>6235600</v>
      </c>
      <c r="X38" s="135">
        <v>21249256</v>
      </c>
      <c r="Y38" s="135">
        <v>2947932</v>
      </c>
      <c r="Z38" s="135">
        <v>4092359</v>
      </c>
      <c r="AA38" s="135">
        <v>17064021</v>
      </c>
      <c r="AB38" s="135">
        <v>731988</v>
      </c>
      <c r="AC38" s="135">
        <v>2936720</v>
      </c>
      <c r="AD38" s="135">
        <v>0</v>
      </c>
      <c r="AE38" s="135">
        <v>0</v>
      </c>
      <c r="AF38" s="135">
        <v>0</v>
      </c>
      <c r="AG38" s="135"/>
      <c r="AH38" s="135">
        <v>0</v>
      </c>
      <c r="AI38" s="135">
        <v>594669</v>
      </c>
      <c r="AJ38" s="135"/>
      <c r="AK38" s="135">
        <v>410603692</v>
      </c>
      <c r="AL38" s="135">
        <v>12920579</v>
      </c>
      <c r="AM38" s="135">
        <v>44316</v>
      </c>
      <c r="AN38" s="135">
        <v>126217903</v>
      </c>
      <c r="AO38" s="135">
        <v>8407058</v>
      </c>
      <c r="AP38" s="135">
        <v>266244046</v>
      </c>
      <c r="AQ38" s="135">
        <v>84165156</v>
      </c>
      <c r="AR38" s="135">
        <v>171206575</v>
      </c>
      <c r="AS38" s="135">
        <v>106002853</v>
      </c>
      <c r="AT38" s="135">
        <v>1120148</v>
      </c>
      <c r="AU38" s="135"/>
      <c r="AV38" s="135"/>
      <c r="AW38" s="135">
        <v>28070</v>
      </c>
      <c r="AX38" s="135">
        <v>75554</v>
      </c>
      <c r="AY38" s="135">
        <v>1204685</v>
      </c>
      <c r="AZ38" s="135">
        <v>21983220.170000002</v>
      </c>
      <c r="BA38" s="135">
        <v>11431274</v>
      </c>
      <c r="BB38" s="135">
        <v>5455523.2826424865</v>
      </c>
      <c r="BC38" s="135">
        <v>1269036</v>
      </c>
      <c r="BD38" s="135">
        <v>2440454</v>
      </c>
      <c r="BE38" s="135">
        <v>78023413</v>
      </c>
      <c r="BF38" s="135">
        <v>77630656</v>
      </c>
      <c r="BG38" s="135">
        <v>54692484</v>
      </c>
      <c r="BH38" s="135">
        <v>52526642</v>
      </c>
      <c r="BI38" s="135">
        <v>416878391</v>
      </c>
      <c r="BJ38" s="135">
        <v>0</v>
      </c>
      <c r="BK38" s="135"/>
      <c r="BL38" s="135">
        <v>4876574468</v>
      </c>
      <c r="BM38" s="135">
        <v>3893314198</v>
      </c>
      <c r="BN38" s="135">
        <v>5870536</v>
      </c>
      <c r="BO38" s="135"/>
      <c r="BP38" s="135">
        <v>3673929412</v>
      </c>
      <c r="BQ38" s="135">
        <v>410603692</v>
      </c>
      <c r="BR38" s="135">
        <v>12920579</v>
      </c>
      <c r="BS38" s="135">
        <v>324792970</v>
      </c>
      <c r="BT38" s="135">
        <v>4422246653</v>
      </c>
    </row>
    <row r="39" spans="1:72" x14ac:dyDescent="0.25">
      <c r="A39" s="149" t="s">
        <v>93</v>
      </c>
      <c r="B39" s="135">
        <v>80258944</v>
      </c>
      <c r="C39" s="135">
        <v>76976163</v>
      </c>
      <c r="D39" s="135">
        <v>67501257</v>
      </c>
      <c r="E39" s="135">
        <v>0</v>
      </c>
      <c r="F39" s="135">
        <v>24190886</v>
      </c>
      <c r="G39" s="135">
        <v>2873514</v>
      </c>
      <c r="H39" s="135">
        <v>3466823</v>
      </c>
      <c r="I39" s="135">
        <v>109104</v>
      </c>
      <c r="J39" s="135">
        <v>0</v>
      </c>
      <c r="K39" s="135">
        <v>0</v>
      </c>
      <c r="L39" s="135">
        <v>389006216</v>
      </c>
      <c r="M39" s="135">
        <v>16159586</v>
      </c>
      <c r="N39" s="135">
        <v>776</v>
      </c>
      <c r="O39" s="135">
        <v>96</v>
      </c>
      <c r="P39" s="135">
        <v>1089300</v>
      </c>
      <c r="Q39" s="135">
        <v>125324</v>
      </c>
      <c r="R39" s="135">
        <v>2962251</v>
      </c>
      <c r="S39" s="135">
        <v>1974080</v>
      </c>
      <c r="T39" s="135">
        <v>726753</v>
      </c>
      <c r="U39" s="135">
        <v>469365</v>
      </c>
      <c r="V39" s="135">
        <v>1089300</v>
      </c>
      <c r="W39" s="135">
        <v>431500</v>
      </c>
      <c r="X39" s="135">
        <v>2962251</v>
      </c>
      <c r="Y39" s="135">
        <v>1974080</v>
      </c>
      <c r="Z39" s="135">
        <v>3359950</v>
      </c>
      <c r="AA39" s="135">
        <v>469365</v>
      </c>
      <c r="AB39" s="135">
        <v>-479472</v>
      </c>
      <c r="AC39" s="135">
        <v>-37351</v>
      </c>
      <c r="AD39" s="135">
        <v>30869</v>
      </c>
      <c r="AE39" s="135">
        <v>45840</v>
      </c>
      <c r="AF39" s="135">
        <v>27654051</v>
      </c>
      <c r="AG39" s="135">
        <v>120568</v>
      </c>
      <c r="AH39" s="135">
        <v>0</v>
      </c>
      <c r="AI39" s="135">
        <v>0</v>
      </c>
      <c r="AJ39" s="135"/>
      <c r="AK39" s="135">
        <v>41951122</v>
      </c>
      <c r="AL39" s="135">
        <v>924071</v>
      </c>
      <c r="AM39" s="135"/>
      <c r="AN39" s="135">
        <v>16485972</v>
      </c>
      <c r="AO39" s="135">
        <v>4622109</v>
      </c>
      <c r="AP39" s="135">
        <v>67539018</v>
      </c>
      <c r="AQ39" s="135">
        <v>17353342</v>
      </c>
      <c r="AR39" s="135">
        <v>66521075</v>
      </c>
      <c r="AS39" s="135">
        <v>4028126</v>
      </c>
      <c r="AT39" s="135">
        <v>2725637</v>
      </c>
      <c r="AU39" s="135"/>
      <c r="AV39" s="135"/>
      <c r="AW39" s="135">
        <v>7974349</v>
      </c>
      <c r="AX39" s="135"/>
      <c r="AY39" s="135">
        <v>183400</v>
      </c>
      <c r="AZ39" s="135">
        <v>2246011.83</v>
      </c>
      <c r="BA39" s="135">
        <v>1167926</v>
      </c>
      <c r="BB39" s="135">
        <v>63776827.020310879</v>
      </c>
      <c r="BC39" s="135">
        <v>3067084</v>
      </c>
      <c r="BD39" s="135">
        <v>5898238</v>
      </c>
      <c r="BE39" s="135">
        <v>14834112</v>
      </c>
      <c r="BF39" s="135">
        <v>14834112</v>
      </c>
      <c r="BG39" s="135">
        <v>31755940</v>
      </c>
      <c r="BH39" s="135">
        <v>22514491</v>
      </c>
      <c r="BI39" s="135">
        <v>0</v>
      </c>
      <c r="BJ39" s="135">
        <v>4019470</v>
      </c>
      <c r="BK39" s="135"/>
      <c r="BL39" s="135">
        <v>351676063</v>
      </c>
      <c r="BM39" s="135">
        <v>263197787</v>
      </c>
      <c r="BN39" s="135">
        <v>1135923</v>
      </c>
      <c r="BO39" s="135"/>
      <c r="BP39" s="135">
        <v>224736364</v>
      </c>
      <c r="BQ39" s="135">
        <v>41951122</v>
      </c>
      <c r="BR39" s="135">
        <v>924071</v>
      </c>
      <c r="BS39" s="135">
        <v>42489549</v>
      </c>
      <c r="BT39" s="135">
        <v>310101106</v>
      </c>
    </row>
    <row r="40" spans="1:72" x14ac:dyDescent="0.25">
      <c r="A40" s="149" t="s">
        <v>94</v>
      </c>
      <c r="B40" s="135">
        <v>290715366</v>
      </c>
      <c r="C40" s="135">
        <v>71758332</v>
      </c>
      <c r="D40" s="135">
        <v>120319286</v>
      </c>
      <c r="E40" s="135">
        <v>142553829</v>
      </c>
      <c r="F40" s="135">
        <v>20833115</v>
      </c>
      <c r="G40" s="135">
        <v>3721974</v>
      </c>
      <c r="H40" s="135">
        <v>4643300</v>
      </c>
      <c r="I40" s="135">
        <v>580710</v>
      </c>
      <c r="J40" s="135">
        <v>0</v>
      </c>
      <c r="K40" s="135">
        <v>40500</v>
      </c>
      <c r="L40" s="135">
        <v>129258466</v>
      </c>
      <c r="M40" s="135">
        <v>57716244</v>
      </c>
      <c r="N40" s="135">
        <v>640</v>
      </c>
      <c r="O40" s="135">
        <v>115</v>
      </c>
      <c r="P40" s="135">
        <v>3491364</v>
      </c>
      <c r="Q40" s="135">
        <v>2147278</v>
      </c>
      <c r="R40" s="135">
        <v>1063496</v>
      </c>
      <c r="S40" s="135">
        <v>1679934</v>
      </c>
      <c r="T40" s="135">
        <v>898392</v>
      </c>
      <c r="U40" s="135">
        <v>100985</v>
      </c>
      <c r="V40" s="135">
        <v>3491364</v>
      </c>
      <c r="W40" s="135">
        <v>2818442</v>
      </c>
      <c r="X40" s="135">
        <v>1063496</v>
      </c>
      <c r="Y40" s="135">
        <v>1679934</v>
      </c>
      <c r="Z40" s="135">
        <v>1761886</v>
      </c>
      <c r="AA40" s="135">
        <v>100985</v>
      </c>
      <c r="AB40" s="135">
        <v>-1017481</v>
      </c>
      <c r="AC40" s="135">
        <v>1139428</v>
      </c>
      <c r="AD40" s="135">
        <v>25391</v>
      </c>
      <c r="AE40" s="135">
        <v>0</v>
      </c>
      <c r="AF40" s="135">
        <v>0</v>
      </c>
      <c r="AG40" s="135">
        <v>45855</v>
      </c>
      <c r="AH40" s="135">
        <v>0</v>
      </c>
      <c r="AI40" s="135">
        <v>2223960</v>
      </c>
      <c r="AJ40" s="135"/>
      <c r="AK40" s="135">
        <v>80032415</v>
      </c>
      <c r="AL40" s="135">
        <v>3709672</v>
      </c>
      <c r="AM40" s="135">
        <v>151000</v>
      </c>
      <c r="AN40" s="135">
        <v>76558236</v>
      </c>
      <c r="AO40" s="135">
        <v>2742999</v>
      </c>
      <c r="AP40" s="135">
        <v>436088302</v>
      </c>
      <c r="AQ40" s="135">
        <v>115580004</v>
      </c>
      <c r="AR40" s="135">
        <v>237651030</v>
      </c>
      <c r="AS40" s="135">
        <v>60435772</v>
      </c>
      <c r="AT40" s="135">
        <v>26644</v>
      </c>
      <c r="AU40" s="135"/>
      <c r="AV40" s="135"/>
      <c r="AW40" s="135">
        <v>39263311</v>
      </c>
      <c r="AX40" s="135">
        <v>17664527</v>
      </c>
      <c r="AY40" s="135"/>
      <c r="AZ40" s="135">
        <v>4284837.75</v>
      </c>
      <c r="BA40" s="135">
        <v>2228116</v>
      </c>
      <c r="BB40" s="135">
        <v>25904936.361450776</v>
      </c>
      <c r="BC40" s="135">
        <v>848484</v>
      </c>
      <c r="BD40" s="135">
        <v>1631699</v>
      </c>
      <c r="BE40" s="135">
        <v>4713499</v>
      </c>
      <c r="BF40" s="135">
        <v>4713499</v>
      </c>
      <c r="BG40" s="135">
        <v>35613328</v>
      </c>
      <c r="BH40" s="135">
        <v>34231965</v>
      </c>
      <c r="BI40" s="135">
        <v>167744</v>
      </c>
      <c r="BJ40" s="135">
        <v>0</v>
      </c>
      <c r="BK40" s="135"/>
      <c r="BL40" s="135">
        <v>805830078</v>
      </c>
      <c r="BM40" s="135">
        <v>679898183</v>
      </c>
      <c r="BN40" s="135">
        <v>470498</v>
      </c>
      <c r="BO40" s="135"/>
      <c r="BP40" s="135">
        <v>482792984</v>
      </c>
      <c r="BQ40" s="135">
        <v>80032415</v>
      </c>
      <c r="BR40" s="135">
        <v>3709672</v>
      </c>
      <c r="BS40" s="135">
        <v>255317011</v>
      </c>
      <c r="BT40" s="135">
        <v>821852082</v>
      </c>
    </row>
    <row r="41" spans="1:72" x14ac:dyDescent="0.25">
      <c r="A41" s="149" t="s">
        <v>95</v>
      </c>
      <c r="B41" s="135">
        <v>644339245</v>
      </c>
      <c r="C41" s="135">
        <v>153867908</v>
      </c>
      <c r="D41" s="135">
        <v>74968413</v>
      </c>
      <c r="E41" s="135">
        <v>0</v>
      </c>
      <c r="F41" s="135">
        <v>57780600</v>
      </c>
      <c r="G41" s="135">
        <v>9788300</v>
      </c>
      <c r="H41" s="135">
        <v>14784200</v>
      </c>
      <c r="I41" s="135">
        <v>1685000</v>
      </c>
      <c r="J41" s="135">
        <v>151500</v>
      </c>
      <c r="K41" s="135">
        <v>40500</v>
      </c>
      <c r="L41" s="135">
        <v>278256047</v>
      </c>
      <c r="M41" s="135">
        <v>112392000</v>
      </c>
      <c r="N41" s="135">
        <v>1831</v>
      </c>
      <c r="O41" s="135">
        <v>300</v>
      </c>
      <c r="P41" s="135">
        <v>10329000</v>
      </c>
      <c r="Q41" s="135">
        <v>2400000</v>
      </c>
      <c r="R41" s="135">
        <v>325000</v>
      </c>
      <c r="S41" s="135">
        <v>2468277</v>
      </c>
      <c r="T41" s="135">
        <v>704900</v>
      </c>
      <c r="U41" s="135">
        <v>1342850</v>
      </c>
      <c r="V41" s="135">
        <v>10329000</v>
      </c>
      <c r="W41" s="135">
        <v>2845000</v>
      </c>
      <c r="X41" s="135">
        <v>325000</v>
      </c>
      <c r="Y41" s="135">
        <v>2468277</v>
      </c>
      <c r="Z41" s="135">
        <v>1653600</v>
      </c>
      <c r="AA41" s="135">
        <v>1342850</v>
      </c>
      <c r="AB41" s="135">
        <v>-3200515</v>
      </c>
      <c r="AC41" s="135">
        <v>-78326</v>
      </c>
      <c r="AD41" s="135">
        <v>0</v>
      </c>
      <c r="AE41" s="135">
        <v>0</v>
      </c>
      <c r="AF41" s="135">
        <v>0</v>
      </c>
      <c r="AG41" s="135">
        <v>156969</v>
      </c>
      <c r="AH41" s="135">
        <v>450000</v>
      </c>
      <c r="AI41" s="135">
        <v>93211</v>
      </c>
      <c r="AJ41" s="135"/>
      <c r="AK41" s="135">
        <v>164997653</v>
      </c>
      <c r="AL41" s="135">
        <v>12516378</v>
      </c>
      <c r="AM41" s="135">
        <v>77760</v>
      </c>
      <c r="AN41" s="135">
        <v>13281058</v>
      </c>
      <c r="AO41" s="135">
        <v>356485</v>
      </c>
      <c r="AP41" s="135">
        <v>8331519</v>
      </c>
      <c r="AQ41" s="135">
        <v>8043722</v>
      </c>
      <c r="AR41" s="135">
        <v>5629912</v>
      </c>
      <c r="AS41" s="135">
        <v>1409753</v>
      </c>
      <c r="AT41" s="135">
        <v>1203075</v>
      </c>
      <c r="AU41" s="135"/>
      <c r="AV41" s="135"/>
      <c r="AW41" s="135">
        <v>3000</v>
      </c>
      <c r="AX41" s="135">
        <v>599540</v>
      </c>
      <c r="AY41" s="135"/>
      <c r="AZ41" s="135">
        <v>8833772.8200000003</v>
      </c>
      <c r="BA41" s="135">
        <v>4593562</v>
      </c>
      <c r="BB41" s="135">
        <v>0</v>
      </c>
      <c r="BC41" s="135">
        <v>0</v>
      </c>
      <c r="BD41" s="135">
        <v>0</v>
      </c>
      <c r="BE41" s="135">
        <v>36297387</v>
      </c>
      <c r="BF41" s="135">
        <v>36297387</v>
      </c>
      <c r="BG41" s="135">
        <v>58539686</v>
      </c>
      <c r="BH41" s="135">
        <v>58539686</v>
      </c>
      <c r="BI41" s="135">
        <v>0</v>
      </c>
      <c r="BJ41" s="135">
        <v>0</v>
      </c>
      <c r="BK41" s="135"/>
      <c r="BL41" s="135">
        <v>1172344708</v>
      </c>
      <c r="BM41" s="135">
        <v>895400042</v>
      </c>
      <c r="BN41" s="135">
        <v>767750</v>
      </c>
      <c r="BO41" s="135"/>
      <c r="BP41" s="135">
        <v>873175566</v>
      </c>
      <c r="BQ41" s="135">
        <v>164997653</v>
      </c>
      <c r="BR41" s="135">
        <v>12516378</v>
      </c>
      <c r="BS41" s="135">
        <v>23091018</v>
      </c>
      <c r="BT41" s="135">
        <v>1073780615</v>
      </c>
    </row>
    <row r="42" spans="1:72" x14ac:dyDescent="0.25">
      <c r="A42" s="149" t="s">
        <v>96</v>
      </c>
      <c r="B42" s="135">
        <v>766003871</v>
      </c>
      <c r="C42" s="135">
        <v>267505913</v>
      </c>
      <c r="D42" s="135">
        <v>338033416</v>
      </c>
      <c r="E42" s="135">
        <v>2977643</v>
      </c>
      <c r="F42" s="135">
        <v>53063005</v>
      </c>
      <c r="G42" s="135">
        <v>8167900</v>
      </c>
      <c r="H42" s="135">
        <v>22798400</v>
      </c>
      <c r="I42" s="135">
        <v>2281800</v>
      </c>
      <c r="J42" s="135">
        <v>202500</v>
      </c>
      <c r="K42" s="135">
        <v>40500</v>
      </c>
      <c r="L42" s="135">
        <v>330675085</v>
      </c>
      <c r="M42" s="135">
        <v>225186223</v>
      </c>
      <c r="N42" s="135">
        <v>1887</v>
      </c>
      <c r="O42" s="135">
        <v>269</v>
      </c>
      <c r="P42" s="135">
        <v>13169108</v>
      </c>
      <c r="Q42" s="135">
        <v>4187700</v>
      </c>
      <c r="R42" s="135">
        <v>4161000</v>
      </c>
      <c r="S42" s="135">
        <v>4301731</v>
      </c>
      <c r="T42" s="135">
        <v>2648795</v>
      </c>
      <c r="U42" s="135">
        <v>1552950</v>
      </c>
      <c r="V42" s="135">
        <v>13169108</v>
      </c>
      <c r="W42" s="135">
        <v>4937700</v>
      </c>
      <c r="X42" s="135">
        <v>4161000</v>
      </c>
      <c r="Y42" s="135">
        <v>4301731</v>
      </c>
      <c r="Z42" s="135">
        <v>1158506</v>
      </c>
      <c r="AA42" s="135">
        <v>1552950</v>
      </c>
      <c r="AB42" s="135">
        <v>-3575800</v>
      </c>
      <c r="AC42" s="135">
        <v>-67538</v>
      </c>
      <c r="AD42" s="135">
        <v>74602</v>
      </c>
      <c r="AE42" s="135">
        <v>21</v>
      </c>
      <c r="AF42" s="135">
        <v>0</v>
      </c>
      <c r="AG42" s="135">
        <v>143352</v>
      </c>
      <c r="AH42" s="135">
        <v>0</v>
      </c>
      <c r="AI42" s="135">
        <v>0</v>
      </c>
      <c r="AJ42" s="135"/>
      <c r="AK42" s="135">
        <v>218502989</v>
      </c>
      <c r="AL42" s="135">
        <v>6949263</v>
      </c>
      <c r="AM42" s="135"/>
      <c r="AN42" s="135">
        <v>28376621</v>
      </c>
      <c r="AO42" s="135">
        <v>1296080</v>
      </c>
      <c r="AP42" s="135">
        <v>86032367</v>
      </c>
      <c r="AQ42" s="135">
        <v>41933835</v>
      </c>
      <c r="AR42" s="135">
        <v>78553231</v>
      </c>
      <c r="AS42" s="135">
        <v>504684</v>
      </c>
      <c r="AT42" s="135">
        <v>365852</v>
      </c>
      <c r="AU42" s="135"/>
      <c r="AV42" s="135"/>
      <c r="AW42" s="135"/>
      <c r="AX42" s="135"/>
      <c r="AY42" s="135"/>
      <c r="AZ42" s="135">
        <v>11698383.16</v>
      </c>
      <c r="BA42" s="135">
        <v>6083159</v>
      </c>
      <c r="BB42" s="135">
        <v>0</v>
      </c>
      <c r="BC42" s="135">
        <v>3059706</v>
      </c>
      <c r="BD42" s="135">
        <v>5884049</v>
      </c>
      <c r="BE42" s="135">
        <v>62422777</v>
      </c>
      <c r="BF42" s="135">
        <v>62422777</v>
      </c>
      <c r="BG42" s="135">
        <v>82198719</v>
      </c>
      <c r="BH42" s="135">
        <v>72868056</v>
      </c>
      <c r="BI42" s="135">
        <v>46835878</v>
      </c>
      <c r="BJ42" s="135">
        <v>0</v>
      </c>
      <c r="BK42" s="135"/>
      <c r="BL42" s="135">
        <v>1859871564</v>
      </c>
      <c r="BM42" s="135">
        <v>1443149736</v>
      </c>
      <c r="BN42" s="135">
        <v>1610600</v>
      </c>
      <c r="BO42" s="135"/>
      <c r="BP42" s="135">
        <v>1371543200</v>
      </c>
      <c r="BQ42" s="135">
        <v>218502989</v>
      </c>
      <c r="BR42" s="135">
        <v>6949263</v>
      </c>
      <c r="BS42" s="135">
        <v>72111220</v>
      </c>
      <c r="BT42" s="135">
        <v>1669106672</v>
      </c>
    </row>
    <row r="43" spans="1:72" x14ac:dyDescent="0.25">
      <c r="A43" s="149" t="s">
        <v>97</v>
      </c>
      <c r="B43" s="135">
        <v>977617810</v>
      </c>
      <c r="C43" s="135">
        <v>480087364</v>
      </c>
      <c r="D43" s="135">
        <v>350789118</v>
      </c>
      <c r="E43" s="135">
        <v>37566659</v>
      </c>
      <c r="F43" s="135">
        <v>116754605</v>
      </c>
      <c r="G43" s="135">
        <v>13435396</v>
      </c>
      <c r="H43" s="135">
        <v>28339570</v>
      </c>
      <c r="I43" s="135">
        <v>1979000</v>
      </c>
      <c r="J43" s="135">
        <v>120000</v>
      </c>
      <c r="K43" s="135">
        <v>103000</v>
      </c>
      <c r="L43" s="135">
        <v>1349238924</v>
      </c>
      <c r="M43" s="135">
        <v>270590155</v>
      </c>
      <c r="N43" s="135">
        <v>3747</v>
      </c>
      <c r="O43" s="135">
        <v>422</v>
      </c>
      <c r="P43" s="135">
        <v>11291447</v>
      </c>
      <c r="Q43" s="135">
        <v>4734420</v>
      </c>
      <c r="R43" s="135">
        <v>5384899</v>
      </c>
      <c r="S43" s="135">
        <v>11626445</v>
      </c>
      <c r="T43" s="135">
        <v>1875600</v>
      </c>
      <c r="U43" s="135">
        <v>29725722</v>
      </c>
      <c r="V43" s="135">
        <v>11291447</v>
      </c>
      <c r="W43" s="135">
        <v>4888920</v>
      </c>
      <c r="X43" s="135">
        <v>5384899</v>
      </c>
      <c r="Y43" s="135">
        <v>11626445</v>
      </c>
      <c r="Z43" s="135">
        <v>1549000</v>
      </c>
      <c r="AA43" s="135">
        <v>29725722</v>
      </c>
      <c r="AB43" s="135">
        <v>-5596661</v>
      </c>
      <c r="AC43" s="135">
        <v>-2728285</v>
      </c>
      <c r="AD43" s="135">
        <v>55579</v>
      </c>
      <c r="AE43" s="135">
        <v>92367</v>
      </c>
      <c r="AF43" s="135">
        <v>231278702</v>
      </c>
      <c r="AG43" s="135"/>
      <c r="AH43" s="135">
        <v>0</v>
      </c>
      <c r="AI43" s="135">
        <v>275000</v>
      </c>
      <c r="AJ43" s="135"/>
      <c r="AK43" s="135">
        <v>348992854</v>
      </c>
      <c r="AL43" s="135">
        <v>11094464</v>
      </c>
      <c r="AM43" s="135"/>
      <c r="AN43" s="135">
        <v>69715584</v>
      </c>
      <c r="AO43" s="135">
        <v>7515868</v>
      </c>
      <c r="AP43" s="135">
        <v>69367151</v>
      </c>
      <c r="AQ43" s="135">
        <v>89421936</v>
      </c>
      <c r="AR43" s="135">
        <v>75048004</v>
      </c>
      <c r="AS43" s="135">
        <v>639463</v>
      </c>
      <c r="AT43" s="135">
        <v>32590899</v>
      </c>
      <c r="AU43" s="135">
        <v>0</v>
      </c>
      <c r="AV43" s="135">
        <v>0</v>
      </c>
      <c r="AW43" s="135">
        <v>5376621</v>
      </c>
      <c r="AX43" s="135">
        <v>34485</v>
      </c>
      <c r="AY43" s="135">
        <v>1844800</v>
      </c>
      <c r="AZ43" s="135">
        <v>18684651.149999999</v>
      </c>
      <c r="BA43" s="135">
        <v>9716019</v>
      </c>
      <c r="BB43" s="135">
        <v>0</v>
      </c>
      <c r="BC43" s="135">
        <v>2941656</v>
      </c>
      <c r="BD43" s="135">
        <v>5657030</v>
      </c>
      <c r="BE43" s="135">
        <v>80894350</v>
      </c>
      <c r="BF43" s="135">
        <v>77536882</v>
      </c>
      <c r="BG43" s="135">
        <v>144483680</v>
      </c>
      <c r="BH43" s="135">
        <v>113808653</v>
      </c>
      <c r="BI43" s="135">
        <v>0</v>
      </c>
      <c r="BJ43" s="135">
        <v>9376584</v>
      </c>
      <c r="BK43" s="135"/>
      <c r="BL43" s="135">
        <v>2548889792</v>
      </c>
      <c r="BM43" s="135">
        <v>1975422680</v>
      </c>
      <c r="BN43" s="135">
        <v>4101845</v>
      </c>
      <c r="BO43" s="135"/>
      <c r="BP43" s="135">
        <v>1808494292</v>
      </c>
      <c r="BQ43" s="135">
        <v>348992854</v>
      </c>
      <c r="BR43" s="135">
        <v>11094464</v>
      </c>
      <c r="BS43" s="135">
        <v>167292851</v>
      </c>
      <c r="BT43" s="135">
        <v>2335874461</v>
      </c>
    </row>
    <row r="44" spans="1:72" x14ac:dyDescent="0.25">
      <c r="A44" s="149" t="s">
        <v>98</v>
      </c>
      <c r="B44" s="135">
        <v>917820576</v>
      </c>
      <c r="C44" s="135">
        <v>238703500</v>
      </c>
      <c r="D44" s="135">
        <v>196998144</v>
      </c>
      <c r="E44" s="135">
        <v>0</v>
      </c>
      <c r="F44" s="135">
        <v>77096147</v>
      </c>
      <c r="G44" s="135">
        <v>15806350</v>
      </c>
      <c r="H44" s="135">
        <v>25720625</v>
      </c>
      <c r="I44" s="135">
        <v>3353520</v>
      </c>
      <c r="J44" s="135">
        <v>81000</v>
      </c>
      <c r="K44" s="135">
        <v>0</v>
      </c>
      <c r="L44" s="135">
        <v>374896859</v>
      </c>
      <c r="M44" s="135">
        <v>151474231</v>
      </c>
      <c r="N44" s="135">
        <v>2679</v>
      </c>
      <c r="O44" s="135">
        <v>546</v>
      </c>
      <c r="P44" s="135">
        <v>33911965</v>
      </c>
      <c r="Q44" s="135">
        <v>8614158</v>
      </c>
      <c r="R44" s="135">
        <v>1071900</v>
      </c>
      <c r="S44" s="135">
        <v>3052279</v>
      </c>
      <c r="T44" s="135">
        <v>1065028</v>
      </c>
      <c r="U44" s="135">
        <v>1406897</v>
      </c>
      <c r="V44" s="135">
        <v>33911965</v>
      </c>
      <c r="W44" s="135">
        <v>9857100</v>
      </c>
      <c r="X44" s="135">
        <v>1071911</v>
      </c>
      <c r="Y44" s="135">
        <v>3052279</v>
      </c>
      <c r="Z44" s="135">
        <v>825921</v>
      </c>
      <c r="AA44" s="135">
        <v>1448897</v>
      </c>
      <c r="AB44" s="135">
        <v>-4868043</v>
      </c>
      <c r="AC44" s="135">
        <v>-238561</v>
      </c>
      <c r="AD44" s="135">
        <v>129334</v>
      </c>
      <c r="AE44" s="135">
        <v>5575</v>
      </c>
      <c r="AF44" s="135">
        <v>5332795</v>
      </c>
      <c r="AG44" s="135">
        <v>299614</v>
      </c>
      <c r="AH44" s="135">
        <v>250000</v>
      </c>
      <c r="AI44" s="135">
        <v>280500</v>
      </c>
      <c r="AJ44" s="135"/>
      <c r="AK44" s="135">
        <v>200890385</v>
      </c>
      <c r="AL44" s="135">
        <v>29853813</v>
      </c>
      <c r="AM44" s="135">
        <v>143909</v>
      </c>
      <c r="AN44" s="135">
        <v>37218937</v>
      </c>
      <c r="AO44" s="135">
        <v>4646297</v>
      </c>
      <c r="AP44" s="135">
        <v>70343853</v>
      </c>
      <c r="AQ44" s="135">
        <v>64507384</v>
      </c>
      <c r="AR44" s="135">
        <v>31925848</v>
      </c>
      <c r="AS44" s="135">
        <v>28648843</v>
      </c>
      <c r="AT44" s="135"/>
      <c r="AU44" s="135"/>
      <c r="AV44" s="135"/>
      <c r="AW44" s="135">
        <v>17185</v>
      </c>
      <c r="AX44" s="135">
        <v>334497</v>
      </c>
      <c r="AY44" s="135">
        <v>154985</v>
      </c>
      <c r="AZ44" s="135">
        <v>10755425.85</v>
      </c>
      <c r="BA44" s="135">
        <v>5592821</v>
      </c>
      <c r="BB44" s="135">
        <v>0</v>
      </c>
      <c r="BC44" s="135">
        <v>2530694</v>
      </c>
      <c r="BD44" s="135">
        <v>4866720</v>
      </c>
      <c r="BE44" s="135">
        <v>14743901</v>
      </c>
      <c r="BF44" s="135">
        <v>8703867</v>
      </c>
      <c r="BG44" s="135">
        <v>65418693</v>
      </c>
      <c r="BH44" s="135">
        <v>62137179</v>
      </c>
      <c r="BI44" s="135">
        <v>0</v>
      </c>
      <c r="BJ44" s="135">
        <v>0</v>
      </c>
      <c r="BK44" s="135"/>
      <c r="BL44" s="135">
        <v>1770134097</v>
      </c>
      <c r="BM44" s="135">
        <v>1460425338</v>
      </c>
      <c r="BN44" s="135">
        <v>1269106</v>
      </c>
      <c r="BO44" s="135"/>
      <c r="BP44" s="135">
        <v>1353522220</v>
      </c>
      <c r="BQ44" s="135">
        <v>200890385</v>
      </c>
      <c r="BR44" s="135">
        <v>29853813</v>
      </c>
      <c r="BS44" s="135">
        <v>135021461</v>
      </c>
      <c r="BT44" s="135">
        <v>1719287879</v>
      </c>
    </row>
    <row r="45" spans="1:72" x14ac:dyDescent="0.25">
      <c r="A45" s="149" t="s">
        <v>99</v>
      </c>
      <c r="B45" s="135">
        <v>206867376</v>
      </c>
      <c r="C45" s="135">
        <v>137246164</v>
      </c>
      <c r="D45" s="135">
        <v>44949480</v>
      </c>
      <c r="E45" s="135">
        <v>0</v>
      </c>
      <c r="F45" s="135">
        <v>38947700</v>
      </c>
      <c r="G45" s="135">
        <v>6499500</v>
      </c>
      <c r="H45" s="135">
        <v>16591200</v>
      </c>
      <c r="I45" s="135">
        <v>1413300</v>
      </c>
      <c r="J45" s="135">
        <v>0</v>
      </c>
      <c r="K45" s="135">
        <v>0</v>
      </c>
      <c r="L45" s="135">
        <v>255141559</v>
      </c>
      <c r="M45" s="135">
        <v>83183300</v>
      </c>
      <c r="N45" s="135">
        <v>1411</v>
      </c>
      <c r="O45" s="135">
        <v>213</v>
      </c>
      <c r="P45" s="135">
        <v>2053810</v>
      </c>
      <c r="Q45" s="135">
        <v>1818000</v>
      </c>
      <c r="R45" s="135">
        <v>4126750</v>
      </c>
      <c r="S45" s="135">
        <v>773199</v>
      </c>
      <c r="T45" s="135">
        <v>206000</v>
      </c>
      <c r="U45" s="135">
        <v>22500</v>
      </c>
      <c r="V45" s="135">
        <v>2053810</v>
      </c>
      <c r="W45" s="135">
        <v>1818000</v>
      </c>
      <c r="X45" s="135">
        <v>4126750</v>
      </c>
      <c r="Y45" s="135">
        <v>773199</v>
      </c>
      <c r="Z45" s="135">
        <v>248500</v>
      </c>
      <c r="AA45" s="135">
        <v>22500</v>
      </c>
      <c r="AB45" s="135">
        <v>-659200</v>
      </c>
      <c r="AC45" s="135">
        <v>156003</v>
      </c>
      <c r="AD45" s="135">
        <v>39688</v>
      </c>
      <c r="AE45" s="135">
        <v>0</v>
      </c>
      <c r="AF45" s="135">
        <v>0</v>
      </c>
      <c r="AG45" s="135">
        <v>167828</v>
      </c>
      <c r="AH45" s="135">
        <v>500000</v>
      </c>
      <c r="AI45" s="135">
        <v>288330</v>
      </c>
      <c r="AJ45" s="135"/>
      <c r="AK45" s="135">
        <v>84986503</v>
      </c>
      <c r="AL45" s="135">
        <v>2517987</v>
      </c>
      <c r="AM45" s="135"/>
      <c r="AN45" s="135">
        <v>6197505</v>
      </c>
      <c r="AO45" s="135">
        <v>57252</v>
      </c>
      <c r="AP45" s="135">
        <v>9186657</v>
      </c>
      <c r="AQ45" s="135">
        <v>8094725</v>
      </c>
      <c r="AR45" s="135">
        <v>6309507</v>
      </c>
      <c r="AS45" s="135"/>
      <c r="AT45" s="135">
        <v>271621</v>
      </c>
      <c r="AU45" s="135"/>
      <c r="AV45" s="135">
        <v>14342</v>
      </c>
      <c r="AW45" s="135"/>
      <c r="AX45" s="135"/>
      <c r="AY45" s="135"/>
      <c r="AZ45" s="135">
        <v>4550073.57</v>
      </c>
      <c r="BA45" s="135">
        <v>2366038</v>
      </c>
      <c r="BB45" s="135">
        <v>0</v>
      </c>
      <c r="BC45" s="135">
        <v>0</v>
      </c>
      <c r="BD45" s="135">
        <v>0</v>
      </c>
      <c r="BE45" s="135">
        <v>44308644</v>
      </c>
      <c r="BF45" s="135">
        <v>44308644</v>
      </c>
      <c r="BG45" s="135">
        <v>33361007</v>
      </c>
      <c r="BH45" s="135">
        <v>33214709</v>
      </c>
      <c r="BI45" s="135">
        <v>0</v>
      </c>
      <c r="BJ45" s="135">
        <v>0</v>
      </c>
      <c r="BK45" s="135"/>
      <c r="BL45" s="135">
        <v>571594713</v>
      </c>
      <c r="BM45" s="135">
        <v>404200832</v>
      </c>
      <c r="BN45" s="135">
        <v>759262</v>
      </c>
      <c r="BO45" s="135"/>
      <c r="BP45" s="135">
        <v>389063020</v>
      </c>
      <c r="BQ45" s="135">
        <v>84986503</v>
      </c>
      <c r="BR45" s="135">
        <v>2517987</v>
      </c>
      <c r="BS45" s="135">
        <v>14349482</v>
      </c>
      <c r="BT45" s="135">
        <v>490916992</v>
      </c>
    </row>
    <row r="46" spans="1:72" x14ac:dyDescent="0.25">
      <c r="A46" s="149" t="s">
        <v>100</v>
      </c>
      <c r="B46" s="135">
        <v>968099002</v>
      </c>
      <c r="C46" s="135">
        <v>142342037</v>
      </c>
      <c r="D46" s="135">
        <v>313505512</v>
      </c>
      <c r="E46" s="135">
        <v>0</v>
      </c>
      <c r="F46" s="135">
        <v>147614589</v>
      </c>
      <c r="G46" s="135">
        <v>32448932</v>
      </c>
      <c r="H46" s="135">
        <v>20911195</v>
      </c>
      <c r="I46" s="135">
        <v>4845045</v>
      </c>
      <c r="J46" s="135">
        <v>40500</v>
      </c>
      <c r="K46" s="135">
        <v>67500</v>
      </c>
      <c r="L46" s="135">
        <v>122298074</v>
      </c>
      <c r="M46" s="135">
        <v>120447687</v>
      </c>
      <c r="N46" s="135">
        <v>4598</v>
      </c>
      <c r="O46" s="135">
        <v>1160</v>
      </c>
      <c r="P46" s="135">
        <v>4566240</v>
      </c>
      <c r="Q46" s="135">
        <v>1548148</v>
      </c>
      <c r="R46" s="135">
        <v>1584210</v>
      </c>
      <c r="S46" s="135">
        <v>4244884</v>
      </c>
      <c r="T46" s="135">
        <v>551742</v>
      </c>
      <c r="U46" s="135">
        <v>4219292</v>
      </c>
      <c r="V46" s="135">
        <v>4566240</v>
      </c>
      <c r="W46" s="135">
        <v>1682529</v>
      </c>
      <c r="X46" s="135">
        <v>1584210</v>
      </c>
      <c r="Y46" s="135">
        <v>4244884</v>
      </c>
      <c r="Z46" s="135">
        <v>1549446</v>
      </c>
      <c r="AA46" s="135">
        <v>4219292</v>
      </c>
      <c r="AB46" s="135">
        <v>-2878361</v>
      </c>
      <c r="AC46" s="135">
        <v>0</v>
      </c>
      <c r="AD46" s="135">
        <v>143233</v>
      </c>
      <c r="AE46" s="135">
        <v>0</v>
      </c>
      <c r="AF46" s="135">
        <v>0</v>
      </c>
      <c r="AG46" s="135">
        <v>79814504</v>
      </c>
      <c r="AH46" s="135">
        <v>3200000</v>
      </c>
      <c r="AI46" s="135">
        <v>480221</v>
      </c>
      <c r="AJ46" s="135"/>
      <c r="AK46" s="135">
        <v>305193417</v>
      </c>
      <c r="AL46" s="135">
        <v>8740547</v>
      </c>
      <c r="AM46" s="135">
        <v>25000</v>
      </c>
      <c r="AN46" s="135">
        <v>43581204</v>
      </c>
      <c r="AO46" s="135">
        <v>1004638</v>
      </c>
      <c r="AP46" s="135">
        <v>111923342</v>
      </c>
      <c r="AQ46" s="135">
        <v>53403718</v>
      </c>
      <c r="AR46" s="135">
        <v>68643224</v>
      </c>
      <c r="AS46" s="135">
        <v>146271934</v>
      </c>
      <c r="AT46" s="135">
        <v>493655</v>
      </c>
      <c r="AU46" s="135"/>
      <c r="AV46" s="135"/>
      <c r="AW46" s="135"/>
      <c r="AX46" s="135">
        <v>32581</v>
      </c>
      <c r="AY46" s="135">
        <v>2196531</v>
      </c>
      <c r="AZ46" s="135">
        <v>16339682.789999999</v>
      </c>
      <c r="BA46" s="135">
        <v>8496635</v>
      </c>
      <c r="BB46" s="135">
        <v>45615214.027772024</v>
      </c>
      <c r="BC46" s="135">
        <v>34691911</v>
      </c>
      <c r="BD46" s="135">
        <v>66715214</v>
      </c>
      <c r="BE46" s="135">
        <v>92721581</v>
      </c>
      <c r="BF46" s="135">
        <v>92721581</v>
      </c>
      <c r="BG46" s="135">
        <v>168202744</v>
      </c>
      <c r="BH46" s="135">
        <v>140475940</v>
      </c>
      <c r="BI46" s="135">
        <v>0</v>
      </c>
      <c r="BJ46" s="135">
        <v>0</v>
      </c>
      <c r="BK46" s="135"/>
      <c r="BL46" s="135">
        <v>2115936363</v>
      </c>
      <c r="BM46" s="135">
        <v>1525616332</v>
      </c>
      <c r="BN46" s="135">
        <v>2061852</v>
      </c>
      <c r="BO46" s="135"/>
      <c r="BP46" s="135">
        <v>1423946551</v>
      </c>
      <c r="BQ46" s="135">
        <v>305193417</v>
      </c>
      <c r="BR46" s="135">
        <v>8740547</v>
      </c>
      <c r="BS46" s="135">
        <v>244261494</v>
      </c>
      <c r="BT46" s="135">
        <v>1982142009</v>
      </c>
    </row>
    <row r="47" spans="1:72" x14ac:dyDescent="0.25">
      <c r="A47" s="149" t="s">
        <v>101</v>
      </c>
      <c r="B47" s="135">
        <v>203934514</v>
      </c>
      <c r="C47" s="135">
        <v>93044817</v>
      </c>
      <c r="D47" s="135">
        <v>168116255</v>
      </c>
      <c r="E47" s="135">
        <v>14254749</v>
      </c>
      <c r="F47" s="135">
        <v>28180800</v>
      </c>
      <c r="G47" s="135">
        <v>3643000</v>
      </c>
      <c r="H47" s="135">
        <v>11565896</v>
      </c>
      <c r="I47" s="135">
        <v>804500</v>
      </c>
      <c r="J47" s="135">
        <v>0</v>
      </c>
      <c r="K47" s="135">
        <v>40500</v>
      </c>
      <c r="L47" s="135">
        <v>224214604</v>
      </c>
      <c r="M47" s="135">
        <v>72840518</v>
      </c>
      <c r="N47" s="135">
        <v>1041</v>
      </c>
      <c r="O47" s="135">
        <v>131</v>
      </c>
      <c r="P47" s="135">
        <v>3391471</v>
      </c>
      <c r="Q47" s="135">
        <v>738125</v>
      </c>
      <c r="R47" s="135">
        <v>54000</v>
      </c>
      <c r="S47" s="135">
        <v>539925</v>
      </c>
      <c r="T47" s="135">
        <v>1329090</v>
      </c>
      <c r="U47" s="135">
        <v>267731</v>
      </c>
      <c r="V47" s="135">
        <v>3391471</v>
      </c>
      <c r="W47" s="135">
        <v>754000</v>
      </c>
      <c r="X47" s="135">
        <v>54000</v>
      </c>
      <c r="Y47" s="135">
        <v>539925</v>
      </c>
      <c r="Z47" s="135">
        <v>1679189</v>
      </c>
      <c r="AA47" s="135">
        <v>267731</v>
      </c>
      <c r="AB47" s="135">
        <v>-333634</v>
      </c>
      <c r="AC47" s="135">
        <v>-7363840</v>
      </c>
      <c r="AD47" s="135">
        <v>87792</v>
      </c>
      <c r="AE47" s="135">
        <v>0</v>
      </c>
      <c r="AF47" s="135">
        <v>0</v>
      </c>
      <c r="AG47" s="135">
        <v>105123</v>
      </c>
      <c r="AH47" s="135">
        <v>520000</v>
      </c>
      <c r="AI47" s="135">
        <v>89652</v>
      </c>
      <c r="AJ47" s="135"/>
      <c r="AK47" s="135">
        <v>81418607</v>
      </c>
      <c r="AL47" s="135">
        <v>1928805</v>
      </c>
      <c r="AM47" s="135"/>
      <c r="AN47" s="135">
        <v>69465125</v>
      </c>
      <c r="AO47" s="135">
        <v>49956816</v>
      </c>
      <c r="AP47" s="135">
        <v>800118018</v>
      </c>
      <c r="AQ47" s="135">
        <v>41538547</v>
      </c>
      <c r="AR47" s="135">
        <v>179560250</v>
      </c>
      <c r="AS47" s="135">
        <v>64970691</v>
      </c>
      <c r="AT47" s="135">
        <v>29781410</v>
      </c>
      <c r="AU47" s="135"/>
      <c r="AV47" s="135"/>
      <c r="AW47" s="135">
        <v>49831886</v>
      </c>
      <c r="AX47" s="135">
        <v>625</v>
      </c>
      <c r="AY47" s="135">
        <v>174500</v>
      </c>
      <c r="AZ47" s="135">
        <v>4359052.78</v>
      </c>
      <c r="BA47" s="135">
        <v>2266707</v>
      </c>
      <c r="BB47" s="135">
        <v>42095521.587357506</v>
      </c>
      <c r="BC47" s="135">
        <v>1881420</v>
      </c>
      <c r="BD47" s="135">
        <v>3618116</v>
      </c>
      <c r="BE47" s="135">
        <v>146931387</v>
      </c>
      <c r="BF47" s="135">
        <v>146931387</v>
      </c>
      <c r="BG47" s="135">
        <v>67299776</v>
      </c>
      <c r="BH47" s="135">
        <v>65099431</v>
      </c>
      <c r="BI47" s="135">
        <v>0</v>
      </c>
      <c r="BJ47" s="135">
        <v>0</v>
      </c>
      <c r="BK47" s="135"/>
      <c r="BL47" s="135">
        <v>926192083</v>
      </c>
      <c r="BM47" s="135">
        <v>626665726</v>
      </c>
      <c r="BN47" s="135">
        <v>525543</v>
      </c>
      <c r="BO47" s="135"/>
      <c r="BP47" s="135">
        <v>465095586</v>
      </c>
      <c r="BQ47" s="135">
        <v>81418607</v>
      </c>
      <c r="BR47" s="135">
        <v>1928805</v>
      </c>
      <c r="BS47" s="135">
        <v>225931179</v>
      </c>
      <c r="BT47" s="135">
        <v>774374177</v>
      </c>
    </row>
    <row r="48" spans="1:72" x14ac:dyDescent="0.25">
      <c r="A48" s="149" t="s">
        <v>102</v>
      </c>
      <c r="B48" s="135">
        <v>4882619100</v>
      </c>
      <c r="C48" s="135">
        <v>441603294</v>
      </c>
      <c r="D48" s="135">
        <v>1886010571</v>
      </c>
      <c r="E48" s="135">
        <v>4300200</v>
      </c>
      <c r="F48" s="135">
        <v>304795600</v>
      </c>
      <c r="G48" s="135">
        <v>53127700</v>
      </c>
      <c r="H48" s="135">
        <v>34237000</v>
      </c>
      <c r="I48" s="135">
        <v>2675600</v>
      </c>
      <c r="J48" s="135">
        <v>633600</v>
      </c>
      <c r="K48" s="135">
        <v>0</v>
      </c>
      <c r="L48" s="135">
        <v>752070153</v>
      </c>
      <c r="M48" s="135">
        <v>306124800</v>
      </c>
      <c r="N48" s="135">
        <v>8525</v>
      </c>
      <c r="O48" s="135">
        <v>1426</v>
      </c>
      <c r="P48" s="135">
        <v>98410030</v>
      </c>
      <c r="Q48" s="135">
        <v>7586900</v>
      </c>
      <c r="R48" s="135">
        <v>34712900</v>
      </c>
      <c r="S48" s="135">
        <v>8749900</v>
      </c>
      <c r="T48" s="135">
        <v>2857700</v>
      </c>
      <c r="U48" s="135">
        <v>5249000</v>
      </c>
      <c r="V48" s="135">
        <v>98410030</v>
      </c>
      <c r="W48" s="135">
        <v>100400</v>
      </c>
      <c r="X48" s="135">
        <v>34712900</v>
      </c>
      <c r="Y48" s="135">
        <v>8749900</v>
      </c>
      <c r="Z48" s="135">
        <v>103000</v>
      </c>
      <c r="AA48" s="135">
        <v>5249000</v>
      </c>
      <c r="AB48" s="135">
        <v>-4586900</v>
      </c>
      <c r="AC48" s="135">
        <v>242901</v>
      </c>
      <c r="AD48" s="135">
        <v>87069</v>
      </c>
      <c r="AE48" s="135">
        <v>0</v>
      </c>
      <c r="AF48" s="135">
        <v>0</v>
      </c>
      <c r="AG48" s="135">
        <v>262325.43800000002</v>
      </c>
      <c r="AH48" s="135">
        <v>0</v>
      </c>
      <c r="AI48" s="135">
        <v>230000</v>
      </c>
      <c r="AJ48" s="135"/>
      <c r="AK48" s="135">
        <v>905834350</v>
      </c>
      <c r="AL48" s="135">
        <v>20221543</v>
      </c>
      <c r="AM48" s="135">
        <v>40000</v>
      </c>
      <c r="AN48" s="135">
        <v>252704927</v>
      </c>
      <c r="AO48" s="135">
        <v>49293841</v>
      </c>
      <c r="AP48" s="135">
        <v>733533426</v>
      </c>
      <c r="AQ48" s="135">
        <v>245364344</v>
      </c>
      <c r="AR48" s="135">
        <v>218363616</v>
      </c>
      <c r="AS48" s="135">
        <v>71119362</v>
      </c>
      <c r="AT48" s="135">
        <v>4717803</v>
      </c>
      <c r="AU48" s="135"/>
      <c r="AV48" s="135">
        <v>29529</v>
      </c>
      <c r="AW48" s="135">
        <v>7595868</v>
      </c>
      <c r="AX48" s="135">
        <v>1367985</v>
      </c>
      <c r="AY48" s="135">
        <v>981203</v>
      </c>
      <c r="AZ48" s="135">
        <v>48497264.729999997</v>
      </c>
      <c r="BA48" s="135">
        <v>25218578</v>
      </c>
      <c r="BB48" s="135">
        <v>3942055.5332642482</v>
      </c>
      <c r="BC48" s="135">
        <v>6276565</v>
      </c>
      <c r="BD48" s="135">
        <v>12070317</v>
      </c>
      <c r="BE48" s="135">
        <v>58407931</v>
      </c>
      <c r="BF48" s="135">
        <v>46821856</v>
      </c>
      <c r="BG48" s="135">
        <v>240651395</v>
      </c>
      <c r="BH48" s="135">
        <v>229841478</v>
      </c>
      <c r="BI48" s="135">
        <v>179546</v>
      </c>
      <c r="BJ48" s="135">
        <v>0</v>
      </c>
      <c r="BK48" s="135"/>
      <c r="BL48" s="135">
        <v>8992219993</v>
      </c>
      <c r="BM48" s="135">
        <v>7757826077</v>
      </c>
      <c r="BN48" s="135">
        <v>13425400</v>
      </c>
      <c r="BO48" s="135"/>
      <c r="BP48" s="135">
        <v>7210232965</v>
      </c>
      <c r="BQ48" s="135">
        <v>905834350</v>
      </c>
      <c r="BR48" s="135">
        <v>20221543</v>
      </c>
      <c r="BS48" s="135">
        <v>618482474</v>
      </c>
      <c r="BT48" s="135">
        <v>8754771332</v>
      </c>
    </row>
    <row r="49" spans="1:72" x14ac:dyDescent="0.25">
      <c r="A49" s="149" t="s">
        <v>103</v>
      </c>
      <c r="B49" s="135">
        <v>403459988</v>
      </c>
      <c r="C49" s="135">
        <v>46262477</v>
      </c>
      <c r="D49" s="135">
        <v>149080432</v>
      </c>
      <c r="E49" s="135">
        <v>0</v>
      </c>
      <c r="F49" s="135">
        <v>66770334</v>
      </c>
      <c r="G49" s="135">
        <v>71000110</v>
      </c>
      <c r="H49" s="135">
        <v>2031200</v>
      </c>
      <c r="I49" s="135">
        <v>1641125</v>
      </c>
      <c r="J49" s="135">
        <v>114700</v>
      </c>
      <c r="K49" s="135">
        <v>217950</v>
      </c>
      <c r="L49" s="135">
        <v>103998495</v>
      </c>
      <c r="M49" s="135">
        <v>18970482</v>
      </c>
      <c r="N49" s="135">
        <v>1993</v>
      </c>
      <c r="O49" s="135">
        <v>2267</v>
      </c>
      <c r="P49" s="135">
        <v>2815335</v>
      </c>
      <c r="Q49" s="135">
        <v>0</v>
      </c>
      <c r="R49" s="135">
        <v>150000</v>
      </c>
      <c r="S49" s="135">
        <v>3979725</v>
      </c>
      <c r="T49" s="135">
        <v>117275</v>
      </c>
      <c r="U49" s="135">
        <v>341887</v>
      </c>
      <c r="V49" s="135">
        <v>2815335</v>
      </c>
      <c r="W49" s="135">
        <v>0</v>
      </c>
      <c r="X49" s="135">
        <v>150000</v>
      </c>
      <c r="Y49" s="135">
        <v>3979725</v>
      </c>
      <c r="Z49" s="135">
        <v>47500</v>
      </c>
      <c r="AA49" s="135">
        <v>341887</v>
      </c>
      <c r="AB49" s="135">
        <v>-3840815</v>
      </c>
      <c r="AC49" s="135">
        <v>-13987</v>
      </c>
      <c r="AD49" s="135">
        <v>246490</v>
      </c>
      <c r="AE49" s="135">
        <v>3192015</v>
      </c>
      <c r="AF49" s="135">
        <v>0</v>
      </c>
      <c r="AG49" s="135">
        <v>226479</v>
      </c>
      <c r="AH49" s="135">
        <v>7500000</v>
      </c>
      <c r="AI49" s="135">
        <v>2100500</v>
      </c>
      <c r="AJ49" s="135">
        <v>22015704.918032788</v>
      </c>
      <c r="AK49" s="135">
        <v>182052068</v>
      </c>
      <c r="AL49" s="135">
        <v>2687108</v>
      </c>
      <c r="AM49" s="135"/>
      <c r="AN49" s="135">
        <v>25205290</v>
      </c>
      <c r="AO49" s="135">
        <v>452396</v>
      </c>
      <c r="AP49" s="135">
        <v>4961629</v>
      </c>
      <c r="AQ49" s="135">
        <v>21594498</v>
      </c>
      <c r="AR49" s="135">
        <v>2774907</v>
      </c>
      <c r="AS49" s="135"/>
      <c r="AT49" s="135">
        <v>169039</v>
      </c>
      <c r="AU49" s="135"/>
      <c r="AV49" s="135"/>
      <c r="AW49" s="135"/>
      <c r="AX49" s="135"/>
      <c r="AY49" s="135"/>
      <c r="AZ49" s="135">
        <v>9746845.3699999992</v>
      </c>
      <c r="BA49" s="135">
        <v>5068360</v>
      </c>
      <c r="BB49" s="135">
        <v>0</v>
      </c>
      <c r="BC49" s="135">
        <v>9649103</v>
      </c>
      <c r="BD49" s="135">
        <v>18555967</v>
      </c>
      <c r="BE49" s="135">
        <v>24479411</v>
      </c>
      <c r="BF49" s="135">
        <v>24479411</v>
      </c>
      <c r="BG49" s="135">
        <v>95167658</v>
      </c>
      <c r="BH49" s="135">
        <v>88465254</v>
      </c>
      <c r="BI49" s="135">
        <v>0</v>
      </c>
      <c r="BJ49" s="135">
        <v>0</v>
      </c>
      <c r="BK49" s="135"/>
      <c r="BL49" s="135">
        <v>990072589.91803277</v>
      </c>
      <c r="BM49" s="135">
        <v>677671285.91803277</v>
      </c>
      <c r="BN49" s="135">
        <v>1293021</v>
      </c>
      <c r="BO49" s="135"/>
      <c r="BP49" s="135">
        <v>598802897</v>
      </c>
      <c r="BQ49" s="135">
        <v>182052068</v>
      </c>
      <c r="BR49" s="135">
        <v>2687108</v>
      </c>
      <c r="BS49" s="135">
        <v>47252184</v>
      </c>
      <c r="BT49" s="135">
        <v>830794257</v>
      </c>
    </row>
    <row r="50" spans="1:72" x14ac:dyDescent="0.25">
      <c r="A50" s="149" t="s">
        <v>104</v>
      </c>
      <c r="B50" s="135">
        <v>557620155</v>
      </c>
      <c r="C50" s="135">
        <v>256186193</v>
      </c>
      <c r="D50" s="135">
        <v>140209550</v>
      </c>
      <c r="E50" s="135">
        <v>15000</v>
      </c>
      <c r="F50" s="135">
        <v>53230350</v>
      </c>
      <c r="G50" s="135">
        <v>4351762</v>
      </c>
      <c r="H50" s="135">
        <v>18279896</v>
      </c>
      <c r="I50" s="135">
        <v>1015926</v>
      </c>
      <c r="J50" s="135">
        <v>121500</v>
      </c>
      <c r="K50" s="135">
        <v>0</v>
      </c>
      <c r="L50" s="135">
        <v>324823299</v>
      </c>
      <c r="M50" s="135">
        <v>174607724</v>
      </c>
      <c r="N50" s="135">
        <v>1794</v>
      </c>
      <c r="O50" s="135">
        <v>137</v>
      </c>
      <c r="P50" s="135">
        <v>5264756</v>
      </c>
      <c r="Q50" s="135">
        <v>4300803</v>
      </c>
      <c r="R50" s="135">
        <v>0</v>
      </c>
      <c r="S50" s="135">
        <v>162000</v>
      </c>
      <c r="T50" s="135">
        <v>180415</v>
      </c>
      <c r="U50" s="135">
        <v>0</v>
      </c>
      <c r="V50" s="135">
        <v>5264756</v>
      </c>
      <c r="W50" s="135">
        <v>4300803</v>
      </c>
      <c r="X50" s="135">
        <v>0</v>
      </c>
      <c r="Y50" s="135">
        <v>162000</v>
      </c>
      <c r="Z50" s="135">
        <v>240701</v>
      </c>
      <c r="AA50" s="135">
        <v>0</v>
      </c>
      <c r="AB50" s="135">
        <v>-1538537</v>
      </c>
      <c r="AC50" s="135">
        <v>683630</v>
      </c>
      <c r="AD50" s="135">
        <v>0</v>
      </c>
      <c r="AE50" s="135">
        <v>0</v>
      </c>
      <c r="AF50" s="135">
        <v>6995</v>
      </c>
      <c r="AG50" s="135">
        <v>190451</v>
      </c>
      <c r="AH50" s="135">
        <v>0</v>
      </c>
      <c r="AI50" s="135">
        <v>0</v>
      </c>
      <c r="AJ50" s="135"/>
      <c r="AK50" s="135">
        <v>177394166</v>
      </c>
      <c r="AL50" s="135">
        <v>4859271</v>
      </c>
      <c r="AM50" s="135"/>
      <c r="AN50" s="135">
        <v>31894902</v>
      </c>
      <c r="AO50" s="135">
        <v>5356530</v>
      </c>
      <c r="AP50" s="135">
        <v>72856135</v>
      </c>
      <c r="AQ50" s="135">
        <v>15310750</v>
      </c>
      <c r="AR50" s="135">
        <v>24739900</v>
      </c>
      <c r="AS50" s="135">
        <v>1296278</v>
      </c>
      <c r="AT50" s="135">
        <v>1627375</v>
      </c>
      <c r="AU50" s="135"/>
      <c r="AV50" s="135">
        <v>22915</v>
      </c>
      <c r="AW50" s="135"/>
      <c r="AX50" s="135"/>
      <c r="AY50" s="135"/>
      <c r="AZ50" s="135">
        <v>9497466.9800000004</v>
      </c>
      <c r="BA50" s="135">
        <v>4938683</v>
      </c>
      <c r="BB50" s="135">
        <v>0</v>
      </c>
      <c r="BC50" s="135">
        <v>2504133</v>
      </c>
      <c r="BD50" s="135">
        <v>4815641</v>
      </c>
      <c r="BE50" s="135">
        <v>19650023</v>
      </c>
      <c r="BF50" s="135">
        <v>19650023</v>
      </c>
      <c r="BG50" s="135">
        <v>63012050</v>
      </c>
      <c r="BH50" s="135">
        <v>57574455</v>
      </c>
      <c r="BI50" s="135">
        <v>0</v>
      </c>
      <c r="BJ50" s="135">
        <v>0</v>
      </c>
      <c r="BK50" s="135"/>
      <c r="BL50" s="135">
        <v>1273498811</v>
      </c>
      <c r="BM50" s="135">
        <v>1006578080</v>
      </c>
      <c r="BN50" s="135">
        <v>1487302</v>
      </c>
      <c r="BO50" s="135"/>
      <c r="BP50" s="135">
        <v>954015898</v>
      </c>
      <c r="BQ50" s="135">
        <v>177394166</v>
      </c>
      <c r="BR50" s="135">
        <v>4859271</v>
      </c>
      <c r="BS50" s="135">
        <v>53858460</v>
      </c>
      <c r="BT50" s="135">
        <v>1190127795</v>
      </c>
    </row>
    <row r="51" spans="1:72" x14ac:dyDescent="0.25">
      <c r="A51" s="149" t="s">
        <v>105</v>
      </c>
      <c r="B51" s="135">
        <v>407465567</v>
      </c>
      <c r="C51" s="135">
        <v>312001794</v>
      </c>
      <c r="D51" s="135">
        <v>201053914</v>
      </c>
      <c r="E51" s="135">
        <v>25140591</v>
      </c>
      <c r="F51" s="135">
        <v>51966900</v>
      </c>
      <c r="G51" s="135">
        <v>10097200</v>
      </c>
      <c r="H51" s="135">
        <v>23367500</v>
      </c>
      <c r="I51" s="135">
        <v>2950700</v>
      </c>
      <c r="J51" s="135">
        <v>81000</v>
      </c>
      <c r="K51" s="135">
        <v>0</v>
      </c>
      <c r="L51" s="135">
        <v>470146846</v>
      </c>
      <c r="M51" s="135">
        <v>214446600</v>
      </c>
      <c r="N51" s="135">
        <v>1936</v>
      </c>
      <c r="O51" s="135">
        <v>361</v>
      </c>
      <c r="P51" s="135">
        <v>16648100</v>
      </c>
      <c r="Q51" s="135">
        <v>5759392</v>
      </c>
      <c r="R51" s="135">
        <v>3408340</v>
      </c>
      <c r="S51" s="135">
        <v>3286850</v>
      </c>
      <c r="T51" s="135">
        <v>3404725</v>
      </c>
      <c r="U51" s="135">
        <v>488063</v>
      </c>
      <c r="V51" s="135">
        <v>16648100</v>
      </c>
      <c r="W51" s="135">
        <v>6724600</v>
      </c>
      <c r="X51" s="135">
        <v>3408340</v>
      </c>
      <c r="Y51" s="135">
        <v>3286850</v>
      </c>
      <c r="Z51" s="135">
        <v>4642800</v>
      </c>
      <c r="AA51" s="135">
        <v>488063</v>
      </c>
      <c r="AB51" s="135">
        <v>-2652600</v>
      </c>
      <c r="AC51" s="135">
        <v>-16037</v>
      </c>
      <c r="AD51" s="135">
        <v>99222</v>
      </c>
      <c r="AE51" s="135">
        <v>0</v>
      </c>
      <c r="AF51" s="135">
        <v>0</v>
      </c>
      <c r="AG51" s="135">
        <v>234235</v>
      </c>
      <c r="AH51" s="135">
        <v>615000</v>
      </c>
      <c r="AI51" s="135">
        <v>102500</v>
      </c>
      <c r="AJ51" s="135"/>
      <c r="AK51" s="135">
        <v>129365275</v>
      </c>
      <c r="AL51" s="135">
        <v>6150764</v>
      </c>
      <c r="AM51" s="135"/>
      <c r="AN51" s="135">
        <v>22606288</v>
      </c>
      <c r="AO51" s="135">
        <v>14136946</v>
      </c>
      <c r="AP51" s="135">
        <v>242691625</v>
      </c>
      <c r="AQ51" s="135">
        <v>30110937</v>
      </c>
      <c r="AR51" s="135">
        <v>62801083</v>
      </c>
      <c r="AS51" s="135">
        <v>18280989</v>
      </c>
      <c r="AT51" s="135">
        <v>675823</v>
      </c>
      <c r="AU51" s="135"/>
      <c r="AV51" s="135"/>
      <c r="AW51" s="135">
        <v>3212850</v>
      </c>
      <c r="AX51" s="135">
        <v>42230</v>
      </c>
      <c r="AY51" s="135"/>
      <c r="AZ51" s="135">
        <v>6926058.8200000003</v>
      </c>
      <c r="BA51" s="135">
        <v>3601551</v>
      </c>
      <c r="BB51" s="135">
        <v>0</v>
      </c>
      <c r="BC51" s="135">
        <v>1644583</v>
      </c>
      <c r="BD51" s="135">
        <v>3162659</v>
      </c>
      <c r="BE51" s="135">
        <v>23882614</v>
      </c>
      <c r="BF51" s="135">
        <v>23882614</v>
      </c>
      <c r="BG51" s="135">
        <v>67444112</v>
      </c>
      <c r="BH51" s="135">
        <v>63793995</v>
      </c>
      <c r="BI51" s="135">
        <v>0</v>
      </c>
      <c r="BJ51" s="135">
        <v>0</v>
      </c>
      <c r="BK51" s="135"/>
      <c r="BL51" s="135">
        <v>1216531728</v>
      </c>
      <c r="BM51" s="135">
        <v>988092946</v>
      </c>
      <c r="BN51" s="135">
        <v>1745329</v>
      </c>
      <c r="BO51" s="135"/>
      <c r="BP51" s="135">
        <v>920521275</v>
      </c>
      <c r="BQ51" s="135">
        <v>129365275</v>
      </c>
      <c r="BR51" s="135">
        <v>6150764</v>
      </c>
      <c r="BS51" s="135">
        <v>85135160</v>
      </c>
      <c r="BT51" s="135">
        <v>1141172474</v>
      </c>
    </row>
    <row r="52" spans="1:72" x14ac:dyDescent="0.25">
      <c r="A52" s="149" t="s">
        <v>106</v>
      </c>
      <c r="B52" s="135">
        <v>1507217345</v>
      </c>
      <c r="C52" s="135">
        <v>317126338</v>
      </c>
      <c r="D52" s="135">
        <v>670672186</v>
      </c>
      <c r="E52" s="135">
        <v>13419900</v>
      </c>
      <c r="F52" s="135">
        <v>154687152</v>
      </c>
      <c r="G52" s="135">
        <v>13729854</v>
      </c>
      <c r="H52" s="135">
        <v>11159585</v>
      </c>
      <c r="I52" s="135">
        <v>526500</v>
      </c>
      <c r="J52" s="135">
        <v>295000</v>
      </c>
      <c r="K52" s="135">
        <v>0</v>
      </c>
      <c r="L52" s="135">
        <v>931545394</v>
      </c>
      <c r="M52" s="135">
        <v>94699700</v>
      </c>
      <c r="N52" s="135">
        <v>4251</v>
      </c>
      <c r="O52" s="135">
        <v>402</v>
      </c>
      <c r="P52" s="135">
        <v>22532300</v>
      </c>
      <c r="Q52" s="135">
        <v>2531000</v>
      </c>
      <c r="R52" s="135">
        <v>7378100</v>
      </c>
      <c r="S52" s="135">
        <v>4263325</v>
      </c>
      <c r="T52" s="135">
        <v>5507777</v>
      </c>
      <c r="U52" s="135">
        <v>2753500</v>
      </c>
      <c r="V52" s="135">
        <v>22532300</v>
      </c>
      <c r="W52" s="135">
        <v>3708700</v>
      </c>
      <c r="X52" s="135">
        <v>7378100</v>
      </c>
      <c r="Y52" s="135">
        <v>4263325</v>
      </c>
      <c r="Z52" s="135">
        <v>8582327</v>
      </c>
      <c r="AA52" s="135">
        <v>2753500</v>
      </c>
      <c r="AB52" s="135">
        <v>-5189130</v>
      </c>
      <c r="AC52" s="135">
        <v>-6632591</v>
      </c>
      <c r="AD52" s="135">
        <v>40953</v>
      </c>
      <c r="AE52" s="135">
        <v>5159</v>
      </c>
      <c r="AF52" s="135">
        <v>25282375</v>
      </c>
      <c r="AG52" s="135">
        <v>238747</v>
      </c>
      <c r="AH52" s="135">
        <v>27000000</v>
      </c>
      <c r="AI52" s="135">
        <v>0</v>
      </c>
      <c r="AJ52" s="135">
        <v>15000000</v>
      </c>
      <c r="AK52" s="135">
        <v>397739436</v>
      </c>
      <c r="AL52" s="135">
        <v>15595092</v>
      </c>
      <c r="AM52" s="135">
        <v>3833</v>
      </c>
      <c r="AN52" s="135">
        <v>136066075</v>
      </c>
      <c r="AO52" s="135">
        <v>33254728</v>
      </c>
      <c r="AP52" s="135">
        <v>439589644</v>
      </c>
      <c r="AQ52" s="135">
        <v>144053737</v>
      </c>
      <c r="AR52" s="135">
        <v>197054272</v>
      </c>
      <c r="AS52" s="135">
        <v>166030451</v>
      </c>
      <c r="AT52" s="135">
        <v>7454473</v>
      </c>
      <c r="AU52" s="135"/>
      <c r="AV52" s="135">
        <v>1004869</v>
      </c>
      <c r="AW52" s="135">
        <v>2007015</v>
      </c>
      <c r="AX52" s="135">
        <v>978146</v>
      </c>
      <c r="AY52" s="135">
        <v>1132310</v>
      </c>
      <c r="AZ52" s="135">
        <v>21294483.609999999</v>
      </c>
      <c r="BA52" s="135">
        <v>11073131</v>
      </c>
      <c r="BB52" s="135">
        <v>106013136.30528496</v>
      </c>
      <c r="BC52" s="135">
        <v>3174804</v>
      </c>
      <c r="BD52" s="135">
        <v>6105393</v>
      </c>
      <c r="BE52" s="135">
        <v>43993205</v>
      </c>
      <c r="BF52" s="135">
        <v>43993205</v>
      </c>
      <c r="BG52" s="135">
        <v>122730532</v>
      </c>
      <c r="BH52" s="135">
        <v>118564245</v>
      </c>
      <c r="BI52" s="135">
        <v>0</v>
      </c>
      <c r="BJ52" s="135">
        <v>0</v>
      </c>
      <c r="BK52" s="135"/>
      <c r="BL52" s="135">
        <v>3440530322</v>
      </c>
      <c r="BM52" s="135">
        <v>2850390409</v>
      </c>
      <c r="BN52" s="135">
        <v>3909417</v>
      </c>
      <c r="BO52" s="135"/>
      <c r="BP52" s="135">
        <v>2495015869</v>
      </c>
      <c r="BQ52" s="135">
        <v>397739436</v>
      </c>
      <c r="BR52" s="135">
        <v>15595092</v>
      </c>
      <c r="BS52" s="135">
        <v>479404991</v>
      </c>
      <c r="BT52" s="135">
        <v>3387755388</v>
      </c>
    </row>
    <row r="53" spans="1:72" x14ac:dyDescent="0.25">
      <c r="A53" s="149" t="s">
        <v>107</v>
      </c>
      <c r="B53" s="135">
        <v>595223500</v>
      </c>
      <c r="C53" s="135">
        <v>283544900</v>
      </c>
      <c r="D53" s="135">
        <v>111833800</v>
      </c>
      <c r="E53" s="135">
        <v>0</v>
      </c>
      <c r="F53" s="135">
        <v>46669700</v>
      </c>
      <c r="G53" s="135">
        <v>4848500</v>
      </c>
      <c r="H53" s="135">
        <v>16763300</v>
      </c>
      <c r="I53" s="135">
        <v>930000</v>
      </c>
      <c r="J53" s="135">
        <v>81000</v>
      </c>
      <c r="K53" s="135">
        <v>0</v>
      </c>
      <c r="L53" s="135">
        <v>447446029</v>
      </c>
      <c r="M53" s="135">
        <v>211540600</v>
      </c>
      <c r="N53" s="135">
        <v>1585</v>
      </c>
      <c r="O53" s="135">
        <v>145</v>
      </c>
      <c r="P53" s="135">
        <v>11636500</v>
      </c>
      <c r="Q53" s="135">
        <v>9987700</v>
      </c>
      <c r="R53" s="135">
        <v>5969300</v>
      </c>
      <c r="S53" s="135">
        <v>4183000</v>
      </c>
      <c r="T53" s="135">
        <v>1544900</v>
      </c>
      <c r="U53" s="135">
        <v>338800</v>
      </c>
      <c r="V53" s="135">
        <v>11636500</v>
      </c>
      <c r="W53" s="135">
        <v>10392500</v>
      </c>
      <c r="X53" s="135">
        <v>5969300</v>
      </c>
      <c r="Y53" s="135">
        <v>4183000</v>
      </c>
      <c r="Z53" s="135">
        <v>3125300</v>
      </c>
      <c r="AA53" s="135">
        <v>338800</v>
      </c>
      <c r="AB53" s="135">
        <v>-2599000</v>
      </c>
      <c r="AC53" s="135">
        <v>0</v>
      </c>
      <c r="AD53" s="135">
        <v>41248</v>
      </c>
      <c r="AE53" s="135">
        <v>36255</v>
      </c>
      <c r="AF53" s="135">
        <v>233702700</v>
      </c>
      <c r="AG53" s="135">
        <v>168230</v>
      </c>
      <c r="AH53" s="135">
        <v>0</v>
      </c>
      <c r="AI53" s="135">
        <v>430000</v>
      </c>
      <c r="AJ53" s="135"/>
      <c r="AK53" s="135">
        <v>150456976</v>
      </c>
      <c r="AL53" s="135">
        <v>3489548</v>
      </c>
      <c r="AM53" s="135">
        <v>0</v>
      </c>
      <c r="AN53" s="135">
        <v>17458313</v>
      </c>
      <c r="AO53" s="135">
        <v>1169971</v>
      </c>
      <c r="AP53" s="135">
        <v>31543241</v>
      </c>
      <c r="AQ53" s="135">
        <v>15983013</v>
      </c>
      <c r="AR53" s="135">
        <v>63236974</v>
      </c>
      <c r="AS53" s="135">
        <v>10930444</v>
      </c>
      <c r="AT53" s="135">
        <v>2383143</v>
      </c>
      <c r="AU53" s="135">
        <v>0</v>
      </c>
      <c r="AV53" s="135">
        <v>0</v>
      </c>
      <c r="AW53" s="135">
        <v>88716</v>
      </c>
      <c r="AX53" s="135">
        <v>17019</v>
      </c>
      <c r="AY53" s="135">
        <v>147000</v>
      </c>
      <c r="AZ53" s="135">
        <v>8055282.7300000004</v>
      </c>
      <c r="BA53" s="135">
        <v>4188747</v>
      </c>
      <c r="BB53" s="135">
        <v>6968991.0320207253</v>
      </c>
      <c r="BC53" s="135">
        <v>1106718</v>
      </c>
      <c r="BD53" s="135">
        <v>2128303</v>
      </c>
      <c r="BE53" s="135">
        <v>9770527</v>
      </c>
      <c r="BF53" s="135">
        <v>9770527</v>
      </c>
      <c r="BG53" s="135">
        <v>54235261</v>
      </c>
      <c r="BH53" s="135">
        <v>52413582</v>
      </c>
      <c r="BI53" s="135">
        <v>7409068</v>
      </c>
      <c r="BJ53" s="135">
        <v>0</v>
      </c>
      <c r="BK53" s="135"/>
      <c r="BL53" s="135">
        <v>1254478663</v>
      </c>
      <c r="BM53" s="135">
        <v>1025643497</v>
      </c>
      <c r="BN53" s="135">
        <v>436200</v>
      </c>
      <c r="BO53" s="135"/>
      <c r="BP53" s="135">
        <v>990602200</v>
      </c>
      <c r="BQ53" s="135">
        <v>150456976</v>
      </c>
      <c r="BR53" s="135">
        <v>3489548</v>
      </c>
      <c r="BS53" s="135">
        <v>45541741</v>
      </c>
      <c r="BT53" s="135">
        <v>1190090465</v>
      </c>
    </row>
    <row r="54" spans="1:72" x14ac:dyDescent="0.25">
      <c r="A54" s="149" t="s">
        <v>108</v>
      </c>
      <c r="B54" s="135">
        <v>80663023</v>
      </c>
      <c r="C54" s="135">
        <v>125434590</v>
      </c>
      <c r="D54" s="135">
        <v>25174067</v>
      </c>
      <c r="E54" s="135">
        <v>0</v>
      </c>
      <c r="F54" s="135">
        <v>16643250</v>
      </c>
      <c r="G54" s="135">
        <v>3377090</v>
      </c>
      <c r="H54" s="135">
        <v>5762700</v>
      </c>
      <c r="I54" s="135">
        <v>364500</v>
      </c>
      <c r="J54" s="135">
        <v>0</v>
      </c>
      <c r="K54" s="135">
        <v>0</v>
      </c>
      <c r="L54" s="135">
        <v>506065904</v>
      </c>
      <c r="M54" s="135">
        <v>33250085</v>
      </c>
      <c r="N54" s="135">
        <v>619</v>
      </c>
      <c r="O54" s="135">
        <v>114</v>
      </c>
      <c r="P54" s="135">
        <v>1406820</v>
      </c>
      <c r="Q54" s="135">
        <v>1204746</v>
      </c>
      <c r="R54" s="135">
        <v>584500</v>
      </c>
      <c r="S54" s="135">
        <v>706328</v>
      </c>
      <c r="T54" s="135">
        <v>845609</v>
      </c>
      <c r="U54" s="135">
        <v>286652</v>
      </c>
      <c r="V54" s="135">
        <v>1406820</v>
      </c>
      <c r="W54" s="135">
        <v>1400400</v>
      </c>
      <c r="X54" s="135">
        <v>584500</v>
      </c>
      <c r="Y54" s="135">
        <v>706328</v>
      </c>
      <c r="Z54" s="135">
        <v>3000300</v>
      </c>
      <c r="AA54" s="135">
        <v>286652</v>
      </c>
      <c r="AB54" s="135">
        <v>-638502</v>
      </c>
      <c r="AC54" s="135">
        <v>-339076</v>
      </c>
      <c r="AD54" s="135">
        <v>15442</v>
      </c>
      <c r="AE54" s="135">
        <v>216</v>
      </c>
      <c r="AF54" s="135">
        <v>121804958</v>
      </c>
      <c r="AG54" s="135">
        <v>143812</v>
      </c>
      <c r="AH54" s="135">
        <v>0</v>
      </c>
      <c r="AI54" s="135">
        <v>10000</v>
      </c>
      <c r="AJ54" s="135"/>
      <c r="AK54" s="135">
        <v>46972729</v>
      </c>
      <c r="AL54" s="135">
        <v>1323654</v>
      </c>
      <c r="AM54" s="135"/>
      <c r="AN54" s="135">
        <v>13536116</v>
      </c>
      <c r="AO54" s="135">
        <v>25874</v>
      </c>
      <c r="AP54" s="135">
        <v>23008</v>
      </c>
      <c r="AQ54" s="135">
        <v>23854309</v>
      </c>
      <c r="AR54" s="135">
        <v>5938880</v>
      </c>
      <c r="AS54" s="135">
        <v>596708</v>
      </c>
      <c r="AT54" s="135">
        <v>1876589</v>
      </c>
      <c r="AU54" s="135"/>
      <c r="AV54" s="135"/>
      <c r="AW54" s="135">
        <v>1166135</v>
      </c>
      <c r="AX54" s="135"/>
      <c r="AY54" s="135"/>
      <c r="AZ54" s="135">
        <v>2514862.54</v>
      </c>
      <c r="BA54" s="135">
        <v>1307729</v>
      </c>
      <c r="BB54" s="135">
        <v>13656406.668808289</v>
      </c>
      <c r="BC54" s="135">
        <v>2031196</v>
      </c>
      <c r="BD54" s="135">
        <v>3906146</v>
      </c>
      <c r="BE54" s="135">
        <v>34692444</v>
      </c>
      <c r="BF54" s="135">
        <v>34692444</v>
      </c>
      <c r="BG54" s="135">
        <v>73798700</v>
      </c>
      <c r="BH54" s="135">
        <v>49703313</v>
      </c>
      <c r="BI54" s="135">
        <v>0</v>
      </c>
      <c r="BJ54" s="135">
        <v>0</v>
      </c>
      <c r="BK54" s="135"/>
      <c r="BL54" s="135">
        <v>404729044</v>
      </c>
      <c r="BM54" s="135">
        <v>268697979</v>
      </c>
      <c r="BN54" s="135"/>
      <c r="BO54" s="135"/>
      <c r="BP54" s="135">
        <v>231271680</v>
      </c>
      <c r="BQ54" s="135">
        <v>46972729</v>
      </c>
      <c r="BR54" s="135">
        <v>1323654</v>
      </c>
      <c r="BS54" s="135">
        <v>38013007</v>
      </c>
      <c r="BT54" s="135">
        <v>317581070</v>
      </c>
    </row>
    <row r="55" spans="1:72" x14ac:dyDescent="0.25">
      <c r="A55" s="149" t="s">
        <v>109</v>
      </c>
      <c r="B55" s="135">
        <v>1388893678</v>
      </c>
      <c r="C55" s="135">
        <v>313101817</v>
      </c>
      <c r="D55" s="135">
        <v>503723821</v>
      </c>
      <c r="E55" s="135">
        <v>14450000</v>
      </c>
      <c r="F55" s="135">
        <v>136590155</v>
      </c>
      <c r="G55" s="135">
        <v>40453790</v>
      </c>
      <c r="H55" s="135">
        <v>18719600</v>
      </c>
      <c r="I55" s="135">
        <v>3978040</v>
      </c>
      <c r="J55" s="135">
        <v>81000</v>
      </c>
      <c r="K55" s="135">
        <v>35500</v>
      </c>
      <c r="L55" s="135">
        <v>372303520</v>
      </c>
      <c r="M55" s="135">
        <v>192214692</v>
      </c>
      <c r="N55" s="135">
        <v>4045</v>
      </c>
      <c r="O55" s="135">
        <v>1258</v>
      </c>
      <c r="P55" s="135">
        <v>37001884</v>
      </c>
      <c r="Q55" s="135">
        <v>10441200</v>
      </c>
      <c r="R55" s="135">
        <v>11235050</v>
      </c>
      <c r="S55" s="135">
        <v>25646422</v>
      </c>
      <c r="T55" s="135">
        <v>6041695</v>
      </c>
      <c r="U55" s="135">
        <v>17682954</v>
      </c>
      <c r="V55" s="135">
        <v>37001884</v>
      </c>
      <c r="W55" s="135">
        <v>19756100</v>
      </c>
      <c r="X55" s="135">
        <v>11235050</v>
      </c>
      <c r="Y55" s="135">
        <v>25646422</v>
      </c>
      <c r="Z55" s="135">
        <v>9518618</v>
      </c>
      <c r="AA55" s="135">
        <v>17682954</v>
      </c>
      <c r="AB55" s="135">
        <v>-1479600</v>
      </c>
      <c r="AC55" s="135">
        <v>-2882000</v>
      </c>
      <c r="AD55" s="135">
        <v>85417</v>
      </c>
      <c r="AE55" s="135">
        <v>36933</v>
      </c>
      <c r="AF55" s="135">
        <v>17716507</v>
      </c>
      <c r="AG55" s="135">
        <v>322979</v>
      </c>
      <c r="AH55" s="135">
        <v>4600000</v>
      </c>
      <c r="AI55" s="135">
        <v>313108</v>
      </c>
      <c r="AJ55" s="135">
        <v>18010237.704918034</v>
      </c>
      <c r="AK55" s="135">
        <v>392066371</v>
      </c>
      <c r="AL55" s="135">
        <v>12563259</v>
      </c>
      <c r="AM55" s="135">
        <v>0</v>
      </c>
      <c r="AN55" s="135">
        <v>217206605</v>
      </c>
      <c r="AO55" s="135">
        <v>13266872</v>
      </c>
      <c r="AP55" s="135">
        <v>251335984</v>
      </c>
      <c r="AQ55" s="135">
        <v>130009494</v>
      </c>
      <c r="AR55" s="135">
        <v>121495996</v>
      </c>
      <c r="AS55" s="135">
        <v>390651531</v>
      </c>
      <c r="AT55" s="135">
        <v>8861665</v>
      </c>
      <c r="AU55" s="135">
        <v>0</v>
      </c>
      <c r="AV55" s="135">
        <v>2762351</v>
      </c>
      <c r="AW55" s="135">
        <v>5166416</v>
      </c>
      <c r="AX55" s="135">
        <v>4363917</v>
      </c>
      <c r="AY55" s="135">
        <v>3347700</v>
      </c>
      <c r="AZ55" s="135">
        <v>20990754.640000001</v>
      </c>
      <c r="BA55" s="135">
        <v>10915192</v>
      </c>
      <c r="BB55" s="135">
        <v>1548664.6737823836</v>
      </c>
      <c r="BC55" s="135">
        <v>11335003</v>
      </c>
      <c r="BD55" s="135">
        <v>21798082</v>
      </c>
      <c r="BE55" s="135">
        <v>113674267</v>
      </c>
      <c r="BF55" s="135">
        <v>107930743</v>
      </c>
      <c r="BG55" s="135">
        <v>227440277</v>
      </c>
      <c r="BH55" s="135">
        <v>214103865</v>
      </c>
      <c r="BI55" s="135">
        <v>0</v>
      </c>
      <c r="BJ55" s="135">
        <v>0</v>
      </c>
      <c r="BK55" s="135"/>
      <c r="BL55" s="135">
        <v>3338040065.7049179</v>
      </c>
      <c r="BM55" s="135">
        <v>2589125632.7049179</v>
      </c>
      <c r="BN55" s="135">
        <v>5761116</v>
      </c>
      <c r="BO55" s="135"/>
      <c r="BP55" s="135">
        <v>2205719316</v>
      </c>
      <c r="BQ55" s="135">
        <v>392066371</v>
      </c>
      <c r="BR55" s="135">
        <v>12563259</v>
      </c>
      <c r="BS55" s="135">
        <v>751134502</v>
      </c>
      <c r="BT55" s="135">
        <v>3361483448</v>
      </c>
    </row>
    <row r="56" spans="1:72" x14ac:dyDescent="0.25">
      <c r="A56" s="149" t="s">
        <v>110</v>
      </c>
      <c r="B56" s="135">
        <v>162274650</v>
      </c>
      <c r="C56" s="135">
        <v>83336325</v>
      </c>
      <c r="D56" s="135">
        <v>42979300</v>
      </c>
      <c r="E56" s="135">
        <v>0</v>
      </c>
      <c r="F56" s="135">
        <v>26654150</v>
      </c>
      <c r="G56" s="135">
        <v>20708125</v>
      </c>
      <c r="H56" s="135">
        <v>13581950</v>
      </c>
      <c r="I56" s="135">
        <v>5773450</v>
      </c>
      <c r="J56" s="135">
        <v>111000</v>
      </c>
      <c r="K56" s="135">
        <v>40500</v>
      </c>
      <c r="L56" s="135">
        <v>129535575</v>
      </c>
      <c r="M56" s="135">
        <v>74752640</v>
      </c>
      <c r="N56" s="135">
        <v>1195</v>
      </c>
      <c r="O56" s="135">
        <v>856</v>
      </c>
      <c r="P56" s="135">
        <v>5854100</v>
      </c>
      <c r="Q56" s="135">
        <v>1810750</v>
      </c>
      <c r="R56" s="135">
        <v>396000</v>
      </c>
      <c r="S56" s="135">
        <v>1474700</v>
      </c>
      <c r="T56" s="135">
        <v>827550</v>
      </c>
      <c r="U56" s="135">
        <v>97500</v>
      </c>
      <c r="V56" s="135">
        <v>5854100</v>
      </c>
      <c r="W56" s="135">
        <v>4651900</v>
      </c>
      <c r="X56" s="135">
        <v>396000</v>
      </c>
      <c r="Y56" s="135">
        <v>1474700</v>
      </c>
      <c r="Z56" s="135">
        <v>1323600</v>
      </c>
      <c r="AA56" s="135">
        <v>97500</v>
      </c>
      <c r="AB56" s="135">
        <v>-2195190</v>
      </c>
      <c r="AC56" s="135">
        <v>-24710</v>
      </c>
      <c r="AD56" s="135">
        <v>74749</v>
      </c>
      <c r="AE56" s="135">
        <v>3045</v>
      </c>
      <c r="AF56" s="135">
        <v>4120751</v>
      </c>
      <c r="AG56" s="135">
        <v>140626</v>
      </c>
      <c r="AH56" s="135">
        <v>0</v>
      </c>
      <c r="AI56" s="135">
        <v>220000</v>
      </c>
      <c r="AJ56" s="135"/>
      <c r="AK56" s="135">
        <v>93393533</v>
      </c>
      <c r="AL56" s="135">
        <v>2484314</v>
      </c>
      <c r="AM56" s="135"/>
      <c r="AN56" s="135">
        <v>8846841</v>
      </c>
      <c r="AO56" s="135">
        <v>132196</v>
      </c>
      <c r="AP56" s="135">
        <v>9673852</v>
      </c>
      <c r="AQ56" s="135">
        <v>6381183</v>
      </c>
      <c r="AR56" s="135">
        <v>248919</v>
      </c>
      <c r="AS56" s="135"/>
      <c r="AT56" s="135">
        <v>687695</v>
      </c>
      <c r="AU56" s="135">
        <v>0</v>
      </c>
      <c r="AV56" s="135">
        <v>0</v>
      </c>
      <c r="AW56" s="135">
        <v>0</v>
      </c>
      <c r="AX56" s="135">
        <v>0</v>
      </c>
      <c r="AY56" s="135">
        <v>0</v>
      </c>
      <c r="AZ56" s="135">
        <v>5000175.6900000004</v>
      </c>
      <c r="BA56" s="135">
        <v>2600091</v>
      </c>
      <c r="BB56" s="135">
        <v>0</v>
      </c>
      <c r="BC56" s="135">
        <v>0</v>
      </c>
      <c r="BD56" s="135">
        <v>0</v>
      </c>
      <c r="BE56" s="135">
        <v>5331414</v>
      </c>
      <c r="BF56" s="135">
        <v>5331414</v>
      </c>
      <c r="BG56" s="135">
        <v>49408040</v>
      </c>
      <c r="BH56" s="135">
        <v>49408040</v>
      </c>
      <c r="BI56" s="135">
        <v>0</v>
      </c>
      <c r="BJ56" s="135">
        <v>0</v>
      </c>
      <c r="BK56" s="135"/>
      <c r="BL56" s="135">
        <v>457387887</v>
      </c>
      <c r="BM56" s="135">
        <v>304170495</v>
      </c>
      <c r="BN56" s="135">
        <v>3936000</v>
      </c>
      <c r="BO56" s="135"/>
      <c r="BP56" s="135">
        <v>288590275</v>
      </c>
      <c r="BQ56" s="135">
        <v>93393533</v>
      </c>
      <c r="BR56" s="135">
        <v>2484314</v>
      </c>
      <c r="BS56" s="135">
        <v>15360220</v>
      </c>
      <c r="BT56" s="135">
        <v>399828342</v>
      </c>
    </row>
    <row r="57" spans="1:72" x14ac:dyDescent="0.25">
      <c r="A57" s="149" t="s">
        <v>111</v>
      </c>
      <c r="B57" s="135">
        <v>52360355089</v>
      </c>
      <c r="C57" s="135">
        <v>178718394</v>
      </c>
      <c r="D57" s="135">
        <v>26517329762</v>
      </c>
      <c r="E57" s="135">
        <v>340583340</v>
      </c>
      <c r="F57" s="135">
        <v>2481177390</v>
      </c>
      <c r="G57" s="135">
        <v>162303850</v>
      </c>
      <c r="H57" s="135">
        <v>7614000</v>
      </c>
      <c r="I57" s="135">
        <v>162000</v>
      </c>
      <c r="J57" s="135">
        <v>4488730</v>
      </c>
      <c r="K57" s="135">
        <v>275180</v>
      </c>
      <c r="L57" s="135">
        <v>391228670</v>
      </c>
      <c r="M57" s="135">
        <v>577723064</v>
      </c>
      <c r="N57" s="135">
        <v>62250</v>
      </c>
      <c r="O57" s="135">
        <v>4193</v>
      </c>
      <c r="P57" s="135">
        <v>546121046</v>
      </c>
      <c r="Q57" s="135">
        <v>8269790</v>
      </c>
      <c r="R57" s="135">
        <v>957157871</v>
      </c>
      <c r="S57" s="135">
        <v>177144097</v>
      </c>
      <c r="T57" s="135">
        <v>12902970</v>
      </c>
      <c r="U57" s="135">
        <v>312763121</v>
      </c>
      <c r="V57" s="135">
        <v>546121046</v>
      </c>
      <c r="W57" s="135">
        <v>14716200</v>
      </c>
      <c r="X57" s="135">
        <v>957157871</v>
      </c>
      <c r="Y57" s="135">
        <v>177144097</v>
      </c>
      <c r="Z57" s="135">
        <v>47317650</v>
      </c>
      <c r="AA57" s="135">
        <v>312763121</v>
      </c>
      <c r="AB57" s="135">
        <v>-48115586</v>
      </c>
      <c r="AC57" s="135">
        <v>-257623521</v>
      </c>
      <c r="AD57" s="135">
        <v>0</v>
      </c>
      <c r="AE57" s="135">
        <v>0</v>
      </c>
      <c r="AF57" s="135">
        <v>0</v>
      </c>
      <c r="AG57" s="135">
        <v>0</v>
      </c>
      <c r="AH57" s="135">
        <v>0</v>
      </c>
      <c r="AI57" s="135">
        <v>368358</v>
      </c>
      <c r="AJ57" s="135"/>
      <c r="AK57" s="135">
        <v>6501332329</v>
      </c>
      <c r="AL57" s="135">
        <v>110502598</v>
      </c>
      <c r="AM57" s="135">
        <v>3175483</v>
      </c>
      <c r="AN57" s="135">
        <v>3073634935</v>
      </c>
      <c r="AO57" s="135">
        <v>206656979</v>
      </c>
      <c r="AP57" s="135">
        <v>4207824983</v>
      </c>
      <c r="AQ57" s="135">
        <v>2675429949</v>
      </c>
      <c r="AR57" s="135">
        <v>1619747003</v>
      </c>
      <c r="AS57" s="135">
        <v>4745774349</v>
      </c>
      <c r="AT57" s="135">
        <v>2291247550</v>
      </c>
      <c r="AU57" s="135"/>
      <c r="AV57" s="135">
        <v>58359</v>
      </c>
      <c r="AW57" s="135">
        <v>52865635</v>
      </c>
      <c r="AX57" s="135">
        <v>32187139</v>
      </c>
      <c r="AY57" s="135">
        <v>130343451</v>
      </c>
      <c r="AZ57" s="135">
        <v>348073392.31999999</v>
      </c>
      <c r="BA57" s="135">
        <v>180998164</v>
      </c>
      <c r="BB57" s="135">
        <v>52654598.908601031</v>
      </c>
      <c r="BC57" s="135">
        <v>23244023</v>
      </c>
      <c r="BD57" s="135">
        <v>44700045</v>
      </c>
      <c r="BE57" s="135">
        <v>1189164166</v>
      </c>
      <c r="BF57" s="135">
        <v>1184284681</v>
      </c>
      <c r="BG57" s="135">
        <v>2198741575</v>
      </c>
      <c r="BH57" s="135">
        <v>2050626807</v>
      </c>
      <c r="BI57" s="135">
        <v>252912572</v>
      </c>
      <c r="BJ57" s="135">
        <v>0</v>
      </c>
      <c r="BK57" s="135"/>
      <c r="BL57" s="135">
        <v>95316394640</v>
      </c>
      <c r="BM57" s="135">
        <v>85012493466</v>
      </c>
      <c r="BN57" s="135">
        <v>124825130</v>
      </c>
      <c r="BO57" s="135"/>
      <c r="BP57" s="135">
        <v>79056403245</v>
      </c>
      <c r="BQ57" s="135">
        <v>6501332329</v>
      </c>
      <c r="BR57" s="135">
        <v>110502598</v>
      </c>
      <c r="BS57" s="135">
        <v>10701496212</v>
      </c>
      <c r="BT57" s="135">
        <v>96369734384</v>
      </c>
    </row>
    <row r="58" spans="1:72" x14ac:dyDescent="0.25">
      <c r="A58" s="149" t="s">
        <v>112</v>
      </c>
      <c r="B58" s="135">
        <v>3652617824</v>
      </c>
      <c r="C58" s="135">
        <v>330214460</v>
      </c>
      <c r="D58" s="135">
        <v>859932356</v>
      </c>
      <c r="E58" s="135">
        <v>0</v>
      </c>
      <c r="F58" s="135">
        <v>145335548</v>
      </c>
      <c r="G58" s="135">
        <v>16606110</v>
      </c>
      <c r="H58" s="135">
        <v>13049799</v>
      </c>
      <c r="I58" s="135">
        <v>1063945</v>
      </c>
      <c r="J58" s="135">
        <v>121500</v>
      </c>
      <c r="K58" s="135">
        <v>0</v>
      </c>
      <c r="L58" s="135">
        <v>589670971</v>
      </c>
      <c r="M58" s="135">
        <v>263578749</v>
      </c>
      <c r="N58" s="135">
        <v>3951</v>
      </c>
      <c r="O58" s="135">
        <v>446</v>
      </c>
      <c r="P58" s="135">
        <v>133940987</v>
      </c>
      <c r="Q58" s="135">
        <v>1496280</v>
      </c>
      <c r="R58" s="135">
        <v>20349680</v>
      </c>
      <c r="S58" s="135">
        <v>10000024</v>
      </c>
      <c r="T58" s="135">
        <v>2762785</v>
      </c>
      <c r="U58" s="135">
        <v>1193000</v>
      </c>
      <c r="V58" s="135">
        <v>133940987</v>
      </c>
      <c r="W58" s="135">
        <v>10058490</v>
      </c>
      <c r="X58" s="135">
        <v>20349680</v>
      </c>
      <c r="Y58" s="135">
        <v>10000024</v>
      </c>
      <c r="Z58" s="135">
        <v>17316787</v>
      </c>
      <c r="AA58" s="135">
        <v>1193000</v>
      </c>
      <c r="AB58" s="135">
        <v>-1311000</v>
      </c>
      <c r="AC58" s="135">
        <v>4728166</v>
      </c>
      <c r="AD58" s="135">
        <v>0</v>
      </c>
      <c r="AE58" s="135">
        <v>0</v>
      </c>
      <c r="AF58" s="135">
        <v>0</v>
      </c>
      <c r="AG58" s="135">
        <v>82326.322499999995</v>
      </c>
      <c r="AH58" s="135">
        <v>0</v>
      </c>
      <c r="AI58" s="135">
        <v>577281</v>
      </c>
      <c r="AJ58" s="135"/>
      <c r="AK58" s="135">
        <v>462132501</v>
      </c>
      <c r="AL58" s="135">
        <v>18514521</v>
      </c>
      <c r="AM58" s="135"/>
      <c r="AN58" s="135">
        <v>137486248</v>
      </c>
      <c r="AO58" s="135">
        <v>4414968</v>
      </c>
      <c r="AP58" s="135">
        <v>101477166</v>
      </c>
      <c r="AQ58" s="135">
        <v>99204440</v>
      </c>
      <c r="AR58" s="135">
        <v>93411734</v>
      </c>
      <c r="AS58" s="135">
        <v>62316871</v>
      </c>
      <c r="AT58" s="135">
        <v>15230067</v>
      </c>
      <c r="AU58" s="135"/>
      <c r="AV58" s="135"/>
      <c r="AW58" s="135">
        <v>62000</v>
      </c>
      <c r="AX58" s="135">
        <v>67427</v>
      </c>
      <c r="AY58" s="135">
        <v>5582500</v>
      </c>
      <c r="AZ58" s="135">
        <v>24742009.670000002</v>
      </c>
      <c r="BA58" s="135">
        <v>12865845</v>
      </c>
      <c r="BB58" s="135">
        <v>0</v>
      </c>
      <c r="BC58" s="135">
        <v>1775175</v>
      </c>
      <c r="BD58" s="135">
        <v>3413798</v>
      </c>
      <c r="BE58" s="135">
        <v>46503627</v>
      </c>
      <c r="BF58" s="135">
        <v>46503627</v>
      </c>
      <c r="BG58" s="135">
        <v>83300804</v>
      </c>
      <c r="BH58" s="135">
        <v>77665487</v>
      </c>
      <c r="BI58" s="135">
        <v>40043608</v>
      </c>
      <c r="BJ58" s="135">
        <v>0</v>
      </c>
      <c r="BK58" s="135"/>
      <c r="BL58" s="135">
        <v>5743948341</v>
      </c>
      <c r="BM58" s="135">
        <v>5084447577</v>
      </c>
      <c r="BN58" s="135">
        <v>2054850</v>
      </c>
      <c r="BO58" s="135"/>
      <c r="BP58" s="135">
        <v>4842764640</v>
      </c>
      <c r="BQ58" s="135">
        <v>462132501</v>
      </c>
      <c r="BR58" s="135">
        <v>18514521</v>
      </c>
      <c r="BS58" s="135">
        <v>303422527</v>
      </c>
      <c r="BT58" s="135">
        <v>5626834189</v>
      </c>
    </row>
    <row r="59" spans="1:72" x14ac:dyDescent="0.25">
      <c r="A59" s="149" t="s">
        <v>113</v>
      </c>
      <c r="B59" s="135">
        <v>460564456</v>
      </c>
      <c r="C59" s="135">
        <v>103531115</v>
      </c>
      <c r="D59" s="135">
        <v>198603034</v>
      </c>
      <c r="E59" s="135">
        <v>0</v>
      </c>
      <c r="F59" s="135">
        <v>66476930</v>
      </c>
      <c r="G59" s="135">
        <v>28562000</v>
      </c>
      <c r="H59" s="135">
        <v>19856862</v>
      </c>
      <c r="I59" s="135">
        <v>7001975</v>
      </c>
      <c r="J59" s="135">
        <v>0</v>
      </c>
      <c r="K59" s="135">
        <v>40500</v>
      </c>
      <c r="L59" s="135">
        <v>114517299</v>
      </c>
      <c r="M59" s="135">
        <v>101095400</v>
      </c>
      <c r="N59" s="135">
        <v>2392</v>
      </c>
      <c r="O59" s="135">
        <v>1104</v>
      </c>
      <c r="P59" s="135">
        <v>518295</v>
      </c>
      <c r="Q59" s="135">
        <v>0</v>
      </c>
      <c r="R59" s="135">
        <v>0</v>
      </c>
      <c r="S59" s="135">
        <v>783500</v>
      </c>
      <c r="T59" s="135">
        <v>56350</v>
      </c>
      <c r="U59" s="135">
        <v>12000</v>
      </c>
      <c r="V59" s="135">
        <v>518295</v>
      </c>
      <c r="W59" s="135">
        <v>0</v>
      </c>
      <c r="X59" s="135">
        <v>0</v>
      </c>
      <c r="Y59" s="135">
        <v>783500</v>
      </c>
      <c r="Z59" s="135">
        <v>95000</v>
      </c>
      <c r="AA59" s="135">
        <v>12000</v>
      </c>
      <c r="AB59" s="135">
        <v>-5074125</v>
      </c>
      <c r="AC59" s="135">
        <v>-38849</v>
      </c>
      <c r="AD59" s="135">
        <v>248574</v>
      </c>
      <c r="AE59" s="135">
        <v>2</v>
      </c>
      <c r="AF59" s="135">
        <v>0</v>
      </c>
      <c r="AG59" s="135">
        <v>171082</v>
      </c>
      <c r="AH59" s="135">
        <v>1400000</v>
      </c>
      <c r="AI59" s="135">
        <v>2944600</v>
      </c>
      <c r="AJ59" s="135">
        <v>1558000</v>
      </c>
      <c r="AK59" s="135">
        <v>148239127</v>
      </c>
      <c r="AL59" s="135">
        <v>6462408</v>
      </c>
      <c r="AM59" s="135">
        <v>595000</v>
      </c>
      <c r="AN59" s="135">
        <v>29500298</v>
      </c>
      <c r="AO59" s="135">
        <v>581172</v>
      </c>
      <c r="AP59" s="135">
        <v>1421152</v>
      </c>
      <c r="AQ59" s="135">
        <v>26185001</v>
      </c>
      <c r="AR59" s="135">
        <v>9914581</v>
      </c>
      <c r="AS59" s="135">
        <v>405352</v>
      </c>
      <c r="AT59" s="135"/>
      <c r="AU59" s="135"/>
      <c r="AV59" s="135"/>
      <c r="AW59" s="135"/>
      <c r="AX59" s="135">
        <v>24323</v>
      </c>
      <c r="AY59" s="135">
        <v>45000</v>
      </c>
      <c r="AZ59" s="135">
        <v>7936541.7999999998</v>
      </c>
      <c r="BA59" s="135">
        <v>4127002</v>
      </c>
      <c r="BB59" s="135">
        <v>0</v>
      </c>
      <c r="BC59" s="135">
        <v>2998467</v>
      </c>
      <c r="BD59" s="135">
        <v>5766283</v>
      </c>
      <c r="BE59" s="135">
        <v>66618738</v>
      </c>
      <c r="BF59" s="135">
        <v>66618738</v>
      </c>
      <c r="BG59" s="135">
        <v>87257731</v>
      </c>
      <c r="BH59" s="135">
        <v>85026081</v>
      </c>
      <c r="BI59" s="135">
        <v>0</v>
      </c>
      <c r="BJ59" s="135">
        <v>0</v>
      </c>
      <c r="BK59" s="135"/>
      <c r="BL59" s="135">
        <v>1138339499</v>
      </c>
      <c r="BM59" s="135">
        <v>824867676</v>
      </c>
      <c r="BN59" s="135">
        <v>9393195</v>
      </c>
      <c r="BO59" s="135"/>
      <c r="BP59" s="135">
        <v>762698605</v>
      </c>
      <c r="BQ59" s="135">
        <v>148239127</v>
      </c>
      <c r="BR59" s="135">
        <v>6462408</v>
      </c>
      <c r="BS59" s="135">
        <v>56671823</v>
      </c>
      <c r="BT59" s="135">
        <v>974071963</v>
      </c>
    </row>
    <row r="60" spans="1:72" x14ac:dyDescent="0.25">
      <c r="A60" s="149" t="s">
        <v>114</v>
      </c>
      <c r="B60" s="135">
        <v>10170526046</v>
      </c>
      <c r="C60" s="135">
        <v>155106200</v>
      </c>
      <c r="D60" s="135">
        <v>3017030332</v>
      </c>
      <c r="E60" s="135">
        <v>3340300</v>
      </c>
      <c r="F60" s="135">
        <v>504928700</v>
      </c>
      <c r="G60" s="135">
        <v>29223800</v>
      </c>
      <c r="H60" s="135">
        <v>8991000</v>
      </c>
      <c r="I60" s="135">
        <v>283500</v>
      </c>
      <c r="J60" s="135">
        <v>1296000</v>
      </c>
      <c r="K60" s="135">
        <v>0</v>
      </c>
      <c r="L60" s="135">
        <v>210897500</v>
      </c>
      <c r="M60" s="135">
        <v>366003700</v>
      </c>
      <c r="N60" s="135">
        <v>12724</v>
      </c>
      <c r="O60" s="135">
        <v>729</v>
      </c>
      <c r="P60" s="135">
        <v>210756950</v>
      </c>
      <c r="Q60" s="135">
        <v>14932400</v>
      </c>
      <c r="R60" s="135">
        <v>52401800</v>
      </c>
      <c r="S60" s="135">
        <v>16994301</v>
      </c>
      <c r="T60" s="135">
        <v>12910800</v>
      </c>
      <c r="U60" s="135">
        <v>26686200</v>
      </c>
      <c r="V60" s="135">
        <v>210756950</v>
      </c>
      <c r="W60" s="135">
        <v>14932400</v>
      </c>
      <c r="X60" s="135">
        <v>52401800</v>
      </c>
      <c r="Y60" s="135">
        <v>16994301</v>
      </c>
      <c r="Z60" s="135">
        <v>12910800</v>
      </c>
      <c r="AA60" s="135">
        <v>26686200</v>
      </c>
      <c r="AB60" s="135">
        <v>-28724170</v>
      </c>
      <c r="AC60" s="135">
        <v>-578106</v>
      </c>
      <c r="AD60" s="135">
        <v>65457.46</v>
      </c>
      <c r="AE60" s="135">
        <v>0</v>
      </c>
      <c r="AF60" s="135">
        <v>0</v>
      </c>
      <c r="AG60" s="135">
        <v>40023.879999999997</v>
      </c>
      <c r="AH60" s="135">
        <v>0</v>
      </c>
      <c r="AI60" s="135">
        <v>0</v>
      </c>
      <c r="AJ60" s="135"/>
      <c r="AK60" s="135">
        <v>1318276491</v>
      </c>
      <c r="AL60" s="135">
        <v>29628292</v>
      </c>
      <c r="AM60" s="135"/>
      <c r="AN60" s="135">
        <v>334742342</v>
      </c>
      <c r="AO60" s="135">
        <v>10916274</v>
      </c>
      <c r="AP60" s="135">
        <v>318158579</v>
      </c>
      <c r="AQ60" s="135">
        <v>286647955</v>
      </c>
      <c r="AR60" s="135">
        <v>326930892</v>
      </c>
      <c r="AS60" s="135">
        <v>259453402</v>
      </c>
      <c r="AT60" s="135">
        <v>112172</v>
      </c>
      <c r="AU60" s="135"/>
      <c r="AV60" s="135"/>
      <c r="AW60" s="135">
        <v>19642</v>
      </c>
      <c r="AX60" s="135">
        <v>434228</v>
      </c>
      <c r="AY60" s="135">
        <v>24900</v>
      </c>
      <c r="AZ60" s="135">
        <v>70578913.219999999</v>
      </c>
      <c r="BA60" s="135">
        <v>36701035</v>
      </c>
      <c r="BB60" s="135">
        <v>15064283.644974092</v>
      </c>
      <c r="BC60" s="135">
        <v>15067593</v>
      </c>
      <c r="BD60" s="135">
        <v>28976140</v>
      </c>
      <c r="BE60" s="135">
        <v>151466430</v>
      </c>
      <c r="BF60" s="135">
        <v>151466430</v>
      </c>
      <c r="BG60" s="135">
        <v>286269497</v>
      </c>
      <c r="BH60" s="135">
        <v>272284669</v>
      </c>
      <c r="BI60" s="135">
        <v>12271</v>
      </c>
      <c r="BJ60" s="135">
        <v>0</v>
      </c>
      <c r="BK60" s="135"/>
      <c r="BL60" s="135">
        <v>15798405930</v>
      </c>
      <c r="BM60" s="135">
        <v>13974969149</v>
      </c>
      <c r="BN60" s="135">
        <v>7967500</v>
      </c>
      <c r="BO60" s="135"/>
      <c r="BP60" s="135">
        <v>13342662578</v>
      </c>
      <c r="BQ60" s="135">
        <v>1318276491</v>
      </c>
      <c r="BR60" s="135">
        <v>29628292</v>
      </c>
      <c r="BS60" s="135">
        <v>891759973</v>
      </c>
      <c r="BT60" s="135">
        <v>15582327334</v>
      </c>
    </row>
    <row r="61" spans="1:72" x14ac:dyDescent="0.25">
      <c r="A61" s="149" t="s">
        <v>115</v>
      </c>
      <c r="B61" s="135">
        <v>169244658</v>
      </c>
      <c r="C61" s="135">
        <v>51891531</v>
      </c>
      <c r="D61" s="135">
        <v>78095726</v>
      </c>
      <c r="E61" s="135">
        <v>0</v>
      </c>
      <c r="F61" s="135">
        <v>41485116</v>
      </c>
      <c r="G61" s="135">
        <v>37990027</v>
      </c>
      <c r="H61" s="135">
        <v>15390632</v>
      </c>
      <c r="I61" s="135">
        <v>9180160</v>
      </c>
      <c r="J61" s="135">
        <v>202500</v>
      </c>
      <c r="K61" s="135">
        <v>40500</v>
      </c>
      <c r="L61" s="135">
        <v>74427322</v>
      </c>
      <c r="M61" s="135">
        <v>63178999</v>
      </c>
      <c r="N61" s="135">
        <v>1469</v>
      </c>
      <c r="O61" s="135">
        <v>1260</v>
      </c>
      <c r="P61" s="135">
        <v>8037107</v>
      </c>
      <c r="Q61" s="135">
        <v>1418900</v>
      </c>
      <c r="R61" s="135">
        <v>1692000</v>
      </c>
      <c r="S61" s="135">
        <v>3205900</v>
      </c>
      <c r="T61" s="135">
        <v>1180600</v>
      </c>
      <c r="U61" s="135">
        <v>319000</v>
      </c>
      <c r="V61" s="135">
        <v>8037107</v>
      </c>
      <c r="W61" s="135">
        <v>1915200</v>
      </c>
      <c r="X61" s="135">
        <v>1692000</v>
      </c>
      <c r="Y61" s="135">
        <v>3205900</v>
      </c>
      <c r="Z61" s="135">
        <v>749400</v>
      </c>
      <c r="AA61" s="135">
        <v>319000</v>
      </c>
      <c r="AB61" s="135">
        <v>-1531159</v>
      </c>
      <c r="AC61" s="135">
        <v>0</v>
      </c>
      <c r="AD61" s="135">
        <v>179770</v>
      </c>
      <c r="AE61" s="135">
        <v>0</v>
      </c>
      <c r="AF61" s="135">
        <v>0</v>
      </c>
      <c r="AG61" s="135">
        <v>3150</v>
      </c>
      <c r="AH61" s="135">
        <v>6000000</v>
      </c>
      <c r="AI61" s="135">
        <v>27000000</v>
      </c>
      <c r="AJ61" s="135">
        <v>13710180.327868851</v>
      </c>
      <c r="AK61" s="135">
        <v>114717659</v>
      </c>
      <c r="AL61" s="135">
        <v>2119740</v>
      </c>
      <c r="AM61" s="135">
        <v>75000</v>
      </c>
      <c r="AN61" s="135">
        <v>16113295</v>
      </c>
      <c r="AO61" s="135">
        <v>194820</v>
      </c>
      <c r="AP61" s="135">
        <v>35706495</v>
      </c>
      <c r="AQ61" s="135">
        <v>4690547</v>
      </c>
      <c r="AR61" s="135">
        <v>123640</v>
      </c>
      <c r="AS61" s="135"/>
      <c r="AT61" s="135">
        <v>24031</v>
      </c>
      <c r="AU61" s="135"/>
      <c r="AV61" s="135"/>
      <c r="AW61" s="135"/>
      <c r="AX61" s="135"/>
      <c r="AY61" s="135"/>
      <c r="AZ61" s="135">
        <v>6141843.3499999996</v>
      </c>
      <c r="BA61" s="135">
        <v>3193759</v>
      </c>
      <c r="BB61" s="135">
        <v>0</v>
      </c>
      <c r="BC61" s="135">
        <v>1342817</v>
      </c>
      <c r="BD61" s="135">
        <v>2582341</v>
      </c>
      <c r="BE61" s="135">
        <v>10726400</v>
      </c>
      <c r="BF61" s="135">
        <v>10726400</v>
      </c>
      <c r="BG61" s="135">
        <v>89537147</v>
      </c>
      <c r="BH61" s="135">
        <v>88659221</v>
      </c>
      <c r="BI61" s="135">
        <v>0</v>
      </c>
      <c r="BJ61" s="135">
        <v>0</v>
      </c>
      <c r="BK61" s="135"/>
      <c r="BL61" s="135">
        <v>587700353.32786894</v>
      </c>
      <c r="BM61" s="135">
        <v>366940757.32786888</v>
      </c>
      <c r="BN61" s="135">
        <v>2304650</v>
      </c>
      <c r="BO61" s="135"/>
      <c r="BP61" s="135">
        <v>299231915</v>
      </c>
      <c r="BQ61" s="135">
        <v>114717659</v>
      </c>
      <c r="BR61" s="135">
        <v>2119740</v>
      </c>
      <c r="BS61" s="135">
        <v>20998662</v>
      </c>
      <c r="BT61" s="135">
        <v>437067976</v>
      </c>
    </row>
    <row r="62" spans="1:72" x14ac:dyDescent="0.25">
      <c r="A62" s="149" t="s">
        <v>116</v>
      </c>
      <c r="B62" s="135">
        <v>567060132</v>
      </c>
      <c r="C62" s="135">
        <v>102621833</v>
      </c>
      <c r="D62" s="135">
        <v>271085743</v>
      </c>
      <c r="E62" s="135">
        <v>0</v>
      </c>
      <c r="F62" s="135">
        <v>87195470</v>
      </c>
      <c r="G62" s="135">
        <v>25955743</v>
      </c>
      <c r="H62" s="135">
        <v>18474376</v>
      </c>
      <c r="I62" s="135">
        <v>3707623</v>
      </c>
      <c r="J62" s="135">
        <v>339000</v>
      </c>
      <c r="K62" s="135">
        <v>79000</v>
      </c>
      <c r="L62" s="135">
        <v>180332213</v>
      </c>
      <c r="M62" s="135">
        <v>90628984</v>
      </c>
      <c r="N62" s="135">
        <v>3130</v>
      </c>
      <c r="O62" s="135">
        <v>1032</v>
      </c>
      <c r="P62" s="135">
        <v>7927258</v>
      </c>
      <c r="Q62" s="135">
        <v>1653610</v>
      </c>
      <c r="R62" s="135">
        <v>5658877</v>
      </c>
      <c r="S62" s="135">
        <v>4514841</v>
      </c>
      <c r="T62" s="135">
        <v>1093540</v>
      </c>
      <c r="U62" s="135">
        <v>392800</v>
      </c>
      <c r="V62" s="135">
        <v>7927258</v>
      </c>
      <c r="W62" s="135">
        <v>1868450</v>
      </c>
      <c r="X62" s="135">
        <v>5658877</v>
      </c>
      <c r="Y62" s="135">
        <v>4514841</v>
      </c>
      <c r="Z62" s="135">
        <v>349600</v>
      </c>
      <c r="AA62" s="135">
        <v>392800</v>
      </c>
      <c r="AB62" s="135">
        <v>-3178951</v>
      </c>
      <c r="AC62" s="135">
        <v>3071</v>
      </c>
      <c r="AD62" s="135"/>
      <c r="AE62" s="135"/>
      <c r="AF62" s="135"/>
      <c r="AG62" s="135"/>
      <c r="AH62" s="135">
        <v>7000000</v>
      </c>
      <c r="AI62" s="135">
        <v>5500000</v>
      </c>
      <c r="AJ62" s="135">
        <v>1364000</v>
      </c>
      <c r="AK62" s="135">
        <v>221620347</v>
      </c>
      <c r="AL62" s="135">
        <v>6660912</v>
      </c>
      <c r="AM62" s="135"/>
      <c r="AN62" s="135">
        <v>39376726</v>
      </c>
      <c r="AO62" s="135">
        <v>3682739</v>
      </c>
      <c r="AP62" s="135">
        <v>34821817</v>
      </c>
      <c r="AQ62" s="135">
        <v>35742330</v>
      </c>
      <c r="AR62" s="135">
        <v>41039650</v>
      </c>
      <c r="AS62" s="135">
        <v>43832634</v>
      </c>
      <c r="AT62" s="135">
        <v>173024</v>
      </c>
      <c r="AU62" s="135"/>
      <c r="AV62" s="135"/>
      <c r="AW62" s="135"/>
      <c r="AX62" s="135">
        <v>8126</v>
      </c>
      <c r="AY62" s="135"/>
      <c r="AZ62" s="135">
        <v>11865282.699999999</v>
      </c>
      <c r="BA62" s="135">
        <v>6169947</v>
      </c>
      <c r="BB62" s="135">
        <v>0</v>
      </c>
      <c r="BC62" s="135">
        <v>3334172</v>
      </c>
      <c r="BD62" s="135">
        <v>6411868</v>
      </c>
      <c r="BE62" s="135">
        <v>27998052</v>
      </c>
      <c r="BF62" s="135">
        <v>27998052</v>
      </c>
      <c r="BG62" s="135">
        <v>72589488</v>
      </c>
      <c r="BH62" s="135">
        <v>68930839</v>
      </c>
      <c r="BI62" s="135">
        <v>0</v>
      </c>
      <c r="BJ62" s="135">
        <v>0</v>
      </c>
      <c r="BK62" s="135"/>
      <c r="BL62" s="135">
        <v>1368147772</v>
      </c>
      <c r="BM62" s="135">
        <v>1033433503</v>
      </c>
      <c r="BN62" s="135">
        <v>570090</v>
      </c>
      <c r="BO62" s="135"/>
      <c r="BP62" s="135">
        <v>940767708</v>
      </c>
      <c r="BQ62" s="135">
        <v>221620347</v>
      </c>
      <c r="BR62" s="135">
        <v>6660912</v>
      </c>
      <c r="BS62" s="135">
        <v>122634429</v>
      </c>
      <c r="BT62" s="135">
        <v>1291683396</v>
      </c>
    </row>
    <row r="63" spans="1:72" x14ac:dyDescent="0.25">
      <c r="A63" s="149" t="s">
        <v>117</v>
      </c>
      <c r="B63" s="135">
        <v>442721918</v>
      </c>
      <c r="C63" s="135">
        <v>174818604</v>
      </c>
      <c r="D63" s="135">
        <v>103193874</v>
      </c>
      <c r="E63" s="135">
        <v>0</v>
      </c>
      <c r="F63" s="135">
        <v>46318300</v>
      </c>
      <c r="G63" s="135">
        <v>8313972</v>
      </c>
      <c r="H63" s="135">
        <v>15587949</v>
      </c>
      <c r="I63" s="135">
        <v>1161750</v>
      </c>
      <c r="J63" s="135">
        <v>506750</v>
      </c>
      <c r="K63" s="135">
        <v>40500</v>
      </c>
      <c r="L63" s="135">
        <v>432705415</v>
      </c>
      <c r="M63" s="135">
        <v>127377952</v>
      </c>
      <c r="N63" s="135">
        <v>1568</v>
      </c>
      <c r="O63" s="135">
        <v>248</v>
      </c>
      <c r="P63" s="135">
        <v>13401981</v>
      </c>
      <c r="Q63" s="135">
        <v>1899321</v>
      </c>
      <c r="R63" s="135">
        <v>985750</v>
      </c>
      <c r="S63" s="135">
        <v>3584647</v>
      </c>
      <c r="T63" s="135">
        <v>2323621</v>
      </c>
      <c r="U63" s="135">
        <v>1043500</v>
      </c>
      <c r="V63" s="135">
        <v>13401981</v>
      </c>
      <c r="W63" s="135">
        <v>3611432</v>
      </c>
      <c r="X63" s="135">
        <v>985750</v>
      </c>
      <c r="Y63" s="135">
        <v>3584647</v>
      </c>
      <c r="Z63" s="135">
        <v>4906703</v>
      </c>
      <c r="AA63" s="135">
        <v>1043500</v>
      </c>
      <c r="AB63" s="135">
        <v>-3671450</v>
      </c>
      <c r="AC63" s="135">
        <v>49204</v>
      </c>
      <c r="AD63" s="135">
        <v>560401</v>
      </c>
      <c r="AE63" s="135">
        <v>150528</v>
      </c>
      <c r="AF63" s="135">
        <v>0</v>
      </c>
      <c r="AG63" s="135">
        <v>0</v>
      </c>
      <c r="AH63" s="135">
        <v>0</v>
      </c>
      <c r="AI63" s="135">
        <v>0</v>
      </c>
      <c r="AJ63" s="135"/>
      <c r="AK63" s="135">
        <v>124191505</v>
      </c>
      <c r="AL63" s="135">
        <v>3728651</v>
      </c>
      <c r="AM63" s="135"/>
      <c r="AN63" s="135">
        <v>12052093</v>
      </c>
      <c r="AO63" s="135">
        <v>250414</v>
      </c>
      <c r="AP63" s="135">
        <v>17484064</v>
      </c>
      <c r="AQ63" s="135">
        <v>20299477</v>
      </c>
      <c r="AR63" s="135">
        <v>14131750</v>
      </c>
      <c r="AS63" s="135">
        <v>4929285</v>
      </c>
      <c r="AT63" s="135">
        <v>4033682</v>
      </c>
      <c r="AU63" s="135"/>
      <c r="AV63" s="135">
        <v>72024</v>
      </c>
      <c r="AW63" s="135"/>
      <c r="AX63" s="135">
        <v>9738</v>
      </c>
      <c r="AY63" s="135"/>
      <c r="AZ63" s="135">
        <v>6649061.4900000002</v>
      </c>
      <c r="BA63" s="135">
        <v>3457512</v>
      </c>
      <c r="BB63" s="135">
        <v>0</v>
      </c>
      <c r="BC63" s="135">
        <v>90013</v>
      </c>
      <c r="BD63" s="135">
        <v>173102</v>
      </c>
      <c r="BE63" s="135">
        <v>23396488</v>
      </c>
      <c r="BF63" s="135">
        <v>23396488</v>
      </c>
      <c r="BG63" s="135">
        <v>76488198</v>
      </c>
      <c r="BH63" s="135">
        <v>76458912</v>
      </c>
      <c r="BI63" s="135">
        <v>0</v>
      </c>
      <c r="BJ63" s="135">
        <v>0</v>
      </c>
      <c r="BK63" s="135"/>
      <c r="BL63" s="135">
        <v>984659461</v>
      </c>
      <c r="BM63" s="135">
        <v>753336380</v>
      </c>
      <c r="BN63" s="135">
        <v>2499636</v>
      </c>
      <c r="BO63" s="135"/>
      <c r="BP63" s="135">
        <v>720734396</v>
      </c>
      <c r="BQ63" s="135">
        <v>124191505</v>
      </c>
      <c r="BR63" s="135">
        <v>3728651</v>
      </c>
      <c r="BS63" s="135">
        <v>37531269</v>
      </c>
      <c r="BT63" s="135">
        <v>886185821</v>
      </c>
    </row>
    <row r="64" spans="1:72" x14ac:dyDescent="0.25">
      <c r="A64" s="149" t="s">
        <v>118</v>
      </c>
      <c r="B64" s="135">
        <v>1917515228</v>
      </c>
      <c r="C64" s="135">
        <v>259802309</v>
      </c>
      <c r="D64" s="135">
        <v>893285863</v>
      </c>
      <c r="E64" s="135">
        <v>48822394</v>
      </c>
      <c r="F64" s="135">
        <v>189174699</v>
      </c>
      <c r="G64" s="135">
        <v>49300375</v>
      </c>
      <c r="H64" s="135">
        <v>32854400</v>
      </c>
      <c r="I64" s="135">
        <v>4014431</v>
      </c>
      <c r="J64" s="135">
        <v>405000</v>
      </c>
      <c r="K64" s="135">
        <v>46500</v>
      </c>
      <c r="L64" s="135">
        <v>501614184</v>
      </c>
      <c r="M64" s="135">
        <v>230277364</v>
      </c>
      <c r="N64" s="135">
        <v>5756</v>
      </c>
      <c r="O64" s="135">
        <v>1446</v>
      </c>
      <c r="P64" s="135">
        <v>30743220</v>
      </c>
      <c r="Q64" s="135">
        <v>20112400</v>
      </c>
      <c r="R64" s="135">
        <v>25752600</v>
      </c>
      <c r="S64" s="135">
        <v>9304600</v>
      </c>
      <c r="T64" s="135">
        <v>1443800</v>
      </c>
      <c r="U64" s="135">
        <v>10905929</v>
      </c>
      <c r="V64" s="135">
        <v>30743220</v>
      </c>
      <c r="W64" s="135">
        <v>20298300</v>
      </c>
      <c r="X64" s="135">
        <v>25752600</v>
      </c>
      <c r="Y64" s="135">
        <v>9304600</v>
      </c>
      <c r="Z64" s="135">
        <v>4382600</v>
      </c>
      <c r="AA64" s="135">
        <v>10905929</v>
      </c>
      <c r="AB64" s="135">
        <v>-10395450</v>
      </c>
      <c r="AC64" s="135">
        <v>-883024</v>
      </c>
      <c r="AD64" s="135">
        <v>80850</v>
      </c>
      <c r="AE64" s="135">
        <v>45000</v>
      </c>
      <c r="AF64" s="135">
        <v>0</v>
      </c>
      <c r="AG64" s="135">
        <v>167276</v>
      </c>
      <c r="AH64" s="135">
        <v>65000</v>
      </c>
      <c r="AI64" s="135">
        <v>55000</v>
      </c>
      <c r="AJ64" s="135">
        <v>2565.5700000000002</v>
      </c>
      <c r="AK64" s="135">
        <v>556255074</v>
      </c>
      <c r="AL64" s="135">
        <v>25466533</v>
      </c>
      <c r="AM64" s="135">
        <v>1378687</v>
      </c>
      <c r="AN64" s="135">
        <v>181023493</v>
      </c>
      <c r="AO64" s="135">
        <v>35501647</v>
      </c>
      <c r="AP64" s="135">
        <v>289049120</v>
      </c>
      <c r="AQ64" s="135">
        <v>141232793</v>
      </c>
      <c r="AR64" s="135">
        <v>111336975</v>
      </c>
      <c r="AS64" s="135">
        <v>26686636</v>
      </c>
      <c r="AT64" s="135">
        <v>3831330</v>
      </c>
      <c r="AU64" s="135"/>
      <c r="AV64" s="135">
        <v>42700</v>
      </c>
      <c r="AW64" s="135">
        <v>10544273</v>
      </c>
      <c r="AX64" s="135">
        <v>2146587</v>
      </c>
      <c r="AY64" s="135">
        <v>4547703</v>
      </c>
      <c r="AZ64" s="135">
        <v>29781217.27</v>
      </c>
      <c r="BA64" s="135">
        <v>15486233</v>
      </c>
      <c r="BB64" s="135">
        <v>0</v>
      </c>
      <c r="BC64" s="135">
        <v>2778599</v>
      </c>
      <c r="BD64" s="135">
        <v>5343460</v>
      </c>
      <c r="BE64" s="135">
        <v>39593944</v>
      </c>
      <c r="BF64" s="135">
        <v>39593944</v>
      </c>
      <c r="BG64" s="135">
        <v>138914915</v>
      </c>
      <c r="BH64" s="135">
        <v>130230675</v>
      </c>
      <c r="BI64" s="135">
        <v>0</v>
      </c>
      <c r="BJ64" s="135">
        <v>0</v>
      </c>
      <c r="BK64" s="135"/>
      <c r="BL64" s="135">
        <v>4198294956.5700002</v>
      </c>
      <c r="BM64" s="135">
        <v>3428483898.5700002</v>
      </c>
      <c r="BN64" s="135">
        <v>2843532</v>
      </c>
      <c r="BO64" s="135"/>
      <c r="BP64" s="135">
        <v>3070603400</v>
      </c>
      <c r="BQ64" s="135">
        <v>556255074</v>
      </c>
      <c r="BR64" s="135">
        <v>25466533</v>
      </c>
      <c r="BS64" s="135">
        <v>384444569</v>
      </c>
      <c r="BT64" s="135">
        <v>4036769576</v>
      </c>
    </row>
    <row r="65" spans="1:72" x14ac:dyDescent="0.25">
      <c r="A65" s="149" t="s">
        <v>119</v>
      </c>
      <c r="B65" s="135">
        <v>270330956</v>
      </c>
      <c r="C65" s="135">
        <v>108845338</v>
      </c>
      <c r="D65" s="135">
        <v>110653050</v>
      </c>
      <c r="E65" s="135">
        <v>0</v>
      </c>
      <c r="F65" s="135">
        <v>31355205</v>
      </c>
      <c r="G65" s="135">
        <v>20068542</v>
      </c>
      <c r="H65" s="135">
        <v>16599755</v>
      </c>
      <c r="I65" s="135">
        <v>7376907</v>
      </c>
      <c r="J65" s="135">
        <v>364500</v>
      </c>
      <c r="K65" s="135">
        <v>37500</v>
      </c>
      <c r="L65" s="135">
        <v>118469075</v>
      </c>
      <c r="M65" s="135">
        <v>85820100</v>
      </c>
      <c r="N65" s="135">
        <v>1374</v>
      </c>
      <c r="O65" s="135">
        <v>873</v>
      </c>
      <c r="P65" s="135">
        <v>4919500</v>
      </c>
      <c r="Q65" s="135">
        <v>1306000</v>
      </c>
      <c r="R65" s="135">
        <v>100000</v>
      </c>
      <c r="S65" s="135">
        <v>557500</v>
      </c>
      <c r="T65" s="135">
        <v>153000</v>
      </c>
      <c r="U65" s="135">
        <v>358500</v>
      </c>
      <c r="V65" s="135">
        <v>4919500</v>
      </c>
      <c r="W65" s="135">
        <v>1306000</v>
      </c>
      <c r="X65" s="135">
        <v>100000</v>
      </c>
      <c r="Y65" s="135">
        <v>557500</v>
      </c>
      <c r="Z65" s="135">
        <v>153000</v>
      </c>
      <c r="AA65" s="135">
        <v>358500</v>
      </c>
      <c r="AB65" s="135">
        <v>-3679173</v>
      </c>
      <c r="AC65" s="135">
        <v>-3318</v>
      </c>
      <c r="AD65" s="135">
        <v>192746</v>
      </c>
      <c r="AE65" s="135">
        <v>0</v>
      </c>
      <c r="AF65" s="135">
        <v>0</v>
      </c>
      <c r="AG65" s="135">
        <v>222973</v>
      </c>
      <c r="AH65" s="135">
        <v>41000000</v>
      </c>
      <c r="AI65" s="135">
        <v>4500000</v>
      </c>
      <c r="AJ65" s="135">
        <v>273221.31147540984</v>
      </c>
      <c r="AK65" s="135">
        <v>131182377</v>
      </c>
      <c r="AL65" s="135">
        <v>4943434</v>
      </c>
      <c r="AM65" s="135">
        <v>81000</v>
      </c>
      <c r="AN65" s="135">
        <v>27221260</v>
      </c>
      <c r="AO65" s="135">
        <v>1000631</v>
      </c>
      <c r="AP65" s="135">
        <v>13269008</v>
      </c>
      <c r="AQ65" s="135">
        <v>22119511</v>
      </c>
      <c r="AR65" s="135">
        <v>1333862</v>
      </c>
      <c r="AS65" s="135">
        <v>33290</v>
      </c>
      <c r="AT65" s="135">
        <v>93656</v>
      </c>
      <c r="AU65" s="135"/>
      <c r="AV65" s="135"/>
      <c r="AW65" s="135"/>
      <c r="AX65" s="135"/>
      <c r="AY65" s="135"/>
      <c r="AZ65" s="135">
        <v>7023344.2400000002</v>
      </c>
      <c r="BA65" s="135">
        <v>3652139</v>
      </c>
      <c r="BB65" s="135">
        <v>0</v>
      </c>
      <c r="BC65" s="135">
        <v>3435252</v>
      </c>
      <c r="BD65" s="135">
        <v>6606253</v>
      </c>
      <c r="BE65" s="135">
        <v>94279652</v>
      </c>
      <c r="BF65" s="135">
        <v>94279652</v>
      </c>
      <c r="BG65" s="135">
        <v>87270982</v>
      </c>
      <c r="BH65" s="135">
        <v>83338602</v>
      </c>
      <c r="BI65" s="135">
        <v>0</v>
      </c>
      <c r="BJ65" s="135">
        <v>0</v>
      </c>
      <c r="BK65" s="135"/>
      <c r="BL65" s="135">
        <v>906775423.3114754</v>
      </c>
      <c r="BM65" s="135">
        <v>585943967.3114754</v>
      </c>
      <c r="BN65" s="135">
        <v>689500</v>
      </c>
      <c r="BO65" s="135"/>
      <c r="BP65" s="135">
        <v>489829344</v>
      </c>
      <c r="BQ65" s="135">
        <v>131182377</v>
      </c>
      <c r="BR65" s="135">
        <v>4943434</v>
      </c>
      <c r="BS65" s="135">
        <v>50374692</v>
      </c>
      <c r="BT65" s="135">
        <v>676329847</v>
      </c>
    </row>
    <row r="66" spans="1:72" x14ac:dyDescent="0.25">
      <c r="A66" s="149" t="s">
        <v>120</v>
      </c>
      <c r="B66" s="135">
        <v>109708012</v>
      </c>
      <c r="C66" s="135">
        <v>47030867</v>
      </c>
      <c r="D66" s="135">
        <v>59392017</v>
      </c>
      <c r="E66" s="135">
        <v>0</v>
      </c>
      <c r="F66" s="135">
        <v>17670925</v>
      </c>
      <c r="G66" s="135">
        <v>7545241</v>
      </c>
      <c r="H66" s="135">
        <v>7761166</v>
      </c>
      <c r="I66" s="135">
        <v>1758365</v>
      </c>
      <c r="J66" s="135">
        <v>0</v>
      </c>
      <c r="K66" s="135">
        <v>0</v>
      </c>
      <c r="L66" s="135">
        <v>68415498</v>
      </c>
      <c r="M66" s="135">
        <v>31761500</v>
      </c>
      <c r="N66" s="135">
        <v>750</v>
      </c>
      <c r="O66" s="135">
        <v>321</v>
      </c>
      <c r="P66" s="135">
        <v>1576550</v>
      </c>
      <c r="Q66" s="135">
        <v>138475</v>
      </c>
      <c r="R66" s="135">
        <v>5000</v>
      </c>
      <c r="S66" s="135">
        <v>575400</v>
      </c>
      <c r="T66" s="135">
        <v>253950</v>
      </c>
      <c r="U66" s="135">
        <v>1143332</v>
      </c>
      <c r="V66" s="135">
        <v>1576550</v>
      </c>
      <c r="W66" s="135">
        <v>122975</v>
      </c>
      <c r="X66" s="135">
        <v>5000</v>
      </c>
      <c r="Y66" s="135">
        <v>575400</v>
      </c>
      <c r="Z66" s="135">
        <v>238200</v>
      </c>
      <c r="AA66" s="135">
        <v>1143332</v>
      </c>
      <c r="AB66" s="135">
        <v>-753775</v>
      </c>
      <c r="AC66" s="135">
        <v>-13274</v>
      </c>
      <c r="AD66" s="135">
        <v>97662</v>
      </c>
      <c r="AE66" s="135">
        <v>0</v>
      </c>
      <c r="AF66" s="135">
        <v>4</v>
      </c>
      <c r="AG66" s="135">
        <v>43026715</v>
      </c>
      <c r="AH66" s="135">
        <v>21000000</v>
      </c>
      <c r="AI66" s="135">
        <v>0</v>
      </c>
      <c r="AJ66" s="135"/>
      <c r="AK66" s="135">
        <v>42691557</v>
      </c>
      <c r="AL66" s="135">
        <v>871129</v>
      </c>
      <c r="AM66" s="135"/>
      <c r="AN66" s="135">
        <v>11620186</v>
      </c>
      <c r="AO66" s="135">
        <v>151647</v>
      </c>
      <c r="AP66" s="135">
        <v>1491194</v>
      </c>
      <c r="AQ66" s="135">
        <v>9307190</v>
      </c>
      <c r="AR66" s="135">
        <v>245260</v>
      </c>
      <c r="AS66" s="135"/>
      <c r="AT66" s="135">
        <v>41760</v>
      </c>
      <c r="AU66" s="135"/>
      <c r="AV66" s="135"/>
      <c r="AW66" s="135"/>
      <c r="AX66" s="135"/>
      <c r="AY66" s="135"/>
      <c r="AZ66" s="135">
        <v>2285653.8199999998</v>
      </c>
      <c r="BA66" s="135">
        <v>1188540</v>
      </c>
      <c r="BB66" s="135">
        <v>0</v>
      </c>
      <c r="BC66" s="135">
        <v>2466505</v>
      </c>
      <c r="BD66" s="135">
        <v>4743279</v>
      </c>
      <c r="BE66" s="135">
        <v>17935996</v>
      </c>
      <c r="BF66" s="135">
        <v>17935996</v>
      </c>
      <c r="BG66" s="135">
        <v>43218124</v>
      </c>
      <c r="BH66" s="135">
        <v>36809063</v>
      </c>
      <c r="BI66" s="135">
        <v>0</v>
      </c>
      <c r="BJ66" s="135">
        <v>0</v>
      </c>
      <c r="BK66" s="135"/>
      <c r="BL66" s="135">
        <v>360172709</v>
      </c>
      <c r="BM66" s="135">
        <v>258209919</v>
      </c>
      <c r="BN66" s="135">
        <v>532999</v>
      </c>
      <c r="BO66" s="135"/>
      <c r="BP66" s="135">
        <v>216130896</v>
      </c>
      <c r="BQ66" s="135">
        <v>42691557</v>
      </c>
      <c r="BR66" s="135">
        <v>871129</v>
      </c>
      <c r="BS66" s="135">
        <v>21079023</v>
      </c>
      <c r="BT66" s="135">
        <v>280772605</v>
      </c>
    </row>
    <row r="67" spans="1:72" x14ac:dyDescent="0.25">
      <c r="A67" s="149" t="s">
        <v>121</v>
      </c>
      <c r="B67" s="135">
        <v>118803321</v>
      </c>
      <c r="C67" s="135">
        <v>56148557</v>
      </c>
      <c r="D67" s="135">
        <v>34471472</v>
      </c>
      <c r="E67" s="135">
        <v>0</v>
      </c>
      <c r="F67" s="135">
        <v>26038770</v>
      </c>
      <c r="G67" s="135">
        <v>24071375</v>
      </c>
      <c r="H67" s="135">
        <v>6062041</v>
      </c>
      <c r="I67" s="135">
        <v>3476997</v>
      </c>
      <c r="J67" s="135">
        <v>51000</v>
      </c>
      <c r="K67" s="135">
        <v>39000</v>
      </c>
      <c r="L67" s="135">
        <v>46135133</v>
      </c>
      <c r="M67" s="135">
        <v>28364650</v>
      </c>
      <c r="N67" s="135">
        <v>1032</v>
      </c>
      <c r="O67" s="135">
        <v>967</v>
      </c>
      <c r="P67" s="135">
        <v>1448820</v>
      </c>
      <c r="Q67" s="135">
        <v>0</v>
      </c>
      <c r="R67" s="135">
        <v>0</v>
      </c>
      <c r="S67" s="135">
        <v>1014915</v>
      </c>
      <c r="T67" s="135">
        <v>153050</v>
      </c>
      <c r="U67" s="135">
        <v>495480</v>
      </c>
      <c r="V67" s="135">
        <v>1448820</v>
      </c>
      <c r="W67" s="135">
        <v>0</v>
      </c>
      <c r="X67" s="135">
        <v>0</v>
      </c>
      <c r="Y67" s="135">
        <v>1014915</v>
      </c>
      <c r="Z67" s="135">
        <v>141250</v>
      </c>
      <c r="AA67" s="135">
        <v>495480</v>
      </c>
      <c r="AB67" s="135">
        <v>-1625440</v>
      </c>
      <c r="AC67" s="135">
        <v>0</v>
      </c>
      <c r="AD67" s="135">
        <v>178476</v>
      </c>
      <c r="AE67" s="135">
        <v>0</v>
      </c>
      <c r="AF67" s="135">
        <v>0</v>
      </c>
      <c r="AG67" s="135">
        <v>188993</v>
      </c>
      <c r="AH67" s="135">
        <v>16000000</v>
      </c>
      <c r="AI67" s="135">
        <v>6500500</v>
      </c>
      <c r="AJ67" s="135">
        <v>7908196.7213114761</v>
      </c>
      <c r="AK67" s="135">
        <v>77972928</v>
      </c>
      <c r="AL67" s="135">
        <v>2601276</v>
      </c>
      <c r="AM67" s="135">
        <v>0</v>
      </c>
      <c r="AN67" s="135">
        <v>14232221</v>
      </c>
      <c r="AO67" s="135">
        <v>149629</v>
      </c>
      <c r="AP67" s="135">
        <v>5725154</v>
      </c>
      <c r="AQ67" s="135">
        <v>2707760</v>
      </c>
      <c r="AR67" s="135">
        <v>720047</v>
      </c>
      <c r="AS67" s="135"/>
      <c r="AT67" s="135">
        <v>80153</v>
      </c>
      <c r="AU67" s="135"/>
      <c r="AV67" s="135"/>
      <c r="AW67" s="135"/>
      <c r="AX67" s="135"/>
      <c r="AY67" s="135"/>
      <c r="AZ67" s="135">
        <v>4174575.33</v>
      </c>
      <c r="BA67" s="135">
        <v>2170779</v>
      </c>
      <c r="BB67" s="135">
        <v>0</v>
      </c>
      <c r="BC67" s="135">
        <v>0</v>
      </c>
      <c r="BD67" s="135">
        <v>0</v>
      </c>
      <c r="BE67" s="135">
        <v>1475709</v>
      </c>
      <c r="BF67" s="135">
        <v>1475709</v>
      </c>
      <c r="BG67" s="135">
        <v>45442640</v>
      </c>
      <c r="BH67" s="135">
        <v>45276142</v>
      </c>
      <c r="BI67" s="135">
        <v>0</v>
      </c>
      <c r="BJ67" s="135">
        <v>0</v>
      </c>
      <c r="BK67" s="135"/>
      <c r="BL67" s="135">
        <v>386418490.72131145</v>
      </c>
      <c r="BM67" s="135">
        <v>256921656.72131148</v>
      </c>
      <c r="BN67" s="135">
        <v>542535</v>
      </c>
      <c r="BO67" s="135"/>
      <c r="BP67" s="135">
        <v>209423350</v>
      </c>
      <c r="BQ67" s="135">
        <v>77972928</v>
      </c>
      <c r="BR67" s="135">
        <v>2601276</v>
      </c>
      <c r="BS67" s="135">
        <v>17089610</v>
      </c>
      <c r="BT67" s="135">
        <v>307087164</v>
      </c>
    </row>
    <row r="68" spans="1:72" x14ac:dyDescent="0.25">
      <c r="A68" s="149" t="s">
        <v>122</v>
      </c>
      <c r="B68" s="135">
        <v>221002971</v>
      </c>
      <c r="C68" s="135">
        <v>45515235</v>
      </c>
      <c r="D68" s="135">
        <v>110313338</v>
      </c>
      <c r="E68" s="135">
        <v>0</v>
      </c>
      <c r="F68" s="135">
        <v>58258600</v>
      </c>
      <c r="G68" s="135">
        <v>38176220</v>
      </c>
      <c r="H68" s="135">
        <v>14497200</v>
      </c>
      <c r="I68" s="135">
        <v>6454250</v>
      </c>
      <c r="J68" s="135">
        <v>40500</v>
      </c>
      <c r="K68" s="135">
        <v>0</v>
      </c>
      <c r="L68" s="135">
        <v>73391475</v>
      </c>
      <c r="M68" s="135">
        <v>109416</v>
      </c>
      <c r="N68" s="135">
        <v>2566</v>
      </c>
      <c r="O68" s="135">
        <v>1593</v>
      </c>
      <c r="P68" s="135">
        <v>1075000</v>
      </c>
      <c r="Q68" s="135">
        <v>37000</v>
      </c>
      <c r="R68" s="135">
        <v>50000</v>
      </c>
      <c r="S68" s="135">
        <v>468000</v>
      </c>
      <c r="T68" s="135">
        <v>29000</v>
      </c>
      <c r="U68" s="135">
        <v>77000</v>
      </c>
      <c r="V68" s="135">
        <v>1075000</v>
      </c>
      <c r="W68" s="135">
        <v>10000</v>
      </c>
      <c r="X68" s="135">
        <v>50000</v>
      </c>
      <c r="Y68" s="135">
        <v>468000</v>
      </c>
      <c r="Z68" s="135">
        <v>0</v>
      </c>
      <c r="AA68" s="135">
        <v>77000</v>
      </c>
      <c r="AB68" s="135">
        <v>-4306641</v>
      </c>
      <c r="AC68" s="135">
        <v>-1141</v>
      </c>
      <c r="AD68" s="135"/>
      <c r="AE68" s="135"/>
      <c r="AF68" s="135"/>
      <c r="AG68" s="135"/>
      <c r="AH68" s="135">
        <v>11500000</v>
      </c>
      <c r="AI68" s="135">
        <v>35500000</v>
      </c>
      <c r="AJ68" s="135">
        <v>2093172.1311475411</v>
      </c>
      <c r="AK68" s="135">
        <v>179126261</v>
      </c>
      <c r="AL68" s="135">
        <v>4195193</v>
      </c>
      <c r="AM68" s="135"/>
      <c r="AN68" s="135">
        <v>16717970</v>
      </c>
      <c r="AO68" s="135">
        <v>761370</v>
      </c>
      <c r="AP68" s="135">
        <v>55873886</v>
      </c>
      <c r="AQ68" s="135">
        <v>15857435</v>
      </c>
      <c r="AR68" s="135">
        <v>5061721</v>
      </c>
      <c r="AS68" s="135">
        <v>56743</v>
      </c>
      <c r="AT68" s="135"/>
      <c r="AU68" s="135">
        <v>0</v>
      </c>
      <c r="AV68" s="135">
        <v>0</v>
      </c>
      <c r="AW68" s="135">
        <v>0</v>
      </c>
      <c r="AX68" s="135">
        <v>54828</v>
      </c>
      <c r="AY68" s="135"/>
      <c r="AZ68" s="135">
        <v>9590201.2300000004</v>
      </c>
      <c r="BA68" s="135">
        <v>4986905</v>
      </c>
      <c r="BB68" s="135">
        <v>0</v>
      </c>
      <c r="BC68" s="135">
        <v>3017650</v>
      </c>
      <c r="BD68" s="135">
        <v>5803174</v>
      </c>
      <c r="BE68" s="135">
        <v>14605564</v>
      </c>
      <c r="BF68" s="135">
        <v>14605564</v>
      </c>
      <c r="BG68" s="135">
        <v>70763637</v>
      </c>
      <c r="BH68" s="135">
        <v>65977975</v>
      </c>
      <c r="BI68" s="135">
        <v>11906</v>
      </c>
      <c r="BJ68" s="135">
        <v>0</v>
      </c>
      <c r="BK68" s="135"/>
      <c r="BL68" s="135">
        <v>731182945.13114762</v>
      </c>
      <c r="BM68" s="135">
        <v>459261491.13114756</v>
      </c>
      <c r="BN68" s="135">
        <v>144750</v>
      </c>
      <c r="BO68" s="135"/>
      <c r="BP68" s="135">
        <v>376831544</v>
      </c>
      <c r="BQ68" s="135">
        <v>179126261</v>
      </c>
      <c r="BR68" s="135">
        <v>4195193</v>
      </c>
      <c r="BS68" s="135">
        <v>33393518</v>
      </c>
      <c r="BT68" s="135">
        <v>593546516</v>
      </c>
    </row>
    <row r="69" spans="1:72" x14ac:dyDescent="0.25">
      <c r="A69" s="149" t="s">
        <v>123</v>
      </c>
      <c r="B69" s="135">
        <v>201144325</v>
      </c>
      <c r="C69" s="135">
        <v>126970265</v>
      </c>
      <c r="D69" s="135">
        <v>39378660</v>
      </c>
      <c r="E69" s="135">
        <v>0</v>
      </c>
      <c r="F69" s="135">
        <v>35313300</v>
      </c>
      <c r="G69" s="135">
        <v>13877500</v>
      </c>
      <c r="H69" s="135">
        <v>11457850</v>
      </c>
      <c r="I69" s="135">
        <v>2476350</v>
      </c>
      <c r="J69" s="135">
        <v>80500</v>
      </c>
      <c r="K69" s="135">
        <v>0</v>
      </c>
      <c r="L69" s="135">
        <v>175872990</v>
      </c>
      <c r="M69" s="135">
        <v>65277640</v>
      </c>
      <c r="N69" s="135">
        <v>1363</v>
      </c>
      <c r="O69" s="135">
        <v>520</v>
      </c>
      <c r="P69" s="135">
        <v>5381750</v>
      </c>
      <c r="Q69" s="135">
        <v>2539814</v>
      </c>
      <c r="R69" s="135">
        <v>12800</v>
      </c>
      <c r="S69" s="135">
        <v>1511900</v>
      </c>
      <c r="T69" s="135">
        <v>929200</v>
      </c>
      <c r="U69" s="135">
        <v>262100</v>
      </c>
      <c r="V69" s="135">
        <v>5381750</v>
      </c>
      <c r="W69" s="135">
        <v>4446884</v>
      </c>
      <c r="X69" s="135">
        <v>12800</v>
      </c>
      <c r="Y69" s="135">
        <v>1511900</v>
      </c>
      <c r="Z69" s="135">
        <v>5196000</v>
      </c>
      <c r="AA69" s="135">
        <v>262100</v>
      </c>
      <c r="AB69" s="135">
        <v>-1348300</v>
      </c>
      <c r="AC69" s="135"/>
      <c r="AD69" s="135">
        <v>203789</v>
      </c>
      <c r="AE69" s="135">
        <v>0</v>
      </c>
      <c r="AF69" s="135">
        <v>0</v>
      </c>
      <c r="AG69" s="135">
        <v>287396</v>
      </c>
      <c r="AH69" s="135">
        <v>0</v>
      </c>
      <c r="AI69" s="135">
        <v>152000</v>
      </c>
      <c r="AJ69" s="135"/>
      <c r="AK69" s="135">
        <v>96821180</v>
      </c>
      <c r="AL69" s="135">
        <v>1770314</v>
      </c>
      <c r="AM69" s="135"/>
      <c r="AN69" s="135">
        <v>18154338</v>
      </c>
      <c r="AO69" s="135">
        <v>4705140</v>
      </c>
      <c r="AP69" s="135">
        <v>7580204</v>
      </c>
      <c r="AQ69" s="135">
        <v>8926114</v>
      </c>
      <c r="AR69" s="135">
        <v>4607036</v>
      </c>
      <c r="AS69" s="135"/>
      <c r="AT69" s="135">
        <v>169779</v>
      </c>
      <c r="AU69" s="135"/>
      <c r="AV69" s="135"/>
      <c r="AW69" s="135"/>
      <c r="AX69" s="135"/>
      <c r="AY69" s="135">
        <v>3500</v>
      </c>
      <c r="AZ69" s="135">
        <v>5183687.72</v>
      </c>
      <c r="BA69" s="135">
        <v>2695518</v>
      </c>
      <c r="BB69" s="135">
        <v>61946586.951295339</v>
      </c>
      <c r="BC69" s="135">
        <v>3067084</v>
      </c>
      <c r="BD69" s="135">
        <v>5898238</v>
      </c>
      <c r="BE69" s="135">
        <v>68689084</v>
      </c>
      <c r="BF69" s="135">
        <v>68689084</v>
      </c>
      <c r="BG69" s="135">
        <v>59314978</v>
      </c>
      <c r="BH69" s="135">
        <v>47861425</v>
      </c>
      <c r="BI69" s="135">
        <v>0</v>
      </c>
      <c r="BJ69" s="135">
        <v>0</v>
      </c>
      <c r="BK69" s="135"/>
      <c r="BL69" s="135">
        <v>620335447</v>
      </c>
      <c r="BM69" s="135">
        <v>399430842</v>
      </c>
      <c r="BN69" s="135">
        <v>1743400</v>
      </c>
      <c r="BO69" s="135"/>
      <c r="BP69" s="135">
        <v>367493250</v>
      </c>
      <c r="BQ69" s="135">
        <v>96821180</v>
      </c>
      <c r="BR69" s="135">
        <v>1770314</v>
      </c>
      <c r="BS69" s="135">
        <v>31785592</v>
      </c>
      <c r="BT69" s="135">
        <v>497870336</v>
      </c>
    </row>
    <row r="70" spans="1:72" x14ac:dyDescent="0.25">
      <c r="A70" s="149" t="s">
        <v>124</v>
      </c>
      <c r="B70" s="135">
        <v>653422957</v>
      </c>
      <c r="C70" s="135">
        <v>223313426</v>
      </c>
      <c r="D70" s="135">
        <v>145856799</v>
      </c>
      <c r="E70" s="135">
        <v>0</v>
      </c>
      <c r="F70" s="135">
        <v>78063375</v>
      </c>
      <c r="G70" s="135">
        <v>19873573</v>
      </c>
      <c r="H70" s="135">
        <v>22330300</v>
      </c>
      <c r="I70" s="135">
        <v>2905775</v>
      </c>
      <c r="J70" s="135">
        <v>283500</v>
      </c>
      <c r="K70" s="135">
        <v>40500</v>
      </c>
      <c r="L70" s="135">
        <v>304270920</v>
      </c>
      <c r="M70" s="135">
        <v>130170717</v>
      </c>
      <c r="N70" s="135">
        <v>2733</v>
      </c>
      <c r="O70" s="135">
        <v>699</v>
      </c>
      <c r="P70" s="135">
        <v>8281426</v>
      </c>
      <c r="Q70" s="135">
        <v>2573952</v>
      </c>
      <c r="R70" s="135">
        <v>2128675</v>
      </c>
      <c r="S70" s="135">
        <v>9600181</v>
      </c>
      <c r="T70" s="135">
        <v>2443475</v>
      </c>
      <c r="U70" s="135">
        <v>1111830</v>
      </c>
      <c r="V70" s="135">
        <v>8281426</v>
      </c>
      <c r="W70" s="135">
        <v>3236232</v>
      </c>
      <c r="X70" s="135">
        <v>2128675</v>
      </c>
      <c r="Y70" s="135">
        <v>9600181</v>
      </c>
      <c r="Z70" s="135">
        <v>3165300</v>
      </c>
      <c r="AA70" s="135">
        <v>1111830</v>
      </c>
      <c r="AB70" s="135">
        <v>-3208749</v>
      </c>
      <c r="AC70" s="135"/>
      <c r="AD70" s="135">
        <v>55131</v>
      </c>
      <c r="AE70" s="135">
        <v>0</v>
      </c>
      <c r="AF70" s="135">
        <v>0</v>
      </c>
      <c r="AG70" s="135">
        <v>197488</v>
      </c>
      <c r="AH70" s="135">
        <v>6700</v>
      </c>
      <c r="AI70" s="135">
        <v>5000</v>
      </c>
      <c r="AJ70" s="135"/>
      <c r="AK70" s="135">
        <v>191685589</v>
      </c>
      <c r="AL70" s="135">
        <v>6238761</v>
      </c>
      <c r="AM70" s="135"/>
      <c r="AN70" s="135">
        <v>18668036</v>
      </c>
      <c r="AO70" s="135">
        <v>5717672</v>
      </c>
      <c r="AP70" s="135">
        <v>14513426</v>
      </c>
      <c r="AQ70" s="135">
        <v>20111788</v>
      </c>
      <c r="AR70" s="135">
        <v>10121029</v>
      </c>
      <c r="AS70" s="135">
        <v>21375794</v>
      </c>
      <c r="AT70" s="135">
        <v>12506205</v>
      </c>
      <c r="AU70" s="135"/>
      <c r="AV70" s="135"/>
      <c r="AW70" s="135">
        <v>42206</v>
      </c>
      <c r="AX70" s="135">
        <v>205845</v>
      </c>
      <c r="AY70" s="135">
        <v>6000</v>
      </c>
      <c r="AZ70" s="135">
        <v>10262612.310000001</v>
      </c>
      <c r="BA70" s="135">
        <v>5336558</v>
      </c>
      <c r="BB70" s="135">
        <v>0</v>
      </c>
      <c r="BC70" s="135">
        <v>2647269</v>
      </c>
      <c r="BD70" s="135">
        <v>5090901</v>
      </c>
      <c r="BE70" s="135">
        <v>68076033</v>
      </c>
      <c r="BF70" s="135">
        <v>68076033</v>
      </c>
      <c r="BG70" s="135">
        <v>162087520</v>
      </c>
      <c r="BH70" s="135">
        <v>153523016</v>
      </c>
      <c r="BI70" s="135">
        <v>0</v>
      </c>
      <c r="BJ70" s="135">
        <v>0</v>
      </c>
      <c r="BK70" s="135"/>
      <c r="BL70" s="135">
        <v>1494609604</v>
      </c>
      <c r="BM70" s="135">
        <v>1067102378</v>
      </c>
      <c r="BN70" s="135">
        <v>471000</v>
      </c>
      <c r="BO70" s="135"/>
      <c r="BP70" s="135">
        <v>1022593182</v>
      </c>
      <c r="BQ70" s="135">
        <v>191685589</v>
      </c>
      <c r="BR70" s="135">
        <v>6238761</v>
      </c>
      <c r="BS70" s="135">
        <v>65873290</v>
      </c>
      <c r="BT70" s="135">
        <v>1286390822</v>
      </c>
    </row>
    <row r="71" spans="1:72" x14ac:dyDescent="0.25">
      <c r="A71" s="149" t="s">
        <v>125</v>
      </c>
      <c r="B71" s="135">
        <v>285263680</v>
      </c>
      <c r="C71" s="135">
        <v>148312000</v>
      </c>
      <c r="D71" s="135">
        <v>104688613</v>
      </c>
      <c r="E71" s="135">
        <v>0</v>
      </c>
      <c r="F71" s="135">
        <v>37525100</v>
      </c>
      <c r="G71" s="135">
        <v>5882300</v>
      </c>
      <c r="H71" s="135">
        <v>10533000</v>
      </c>
      <c r="I71" s="135">
        <v>1062800</v>
      </c>
      <c r="J71" s="135">
        <v>81000</v>
      </c>
      <c r="K71" s="135">
        <v>0</v>
      </c>
      <c r="L71" s="135">
        <v>294800180</v>
      </c>
      <c r="M71" s="135">
        <v>76283100</v>
      </c>
      <c r="N71" s="135">
        <v>1268</v>
      </c>
      <c r="O71" s="135">
        <v>195</v>
      </c>
      <c r="P71" s="135">
        <v>8268836</v>
      </c>
      <c r="Q71" s="135">
        <v>1076700</v>
      </c>
      <c r="R71" s="135">
        <v>3410000</v>
      </c>
      <c r="S71" s="135">
        <v>1522660</v>
      </c>
      <c r="T71" s="135">
        <v>961950</v>
      </c>
      <c r="U71" s="135">
        <v>872500</v>
      </c>
      <c r="V71" s="135">
        <v>8268836</v>
      </c>
      <c r="W71" s="135">
        <v>1198480</v>
      </c>
      <c r="X71" s="135">
        <v>3410000</v>
      </c>
      <c r="Y71" s="135">
        <v>1522660</v>
      </c>
      <c r="Z71" s="135">
        <v>4592147</v>
      </c>
      <c r="AA71" s="135">
        <v>872500</v>
      </c>
      <c r="AB71" s="135">
        <v>-1215674</v>
      </c>
      <c r="AC71" s="135">
        <v>-1950777</v>
      </c>
      <c r="AD71" s="135">
        <v>86823</v>
      </c>
      <c r="AE71" s="135">
        <v>0</v>
      </c>
      <c r="AF71" s="135">
        <v>0</v>
      </c>
      <c r="AG71" s="135">
        <v>175975</v>
      </c>
      <c r="AH71" s="135">
        <v>0</v>
      </c>
      <c r="AI71" s="135">
        <v>13500000</v>
      </c>
      <c r="AJ71" s="135"/>
      <c r="AK71" s="135">
        <v>88944985</v>
      </c>
      <c r="AL71" s="135">
        <v>7466452</v>
      </c>
      <c r="AM71" s="135">
        <v>6219361</v>
      </c>
      <c r="AN71" s="135">
        <v>59958191</v>
      </c>
      <c r="AO71" s="135">
        <v>7243360</v>
      </c>
      <c r="AP71" s="135">
        <v>102687644</v>
      </c>
      <c r="AQ71" s="135">
        <v>49661458</v>
      </c>
      <c r="AR71" s="135">
        <v>4900355</v>
      </c>
      <c r="AS71" s="135">
        <v>19637388</v>
      </c>
      <c r="AT71" s="135">
        <v>1678058</v>
      </c>
      <c r="AU71" s="135"/>
      <c r="AV71" s="135"/>
      <c r="AW71" s="135"/>
      <c r="AX71" s="135"/>
      <c r="AY71" s="135"/>
      <c r="AZ71" s="135">
        <v>4762005.8600000003</v>
      </c>
      <c r="BA71" s="135">
        <v>2476243</v>
      </c>
      <c r="BB71" s="135">
        <v>111151887.26829016</v>
      </c>
      <c r="BC71" s="135">
        <v>421291</v>
      </c>
      <c r="BD71" s="135">
        <v>810174</v>
      </c>
      <c r="BE71" s="135">
        <v>176444639</v>
      </c>
      <c r="BF71" s="135">
        <v>175958301</v>
      </c>
      <c r="BG71" s="135">
        <v>65514439</v>
      </c>
      <c r="BH71" s="135">
        <v>64861984</v>
      </c>
      <c r="BI71" s="135">
        <v>0</v>
      </c>
      <c r="BJ71" s="135">
        <v>0</v>
      </c>
      <c r="BK71" s="135"/>
      <c r="BL71" s="135">
        <v>1008756558</v>
      </c>
      <c r="BM71" s="135">
        <v>668627302</v>
      </c>
      <c r="BN71" s="135">
        <v>529703</v>
      </c>
      <c r="BO71" s="135"/>
      <c r="BP71" s="135">
        <v>538264293</v>
      </c>
      <c r="BQ71" s="135">
        <v>88944985</v>
      </c>
      <c r="BR71" s="135">
        <v>7466452</v>
      </c>
      <c r="BS71" s="135">
        <v>136500397</v>
      </c>
      <c r="BT71" s="135">
        <v>771176127</v>
      </c>
    </row>
    <row r="72" spans="1:72" x14ac:dyDescent="0.25">
      <c r="A72" s="149" t="s">
        <v>126</v>
      </c>
      <c r="B72" s="135">
        <v>803974006</v>
      </c>
      <c r="C72" s="135">
        <v>399307226</v>
      </c>
      <c r="D72" s="135">
        <v>309817708</v>
      </c>
      <c r="E72" s="135">
        <v>0</v>
      </c>
      <c r="F72" s="135">
        <v>81948375</v>
      </c>
      <c r="G72" s="135">
        <v>14681730</v>
      </c>
      <c r="H72" s="135">
        <v>18807568</v>
      </c>
      <c r="I72" s="135">
        <v>1434503</v>
      </c>
      <c r="J72" s="135">
        <v>69500</v>
      </c>
      <c r="K72" s="135">
        <v>0</v>
      </c>
      <c r="L72" s="135">
        <v>1244666970</v>
      </c>
      <c r="M72" s="135">
        <v>156173383</v>
      </c>
      <c r="N72" s="135">
        <v>2616</v>
      </c>
      <c r="O72" s="135">
        <v>438</v>
      </c>
      <c r="P72" s="135">
        <v>21547015</v>
      </c>
      <c r="Q72" s="135">
        <v>7090476</v>
      </c>
      <c r="R72" s="135">
        <v>3936900</v>
      </c>
      <c r="S72" s="135">
        <v>5468876</v>
      </c>
      <c r="T72" s="135">
        <v>5143465</v>
      </c>
      <c r="U72" s="135">
        <v>1088214</v>
      </c>
      <c r="V72" s="135">
        <v>21547015</v>
      </c>
      <c r="W72" s="135">
        <v>8367647</v>
      </c>
      <c r="X72" s="135">
        <v>3924900</v>
      </c>
      <c r="Y72" s="135">
        <v>5468876</v>
      </c>
      <c r="Z72" s="135">
        <v>8303734</v>
      </c>
      <c r="AA72" s="135">
        <v>239000</v>
      </c>
      <c r="AB72" s="135">
        <v>-3323804</v>
      </c>
      <c r="AC72" s="135">
        <v>0</v>
      </c>
      <c r="AD72" s="135">
        <v>108977</v>
      </c>
      <c r="AE72" s="135">
        <v>42</v>
      </c>
      <c r="AF72" s="135">
        <v>843764753</v>
      </c>
      <c r="AG72" s="135">
        <v>319992</v>
      </c>
      <c r="AH72" s="135">
        <v>34000</v>
      </c>
      <c r="AI72" s="135">
        <v>440000</v>
      </c>
      <c r="AJ72" s="135"/>
      <c r="AK72" s="135">
        <v>231580462</v>
      </c>
      <c r="AL72" s="135">
        <v>8033674</v>
      </c>
      <c r="AM72" s="135"/>
      <c r="AN72" s="135">
        <v>55254331</v>
      </c>
      <c r="AO72" s="135">
        <v>29632871</v>
      </c>
      <c r="AP72" s="135">
        <v>1039136990</v>
      </c>
      <c r="AQ72" s="135">
        <v>95312372</v>
      </c>
      <c r="AR72" s="135">
        <v>595366685</v>
      </c>
      <c r="AS72" s="135">
        <v>101522361</v>
      </c>
      <c r="AT72" s="135">
        <v>5884396</v>
      </c>
      <c r="AU72" s="135">
        <v>0</v>
      </c>
      <c r="AV72" s="135">
        <v>337503</v>
      </c>
      <c r="AW72" s="135">
        <v>24426423</v>
      </c>
      <c r="AX72" s="135">
        <v>2100669</v>
      </c>
      <c r="AY72" s="135">
        <v>1663300</v>
      </c>
      <c r="AZ72" s="135">
        <v>12398535.09</v>
      </c>
      <c r="BA72" s="135">
        <v>6447238</v>
      </c>
      <c r="BB72" s="135">
        <v>0</v>
      </c>
      <c r="BC72" s="135">
        <v>3199890</v>
      </c>
      <c r="BD72" s="135">
        <v>6153634</v>
      </c>
      <c r="BE72" s="135">
        <v>23330236</v>
      </c>
      <c r="BF72" s="135">
        <v>23330236</v>
      </c>
      <c r="BG72" s="135">
        <v>79072583</v>
      </c>
      <c r="BH72" s="135">
        <v>69968737</v>
      </c>
      <c r="BI72" s="135">
        <v>0</v>
      </c>
      <c r="BJ72" s="135">
        <v>9185325</v>
      </c>
      <c r="BK72" s="135"/>
      <c r="BL72" s="135">
        <v>2045518076</v>
      </c>
      <c r="BM72" s="135">
        <v>1693772514</v>
      </c>
      <c r="BN72" s="135">
        <v>3709157</v>
      </c>
      <c r="BO72" s="135"/>
      <c r="BP72" s="135">
        <v>1513098940</v>
      </c>
      <c r="BQ72" s="135">
        <v>231580462</v>
      </c>
      <c r="BR72" s="135">
        <v>8033674</v>
      </c>
      <c r="BS72" s="135">
        <v>281721935</v>
      </c>
      <c r="BT72" s="135">
        <v>2034435011</v>
      </c>
    </row>
    <row r="73" spans="1:72" x14ac:dyDescent="0.25">
      <c r="A73" s="149" t="s">
        <v>127</v>
      </c>
      <c r="B73" s="135">
        <v>595840361</v>
      </c>
      <c r="C73" s="135">
        <v>81944355</v>
      </c>
      <c r="D73" s="135">
        <v>108922352</v>
      </c>
      <c r="E73" s="135">
        <v>0</v>
      </c>
      <c r="F73" s="135">
        <v>34073000</v>
      </c>
      <c r="G73" s="135">
        <v>6350600</v>
      </c>
      <c r="H73" s="135">
        <v>6395556</v>
      </c>
      <c r="I73" s="135">
        <v>810000</v>
      </c>
      <c r="J73" s="135">
        <v>121500</v>
      </c>
      <c r="K73" s="135">
        <v>40500</v>
      </c>
      <c r="L73" s="135">
        <v>202513281</v>
      </c>
      <c r="M73" s="135">
        <v>61110622</v>
      </c>
      <c r="N73" s="135">
        <v>1025</v>
      </c>
      <c r="O73" s="135">
        <v>190</v>
      </c>
      <c r="P73" s="135">
        <v>6356765</v>
      </c>
      <c r="Q73" s="135">
        <v>1399276</v>
      </c>
      <c r="R73" s="135">
        <v>0</v>
      </c>
      <c r="S73" s="135">
        <v>10184787</v>
      </c>
      <c r="T73" s="135">
        <v>1925699</v>
      </c>
      <c r="U73" s="135">
        <v>983079</v>
      </c>
      <c r="V73" s="135">
        <v>6356765</v>
      </c>
      <c r="W73" s="135">
        <v>1365000</v>
      </c>
      <c r="X73" s="135">
        <v>0</v>
      </c>
      <c r="Y73" s="135">
        <v>10184787</v>
      </c>
      <c r="Z73" s="135">
        <v>2710240</v>
      </c>
      <c r="AA73" s="135">
        <v>983079</v>
      </c>
      <c r="AB73" s="135">
        <v>-2062960</v>
      </c>
      <c r="AC73" s="135">
        <v>-1014674</v>
      </c>
      <c r="AD73" s="135">
        <v>28539</v>
      </c>
      <c r="AE73" s="135">
        <v>0</v>
      </c>
      <c r="AF73" s="135">
        <v>0</v>
      </c>
      <c r="AG73" s="135">
        <v>67096</v>
      </c>
      <c r="AH73" s="135">
        <v>0</v>
      </c>
      <c r="AI73" s="135">
        <v>0</v>
      </c>
      <c r="AJ73" s="135"/>
      <c r="AK73" s="135">
        <v>73920906</v>
      </c>
      <c r="AL73" s="135">
        <v>23802307</v>
      </c>
      <c r="AM73" s="135">
        <v>1943534</v>
      </c>
      <c r="AN73" s="135">
        <v>19034214</v>
      </c>
      <c r="AO73" s="135">
        <v>347354</v>
      </c>
      <c r="AP73" s="135">
        <v>2603846</v>
      </c>
      <c r="AQ73" s="135">
        <v>9235400</v>
      </c>
      <c r="AR73" s="135">
        <v>12612686</v>
      </c>
      <c r="AS73" s="135">
        <v>22405283</v>
      </c>
      <c r="AT73" s="135">
        <v>1690501</v>
      </c>
      <c r="AU73" s="135"/>
      <c r="AV73" s="135">
        <v>97223</v>
      </c>
      <c r="AW73" s="135"/>
      <c r="AX73" s="135">
        <v>2080</v>
      </c>
      <c r="AY73" s="135"/>
      <c r="AZ73" s="135">
        <v>3957635.02</v>
      </c>
      <c r="BA73" s="135">
        <v>2057970</v>
      </c>
      <c r="BB73" s="135">
        <v>46811909.45751296</v>
      </c>
      <c r="BC73" s="135">
        <v>1103766</v>
      </c>
      <c r="BD73" s="135">
        <v>2122628</v>
      </c>
      <c r="BE73" s="135">
        <v>14891705</v>
      </c>
      <c r="BF73" s="135">
        <v>12375405</v>
      </c>
      <c r="BG73" s="135">
        <v>29915657</v>
      </c>
      <c r="BH73" s="135">
        <v>28609063</v>
      </c>
      <c r="BI73" s="135">
        <v>0</v>
      </c>
      <c r="BJ73" s="135">
        <v>0</v>
      </c>
      <c r="BK73" s="135"/>
      <c r="BL73" s="135">
        <v>957193453</v>
      </c>
      <c r="BM73" s="135">
        <v>815324036</v>
      </c>
      <c r="BN73" s="135">
        <v>684936</v>
      </c>
      <c r="BO73" s="135"/>
      <c r="BP73" s="135">
        <v>786707068</v>
      </c>
      <c r="BQ73" s="135">
        <v>73920906</v>
      </c>
      <c r="BR73" s="135">
        <v>23802307</v>
      </c>
      <c r="BS73" s="135">
        <v>51022251</v>
      </c>
      <c r="BT73" s="135">
        <v>935452532</v>
      </c>
    </row>
    <row r="74" spans="1:72" x14ac:dyDescent="0.25">
      <c r="A74" s="149" t="s">
        <v>128</v>
      </c>
      <c r="B74" s="135">
        <v>3043040053</v>
      </c>
      <c r="C74" s="135">
        <v>231611825</v>
      </c>
      <c r="D74" s="135">
        <v>1536321682</v>
      </c>
      <c r="E74" s="135">
        <v>9235235</v>
      </c>
      <c r="F74" s="135">
        <v>266540084</v>
      </c>
      <c r="G74" s="135">
        <v>21020640</v>
      </c>
      <c r="H74" s="135">
        <v>14267109</v>
      </c>
      <c r="I74" s="135">
        <v>729000</v>
      </c>
      <c r="J74" s="135">
        <v>859200</v>
      </c>
      <c r="K74" s="135">
        <v>0</v>
      </c>
      <c r="L74" s="135">
        <v>245345021</v>
      </c>
      <c r="M74" s="135">
        <v>173975213</v>
      </c>
      <c r="N74" s="135">
        <v>7183610</v>
      </c>
      <c r="O74" s="135">
        <v>610</v>
      </c>
      <c r="P74" s="135">
        <v>34223461</v>
      </c>
      <c r="Q74" s="135">
        <v>12976893</v>
      </c>
      <c r="R74" s="135">
        <v>131959885</v>
      </c>
      <c r="S74" s="135">
        <v>69377832</v>
      </c>
      <c r="T74" s="135">
        <v>4541032</v>
      </c>
      <c r="U74" s="135">
        <v>30125539</v>
      </c>
      <c r="V74" s="135">
        <v>34223461</v>
      </c>
      <c r="W74" s="135">
        <v>20742735</v>
      </c>
      <c r="X74" s="135">
        <v>131959885</v>
      </c>
      <c r="Y74" s="135">
        <v>69377832</v>
      </c>
      <c r="Z74" s="135">
        <v>8547221</v>
      </c>
      <c r="AA74" s="135">
        <v>30125539</v>
      </c>
      <c r="AB74" s="135">
        <v>-12423832</v>
      </c>
      <c r="AC74" s="135">
        <v>-1862941</v>
      </c>
      <c r="AD74" s="135">
        <v>0</v>
      </c>
      <c r="AE74" s="135">
        <v>0</v>
      </c>
      <c r="AF74" s="135">
        <v>0</v>
      </c>
      <c r="AG74" s="135">
        <v>14416</v>
      </c>
      <c r="AH74" s="135">
        <v>0</v>
      </c>
      <c r="AI74" s="135">
        <v>1600</v>
      </c>
      <c r="AJ74" s="135"/>
      <c r="AK74" s="135">
        <v>612400510</v>
      </c>
      <c r="AL74" s="135">
        <v>24388144</v>
      </c>
      <c r="AM74" s="135"/>
      <c r="AN74" s="135">
        <v>240505142</v>
      </c>
      <c r="AO74" s="135">
        <v>12117637</v>
      </c>
      <c r="AP74" s="135">
        <v>70410096</v>
      </c>
      <c r="AQ74" s="135">
        <v>261966760</v>
      </c>
      <c r="AR74" s="135">
        <v>84028439</v>
      </c>
      <c r="AS74" s="135">
        <v>48933331</v>
      </c>
      <c r="AT74" s="135">
        <v>2876886</v>
      </c>
      <c r="AU74" s="135"/>
      <c r="AV74" s="135"/>
      <c r="AW74" s="135"/>
      <c r="AX74" s="135">
        <v>1595985</v>
      </c>
      <c r="AY74" s="135">
        <v>19005323</v>
      </c>
      <c r="AZ74" s="135">
        <v>32787175.329999998</v>
      </c>
      <c r="BA74" s="135">
        <v>17049331</v>
      </c>
      <c r="BB74" s="135">
        <v>45192850.934922278</v>
      </c>
      <c r="BC74" s="135">
        <v>5764524</v>
      </c>
      <c r="BD74" s="135">
        <v>11085622</v>
      </c>
      <c r="BE74" s="135">
        <v>120980456</v>
      </c>
      <c r="BF74" s="135">
        <v>109442619</v>
      </c>
      <c r="BG74" s="135">
        <v>157858449</v>
      </c>
      <c r="BH74" s="135">
        <v>128577230</v>
      </c>
      <c r="BI74" s="135">
        <v>4108</v>
      </c>
      <c r="BJ74" s="135">
        <v>72134210</v>
      </c>
      <c r="BK74" s="135"/>
      <c r="BL74" s="135">
        <v>6295325375</v>
      </c>
      <c r="BM74" s="135">
        <v>5325564699</v>
      </c>
      <c r="BN74" s="135">
        <v>4375757</v>
      </c>
      <c r="BO74" s="135"/>
      <c r="BP74" s="135">
        <v>4810973560</v>
      </c>
      <c r="BQ74" s="135">
        <v>612400510</v>
      </c>
      <c r="BR74" s="135">
        <v>24388144</v>
      </c>
      <c r="BS74" s="135">
        <v>563522870</v>
      </c>
      <c r="BT74" s="135">
        <v>6011285084</v>
      </c>
    </row>
    <row r="75" spans="1:72" x14ac:dyDescent="0.25">
      <c r="A75" s="149" t="s">
        <v>129</v>
      </c>
      <c r="B75" s="135">
        <v>285822134</v>
      </c>
      <c r="C75" s="135">
        <v>52442279</v>
      </c>
      <c r="D75" s="135">
        <v>93497160</v>
      </c>
      <c r="E75" s="135">
        <v>0</v>
      </c>
      <c r="F75" s="135">
        <v>46443900</v>
      </c>
      <c r="G75" s="135">
        <v>19906164</v>
      </c>
      <c r="H75" s="135">
        <v>6822500</v>
      </c>
      <c r="I75" s="135">
        <v>1731500</v>
      </c>
      <c r="J75" s="135">
        <v>60500</v>
      </c>
      <c r="K75" s="135">
        <v>0</v>
      </c>
      <c r="L75" s="135">
        <v>36466921</v>
      </c>
      <c r="M75" s="135">
        <v>0</v>
      </c>
      <c r="N75" s="135">
        <v>1470</v>
      </c>
      <c r="O75" s="135">
        <v>658</v>
      </c>
      <c r="P75" s="135">
        <v>6578300</v>
      </c>
      <c r="Q75" s="135">
        <v>5756415</v>
      </c>
      <c r="R75" s="135">
        <v>385100</v>
      </c>
      <c r="S75" s="135">
        <v>6484400</v>
      </c>
      <c r="T75" s="135">
        <v>1788825</v>
      </c>
      <c r="U75" s="135">
        <v>2904200</v>
      </c>
      <c r="V75" s="135">
        <v>6578300</v>
      </c>
      <c r="W75" s="135">
        <v>8523500</v>
      </c>
      <c r="X75" s="135">
        <v>385100</v>
      </c>
      <c r="Y75" s="135">
        <v>6484400</v>
      </c>
      <c r="Z75" s="135">
        <v>593000</v>
      </c>
      <c r="AA75" s="135">
        <v>2904200</v>
      </c>
      <c r="AB75" s="135">
        <v>-3409245</v>
      </c>
      <c r="AC75" s="135">
        <v>12809</v>
      </c>
      <c r="AD75" s="135">
        <v>31896</v>
      </c>
      <c r="AE75" s="135">
        <v>0</v>
      </c>
      <c r="AF75" s="135">
        <v>0</v>
      </c>
      <c r="AG75" s="135">
        <v>47807</v>
      </c>
      <c r="AH75" s="135">
        <v>42000</v>
      </c>
      <c r="AI75" s="135">
        <v>480000</v>
      </c>
      <c r="AJ75" s="135">
        <v>22000</v>
      </c>
      <c r="AK75" s="135">
        <v>84053395</v>
      </c>
      <c r="AL75" s="135">
        <v>2999392</v>
      </c>
      <c r="AM75" s="135"/>
      <c r="AN75" s="135">
        <v>9073051</v>
      </c>
      <c r="AO75" s="135">
        <v>235998</v>
      </c>
      <c r="AP75" s="135">
        <v>10949279</v>
      </c>
      <c r="AQ75" s="135">
        <v>11698727</v>
      </c>
      <c r="AR75" s="135">
        <v>18741459</v>
      </c>
      <c r="AS75" s="135"/>
      <c r="AT75" s="135">
        <v>902053</v>
      </c>
      <c r="AU75" s="135"/>
      <c r="AV75" s="135"/>
      <c r="AW75" s="135"/>
      <c r="AX75" s="135"/>
      <c r="AY75" s="135">
        <v>3500</v>
      </c>
      <c r="AZ75" s="135">
        <v>4500116.1100000003</v>
      </c>
      <c r="BA75" s="135">
        <v>2340060</v>
      </c>
      <c r="BB75" s="135">
        <v>0</v>
      </c>
      <c r="BC75" s="135">
        <v>3970903</v>
      </c>
      <c r="BD75" s="135">
        <v>7636352</v>
      </c>
      <c r="BE75" s="135">
        <v>43343527</v>
      </c>
      <c r="BF75" s="135">
        <v>43343527</v>
      </c>
      <c r="BG75" s="135">
        <v>51342858</v>
      </c>
      <c r="BH75" s="135">
        <v>41066129</v>
      </c>
      <c r="BI75" s="135">
        <v>0</v>
      </c>
      <c r="BJ75" s="135">
        <v>0</v>
      </c>
      <c r="BK75" s="135"/>
      <c r="BL75" s="135">
        <v>631086755</v>
      </c>
      <c r="BM75" s="135">
        <v>453313349</v>
      </c>
      <c r="BN75" s="135">
        <v>642100</v>
      </c>
      <c r="BO75" s="135"/>
      <c r="BP75" s="135">
        <v>431761573</v>
      </c>
      <c r="BQ75" s="135">
        <v>84053395</v>
      </c>
      <c r="BR75" s="135">
        <v>2999392</v>
      </c>
      <c r="BS75" s="135">
        <v>21007776</v>
      </c>
      <c r="BT75" s="135">
        <v>539822136</v>
      </c>
    </row>
    <row r="76" spans="1:72" x14ac:dyDescent="0.25">
      <c r="A76" s="149" t="s">
        <v>130</v>
      </c>
      <c r="B76" s="135">
        <v>223541794</v>
      </c>
      <c r="C76" s="135">
        <v>165277258</v>
      </c>
      <c r="D76" s="135">
        <v>68448957</v>
      </c>
      <c r="E76" s="135">
        <v>0</v>
      </c>
      <c r="F76" s="135">
        <v>32805710</v>
      </c>
      <c r="G76" s="135">
        <v>8933317</v>
      </c>
      <c r="H76" s="135">
        <v>7224650</v>
      </c>
      <c r="I76" s="135">
        <v>807100</v>
      </c>
      <c r="J76" s="135">
        <v>40500</v>
      </c>
      <c r="K76" s="135">
        <v>0</v>
      </c>
      <c r="L76" s="135">
        <v>522708595</v>
      </c>
      <c r="M76" s="135">
        <v>57165705</v>
      </c>
      <c r="N76" s="135">
        <v>1073</v>
      </c>
      <c r="O76" s="135">
        <v>278</v>
      </c>
      <c r="P76" s="135">
        <v>3410492</v>
      </c>
      <c r="Q76" s="135">
        <v>733560</v>
      </c>
      <c r="R76" s="135">
        <v>626000</v>
      </c>
      <c r="S76" s="135">
        <v>316422</v>
      </c>
      <c r="T76" s="135">
        <v>17400</v>
      </c>
      <c r="U76" s="135">
        <v>0</v>
      </c>
      <c r="V76" s="135">
        <v>3410492</v>
      </c>
      <c r="W76" s="135">
        <v>733560</v>
      </c>
      <c r="X76" s="135">
        <v>626000</v>
      </c>
      <c r="Y76" s="135">
        <v>316422</v>
      </c>
      <c r="Z76" s="135">
        <v>17400</v>
      </c>
      <c r="AA76" s="135">
        <v>0</v>
      </c>
      <c r="AB76" s="135">
        <v>-9599662</v>
      </c>
      <c r="AC76" s="135">
        <v>-5270</v>
      </c>
      <c r="AD76" s="135">
        <v>15622</v>
      </c>
      <c r="AE76" s="135">
        <v>2941</v>
      </c>
      <c r="AF76" s="135">
        <v>6182280</v>
      </c>
      <c r="AG76" s="135">
        <v>152723</v>
      </c>
      <c r="AH76" s="135">
        <v>6500000</v>
      </c>
      <c r="AI76" s="135">
        <v>1100</v>
      </c>
      <c r="AJ76" s="135">
        <v>1100500</v>
      </c>
      <c r="AK76" s="135">
        <v>97429721</v>
      </c>
      <c r="AL76" s="135">
        <v>3516985</v>
      </c>
      <c r="AM76" s="135"/>
      <c r="AN76" s="135">
        <v>15150144</v>
      </c>
      <c r="AO76" s="135">
        <v>2262148</v>
      </c>
      <c r="AP76" s="135">
        <v>4612849</v>
      </c>
      <c r="AQ76" s="135">
        <v>17456376</v>
      </c>
      <c r="AR76" s="135">
        <v>5869437</v>
      </c>
      <c r="AS76" s="135">
        <v>62430</v>
      </c>
      <c r="AT76" s="135">
        <v>16483543</v>
      </c>
      <c r="AU76" s="135"/>
      <c r="AV76" s="135">
        <v>1525126</v>
      </c>
      <c r="AW76" s="135">
        <v>17955778</v>
      </c>
      <c r="AX76" s="135"/>
      <c r="AY76" s="135">
        <v>250700</v>
      </c>
      <c r="AZ76" s="135">
        <v>5216268.26</v>
      </c>
      <c r="BA76" s="135">
        <v>2712459</v>
      </c>
      <c r="BB76" s="135">
        <v>20132640.759170987</v>
      </c>
      <c r="BC76" s="135">
        <v>0</v>
      </c>
      <c r="BD76" s="135">
        <v>0</v>
      </c>
      <c r="BE76" s="135">
        <v>8395751</v>
      </c>
      <c r="BF76" s="135">
        <v>8395751</v>
      </c>
      <c r="BG76" s="135">
        <v>32380846</v>
      </c>
      <c r="BH76" s="135">
        <v>32380846</v>
      </c>
      <c r="BI76" s="135">
        <v>0</v>
      </c>
      <c r="BJ76" s="135">
        <v>0</v>
      </c>
      <c r="BK76" s="135"/>
      <c r="BL76" s="135">
        <v>644174039</v>
      </c>
      <c r="BM76" s="135">
        <v>499738277</v>
      </c>
      <c r="BN76" s="135">
        <v>577342</v>
      </c>
      <c r="BO76" s="135"/>
      <c r="BP76" s="135">
        <v>457268009</v>
      </c>
      <c r="BQ76" s="135">
        <v>97429721</v>
      </c>
      <c r="BR76" s="135">
        <v>3516985</v>
      </c>
      <c r="BS76" s="135">
        <v>34931098</v>
      </c>
      <c r="BT76" s="135">
        <v>593145813</v>
      </c>
    </row>
    <row r="77" spans="1:72" x14ac:dyDescent="0.25">
      <c r="A77" s="149" t="s">
        <v>131</v>
      </c>
      <c r="B77" s="135">
        <v>4360846242</v>
      </c>
      <c r="C77" s="135">
        <v>392708078</v>
      </c>
      <c r="D77" s="135">
        <v>1409903536</v>
      </c>
      <c r="E77" s="135">
        <v>0</v>
      </c>
      <c r="F77" s="135">
        <v>268168380</v>
      </c>
      <c r="G77" s="135">
        <v>22845165</v>
      </c>
      <c r="H77" s="135">
        <v>24135184</v>
      </c>
      <c r="I77" s="135">
        <v>1040500</v>
      </c>
      <c r="J77" s="135">
        <v>567000</v>
      </c>
      <c r="K77" s="135">
        <v>0</v>
      </c>
      <c r="L77" s="135">
        <v>1036536504</v>
      </c>
      <c r="M77" s="135">
        <v>243311267</v>
      </c>
      <c r="N77" s="135">
        <v>7409</v>
      </c>
      <c r="O77" s="135">
        <v>627</v>
      </c>
      <c r="P77" s="135">
        <v>123235947</v>
      </c>
      <c r="Q77" s="135">
        <v>59714710</v>
      </c>
      <c r="R77" s="135">
        <v>77172858</v>
      </c>
      <c r="S77" s="135">
        <v>34253202</v>
      </c>
      <c r="T77" s="135">
        <v>9757620</v>
      </c>
      <c r="U77" s="135">
        <v>12417680</v>
      </c>
      <c r="V77" s="135">
        <v>123235947</v>
      </c>
      <c r="W77" s="135">
        <v>60825010</v>
      </c>
      <c r="X77" s="135">
        <v>77172858</v>
      </c>
      <c r="Y77" s="135">
        <v>34253202</v>
      </c>
      <c r="Z77" s="135">
        <v>18153381</v>
      </c>
      <c r="AA77" s="135">
        <v>12417680</v>
      </c>
      <c r="AB77" s="135">
        <v>-10452710</v>
      </c>
      <c r="AC77" s="135">
        <v>-10093102</v>
      </c>
      <c r="AD77" s="135">
        <v>1993</v>
      </c>
      <c r="AE77" s="135">
        <v>0</v>
      </c>
      <c r="AF77" s="135">
        <v>0</v>
      </c>
      <c r="AG77" s="135">
        <v>208345.61170000001</v>
      </c>
      <c r="AH77" s="135">
        <v>0</v>
      </c>
      <c r="AI77" s="135">
        <v>1350000</v>
      </c>
      <c r="AJ77" s="135"/>
      <c r="AK77" s="135">
        <v>763162231</v>
      </c>
      <c r="AL77" s="135">
        <v>21998110</v>
      </c>
      <c r="AM77" s="135"/>
      <c r="AN77" s="135">
        <v>168034906</v>
      </c>
      <c r="AO77" s="135">
        <v>23689284</v>
      </c>
      <c r="AP77" s="135">
        <v>630166198</v>
      </c>
      <c r="AQ77" s="135">
        <v>128031550</v>
      </c>
      <c r="AR77" s="135">
        <v>175290192</v>
      </c>
      <c r="AS77" s="135">
        <v>84258280</v>
      </c>
      <c r="AT77" s="135">
        <v>245119850</v>
      </c>
      <c r="AU77" s="135"/>
      <c r="AV77" s="135"/>
      <c r="AW77" s="135">
        <v>710879</v>
      </c>
      <c r="AX77" s="135">
        <v>3450792</v>
      </c>
      <c r="AY77" s="135">
        <v>956563</v>
      </c>
      <c r="AZ77" s="135">
        <v>40858773.740000002</v>
      </c>
      <c r="BA77" s="135">
        <v>21246562</v>
      </c>
      <c r="BB77" s="135">
        <v>0</v>
      </c>
      <c r="BC77" s="135">
        <v>2171380</v>
      </c>
      <c r="BD77" s="135">
        <v>4175731</v>
      </c>
      <c r="BE77" s="135">
        <v>71144608</v>
      </c>
      <c r="BF77" s="135">
        <v>71144608</v>
      </c>
      <c r="BG77" s="135">
        <v>170910043</v>
      </c>
      <c r="BH77" s="135">
        <v>165896980</v>
      </c>
      <c r="BI77" s="135">
        <v>0</v>
      </c>
      <c r="BJ77" s="135">
        <v>0</v>
      </c>
      <c r="BK77" s="135"/>
      <c r="BL77" s="135">
        <v>7530183467</v>
      </c>
      <c r="BM77" s="135">
        <v>6484563596</v>
      </c>
      <c r="BN77" s="135">
        <v>3304114</v>
      </c>
      <c r="BO77" s="135"/>
      <c r="BP77" s="135">
        <v>6163457856</v>
      </c>
      <c r="BQ77" s="135">
        <v>763162231</v>
      </c>
      <c r="BR77" s="135">
        <v>21998110</v>
      </c>
      <c r="BS77" s="135">
        <v>404014020</v>
      </c>
      <c r="BT77" s="135">
        <v>7352632217</v>
      </c>
    </row>
    <row r="78" spans="1:72" x14ac:dyDescent="0.25">
      <c r="A78" s="149" t="s">
        <v>132</v>
      </c>
      <c r="B78" s="135">
        <v>113698400</v>
      </c>
      <c r="C78" s="135">
        <v>49253965</v>
      </c>
      <c r="D78" s="135">
        <v>56043218</v>
      </c>
      <c r="E78" s="135">
        <v>0</v>
      </c>
      <c r="F78" s="135">
        <v>24555200</v>
      </c>
      <c r="G78" s="135">
        <v>25134910</v>
      </c>
      <c r="H78" s="135">
        <v>10908821</v>
      </c>
      <c r="I78" s="135">
        <v>7081340</v>
      </c>
      <c r="J78" s="135">
        <v>81000</v>
      </c>
      <c r="K78" s="135">
        <v>0</v>
      </c>
      <c r="L78" s="135">
        <v>84639383</v>
      </c>
      <c r="M78" s="135">
        <v>40144250</v>
      </c>
      <c r="N78" s="135">
        <v>1167</v>
      </c>
      <c r="O78" s="135">
        <v>1193</v>
      </c>
      <c r="P78" s="135">
        <v>2684000</v>
      </c>
      <c r="Q78" s="135">
        <v>410100</v>
      </c>
      <c r="R78" s="135">
        <v>1844000</v>
      </c>
      <c r="S78" s="135">
        <v>1535700</v>
      </c>
      <c r="T78" s="135">
        <v>319100</v>
      </c>
      <c r="U78" s="135">
        <v>311000</v>
      </c>
      <c r="V78" s="135">
        <v>2684000</v>
      </c>
      <c r="W78" s="135">
        <v>415000</v>
      </c>
      <c r="X78" s="135">
        <v>170000</v>
      </c>
      <c r="Y78" s="135">
        <v>1531700</v>
      </c>
      <c r="Z78" s="135">
        <v>318500</v>
      </c>
      <c r="AA78" s="135">
        <v>311000</v>
      </c>
      <c r="AB78" s="135">
        <v>-1370500</v>
      </c>
      <c r="AC78" s="135">
        <v>173027</v>
      </c>
      <c r="AD78" s="135">
        <v>146265</v>
      </c>
      <c r="AE78" s="135">
        <v>0</v>
      </c>
      <c r="AF78" s="135">
        <v>0</v>
      </c>
      <c r="AG78" s="135">
        <v>2451325</v>
      </c>
      <c r="AH78" s="135">
        <v>4800000</v>
      </c>
      <c r="AI78" s="135">
        <v>1500000</v>
      </c>
      <c r="AJ78" s="135">
        <v>25000</v>
      </c>
      <c r="AK78" s="135">
        <v>94308315</v>
      </c>
      <c r="AL78" s="135">
        <v>2610406</v>
      </c>
      <c r="AM78" s="135"/>
      <c r="AN78" s="135">
        <v>10670991</v>
      </c>
      <c r="AO78" s="135">
        <v>102814</v>
      </c>
      <c r="AP78" s="135">
        <v>1085340</v>
      </c>
      <c r="AQ78" s="135">
        <v>5658950</v>
      </c>
      <c r="AR78" s="135">
        <v>409249</v>
      </c>
      <c r="AS78" s="135"/>
      <c r="AT78" s="135">
        <v>231527</v>
      </c>
      <c r="AU78" s="135"/>
      <c r="AV78" s="135"/>
      <c r="AW78" s="135"/>
      <c r="AX78" s="135"/>
      <c r="AY78" s="135"/>
      <c r="AZ78" s="135">
        <v>5049152</v>
      </c>
      <c r="BA78" s="135">
        <v>2625559</v>
      </c>
      <c r="BB78" s="135">
        <v>0</v>
      </c>
      <c r="BC78" s="135">
        <v>0</v>
      </c>
      <c r="BD78" s="135">
        <v>0</v>
      </c>
      <c r="BE78" s="135">
        <v>745530</v>
      </c>
      <c r="BF78" s="135">
        <v>745530</v>
      </c>
      <c r="BG78" s="135">
        <v>42290671</v>
      </c>
      <c r="BH78" s="135">
        <v>42290671</v>
      </c>
      <c r="BI78" s="135">
        <v>0</v>
      </c>
      <c r="BJ78" s="135">
        <v>0</v>
      </c>
      <c r="BK78" s="135"/>
      <c r="BL78" s="135">
        <v>384333819</v>
      </c>
      <c r="BM78" s="135">
        <v>241753338</v>
      </c>
      <c r="BN78" s="135">
        <v>298214</v>
      </c>
      <c r="BO78" s="135"/>
      <c r="BP78" s="135">
        <v>218995583</v>
      </c>
      <c r="BQ78" s="135">
        <v>94308315</v>
      </c>
      <c r="BR78" s="135">
        <v>2610406</v>
      </c>
      <c r="BS78" s="135">
        <v>16432755</v>
      </c>
      <c r="BT78" s="135">
        <v>332347059</v>
      </c>
    </row>
    <row r="79" spans="1:72" x14ac:dyDescent="0.25">
      <c r="A79" s="149" t="s">
        <v>133</v>
      </c>
      <c r="B79" s="135">
        <v>615049024</v>
      </c>
      <c r="C79" s="135">
        <v>222799241</v>
      </c>
      <c r="D79" s="135">
        <v>380701112</v>
      </c>
      <c r="E79" s="135">
        <v>43700000</v>
      </c>
      <c r="F79" s="135">
        <v>58247955</v>
      </c>
      <c r="G79" s="135">
        <v>12544560</v>
      </c>
      <c r="H79" s="135">
        <v>16814000</v>
      </c>
      <c r="I79" s="135">
        <v>2331300</v>
      </c>
      <c r="J79" s="135">
        <v>162000</v>
      </c>
      <c r="K79" s="135">
        <v>0</v>
      </c>
      <c r="L79" s="135">
        <v>476163181</v>
      </c>
      <c r="M79" s="135">
        <v>151047000</v>
      </c>
      <c r="N79" s="135">
        <v>1901</v>
      </c>
      <c r="O79" s="135">
        <v>403</v>
      </c>
      <c r="P79" s="135">
        <v>9983323</v>
      </c>
      <c r="Q79" s="135">
        <v>2726000</v>
      </c>
      <c r="R79" s="135">
        <v>21197000</v>
      </c>
      <c r="S79" s="135">
        <v>2022828</v>
      </c>
      <c r="T79" s="135">
        <v>2992090</v>
      </c>
      <c r="U79" s="135">
        <v>1712250</v>
      </c>
      <c r="V79" s="135">
        <v>9983323</v>
      </c>
      <c r="W79" s="135">
        <v>2775061</v>
      </c>
      <c r="X79" s="135">
        <v>21197000</v>
      </c>
      <c r="Y79" s="135">
        <v>2022828</v>
      </c>
      <c r="Z79" s="135">
        <v>2306735</v>
      </c>
      <c r="AA79" s="135">
        <v>1703250</v>
      </c>
      <c r="AB79" s="135">
        <v>-2231960</v>
      </c>
      <c r="AC79" s="135">
        <v>0</v>
      </c>
      <c r="AD79" s="135">
        <v>53545</v>
      </c>
      <c r="AE79" s="135">
        <v>0</v>
      </c>
      <c r="AF79" s="135">
        <v>0</v>
      </c>
      <c r="AG79" s="135">
        <v>236318</v>
      </c>
      <c r="AH79" s="135">
        <v>0</v>
      </c>
      <c r="AI79" s="135">
        <v>222000</v>
      </c>
      <c r="AJ79" s="135"/>
      <c r="AK79" s="135">
        <v>163484146</v>
      </c>
      <c r="AL79" s="135">
        <v>4122528</v>
      </c>
      <c r="AM79" s="135"/>
      <c r="AN79" s="135">
        <v>45472289</v>
      </c>
      <c r="AO79" s="135">
        <v>19057515</v>
      </c>
      <c r="AP79" s="135">
        <v>346224628</v>
      </c>
      <c r="AQ79" s="135">
        <v>37037613</v>
      </c>
      <c r="AR79" s="135">
        <v>106846431</v>
      </c>
      <c r="AS79" s="135">
        <v>8867763</v>
      </c>
      <c r="AT79" s="135">
        <v>12393679</v>
      </c>
      <c r="AU79" s="135"/>
      <c r="AV79" s="135">
        <v>1302400</v>
      </c>
      <c r="AW79" s="135">
        <v>40398</v>
      </c>
      <c r="AX79" s="135">
        <v>249644</v>
      </c>
      <c r="AY79" s="135">
        <v>21000</v>
      </c>
      <c r="AZ79" s="135">
        <v>8752741.5</v>
      </c>
      <c r="BA79" s="135">
        <v>4551426</v>
      </c>
      <c r="BB79" s="135">
        <v>0</v>
      </c>
      <c r="BC79" s="135">
        <v>0</v>
      </c>
      <c r="BD79" s="135">
        <v>0</v>
      </c>
      <c r="BE79" s="135">
        <v>59361329</v>
      </c>
      <c r="BF79" s="135">
        <v>59361329</v>
      </c>
      <c r="BG79" s="135">
        <v>51660004</v>
      </c>
      <c r="BH79" s="135">
        <v>51397541</v>
      </c>
      <c r="BI79" s="135">
        <v>277841552</v>
      </c>
      <c r="BJ79" s="135">
        <v>0</v>
      </c>
      <c r="BK79" s="135"/>
      <c r="BL79" s="135">
        <v>1881097316</v>
      </c>
      <c r="BM79" s="135">
        <v>1320338794</v>
      </c>
      <c r="BN79" s="135">
        <v>1115000</v>
      </c>
      <c r="BO79" s="135"/>
      <c r="BP79" s="135">
        <v>1218549377</v>
      </c>
      <c r="BQ79" s="135">
        <v>163484146</v>
      </c>
      <c r="BR79" s="135">
        <v>4122528</v>
      </c>
      <c r="BS79" s="135">
        <v>110435180</v>
      </c>
      <c r="BT79" s="135">
        <v>1496591231</v>
      </c>
    </row>
    <row r="80" spans="1:72" x14ac:dyDescent="0.25">
      <c r="A80" s="149" t="s">
        <v>134</v>
      </c>
      <c r="B80" s="135">
        <v>1515002409</v>
      </c>
      <c r="C80" s="135">
        <v>241921931</v>
      </c>
      <c r="D80" s="135">
        <v>477269698</v>
      </c>
      <c r="E80" s="135">
        <v>0</v>
      </c>
      <c r="F80" s="135">
        <v>134473585</v>
      </c>
      <c r="G80" s="135">
        <v>17078640</v>
      </c>
      <c r="H80" s="135">
        <v>22927755</v>
      </c>
      <c r="I80" s="135">
        <v>1757880</v>
      </c>
      <c r="J80" s="135">
        <v>574500</v>
      </c>
      <c r="K80" s="135">
        <v>0</v>
      </c>
      <c r="L80" s="135">
        <v>286145754</v>
      </c>
      <c r="M80" s="135">
        <v>175783476</v>
      </c>
      <c r="N80" s="135">
        <v>4124</v>
      </c>
      <c r="O80" s="135">
        <v>532</v>
      </c>
      <c r="P80" s="135">
        <v>28025621</v>
      </c>
      <c r="Q80" s="135">
        <v>9969801</v>
      </c>
      <c r="R80" s="135">
        <v>7803472</v>
      </c>
      <c r="S80" s="135">
        <v>57027694</v>
      </c>
      <c r="T80" s="135">
        <v>6562632</v>
      </c>
      <c r="U80" s="135">
        <v>3387950</v>
      </c>
      <c r="V80" s="135">
        <v>28025621</v>
      </c>
      <c r="W80" s="135">
        <v>12067365</v>
      </c>
      <c r="X80" s="135">
        <v>7803472</v>
      </c>
      <c r="Y80" s="135">
        <v>57027694</v>
      </c>
      <c r="Z80" s="135">
        <v>8561370</v>
      </c>
      <c r="AA80" s="135">
        <v>3387950</v>
      </c>
      <c r="AB80" s="135">
        <v>-11511906</v>
      </c>
      <c r="AC80" s="135">
        <v>-1448689</v>
      </c>
      <c r="AD80" s="135">
        <v>0</v>
      </c>
      <c r="AE80" s="135">
        <v>0</v>
      </c>
      <c r="AF80" s="135">
        <v>0</v>
      </c>
      <c r="AG80" s="135">
        <v>129812.67</v>
      </c>
      <c r="AH80" s="135">
        <v>0</v>
      </c>
      <c r="AI80" s="135">
        <v>30000</v>
      </c>
      <c r="AJ80" s="135"/>
      <c r="AK80" s="135">
        <v>346506335</v>
      </c>
      <c r="AL80" s="135">
        <v>41797479</v>
      </c>
      <c r="AM80" s="135">
        <v>3700957</v>
      </c>
      <c r="AN80" s="135">
        <v>111490858</v>
      </c>
      <c r="AO80" s="135">
        <v>47335019</v>
      </c>
      <c r="AP80" s="135">
        <v>1137973402</v>
      </c>
      <c r="AQ80" s="135">
        <v>81294817</v>
      </c>
      <c r="AR80" s="135">
        <v>132490164</v>
      </c>
      <c r="AS80" s="135">
        <v>116915451</v>
      </c>
      <c r="AT80" s="135">
        <v>6169495</v>
      </c>
      <c r="AU80" s="135"/>
      <c r="AV80" s="135">
        <v>428001</v>
      </c>
      <c r="AW80" s="135">
        <v>274286</v>
      </c>
      <c r="AX80" s="135">
        <v>4393249</v>
      </c>
      <c r="AY80" s="135">
        <v>280294</v>
      </c>
      <c r="AZ80" s="135">
        <v>18551525.960000001</v>
      </c>
      <c r="BA80" s="135">
        <v>9646793</v>
      </c>
      <c r="BB80" s="135">
        <v>24849028.629326422</v>
      </c>
      <c r="BC80" s="135">
        <v>1312567</v>
      </c>
      <c r="BD80" s="135">
        <v>2524168</v>
      </c>
      <c r="BE80" s="135">
        <v>32645529</v>
      </c>
      <c r="BF80" s="135">
        <v>25840011</v>
      </c>
      <c r="BG80" s="135">
        <v>70085875</v>
      </c>
      <c r="BH80" s="135">
        <v>68175139</v>
      </c>
      <c r="BI80" s="135">
        <v>0</v>
      </c>
      <c r="BJ80" s="135">
        <v>11995681</v>
      </c>
      <c r="BK80" s="135"/>
      <c r="BL80" s="135">
        <v>2979618737</v>
      </c>
      <c r="BM80" s="135">
        <v>2474344732</v>
      </c>
      <c r="BN80" s="135">
        <v>2177473</v>
      </c>
      <c r="BO80" s="135"/>
      <c r="BP80" s="135">
        <v>2234194038</v>
      </c>
      <c r="BQ80" s="135">
        <v>346506335</v>
      </c>
      <c r="BR80" s="135">
        <v>41797479</v>
      </c>
      <c r="BS80" s="135">
        <v>357036145</v>
      </c>
      <c r="BT80" s="135">
        <v>2979533997</v>
      </c>
    </row>
    <row r="81" spans="1:72" x14ac:dyDescent="0.25">
      <c r="A81" s="149" t="s">
        <v>135</v>
      </c>
      <c r="B81" s="135">
        <v>101291131</v>
      </c>
      <c r="C81" s="135">
        <v>30562728</v>
      </c>
      <c r="D81" s="135">
        <v>80758221</v>
      </c>
      <c r="E81" s="135">
        <v>0</v>
      </c>
      <c r="F81" s="135">
        <v>27883385</v>
      </c>
      <c r="G81" s="135">
        <v>16154795</v>
      </c>
      <c r="H81" s="135">
        <v>9156925</v>
      </c>
      <c r="I81" s="135">
        <v>2850950</v>
      </c>
      <c r="J81" s="135">
        <v>81000</v>
      </c>
      <c r="K81" s="135">
        <v>0</v>
      </c>
      <c r="L81" s="135">
        <v>16732406</v>
      </c>
      <c r="M81" s="135">
        <v>28569875</v>
      </c>
      <c r="N81" s="135">
        <v>1165</v>
      </c>
      <c r="O81" s="135">
        <v>659</v>
      </c>
      <c r="P81" s="135">
        <v>1835150</v>
      </c>
      <c r="Q81" s="135">
        <v>308000</v>
      </c>
      <c r="R81" s="135">
        <v>837989</v>
      </c>
      <c r="S81" s="135">
        <v>811950</v>
      </c>
      <c r="T81" s="135">
        <v>309225</v>
      </c>
      <c r="U81" s="135">
        <v>407000</v>
      </c>
      <c r="V81" s="135">
        <v>1835150</v>
      </c>
      <c r="W81" s="135">
        <v>308000</v>
      </c>
      <c r="X81" s="135">
        <v>837989</v>
      </c>
      <c r="Y81" s="135">
        <v>811950</v>
      </c>
      <c r="Z81" s="135">
        <v>371600</v>
      </c>
      <c r="AA81" s="135">
        <v>407000</v>
      </c>
      <c r="AB81" s="135">
        <v>-1070950</v>
      </c>
      <c r="AC81" s="135">
        <v>0</v>
      </c>
      <c r="AD81" s="135">
        <v>1</v>
      </c>
      <c r="AE81" s="135">
        <v>0</v>
      </c>
      <c r="AF81" s="135">
        <v>0</v>
      </c>
      <c r="AG81" s="135">
        <v>60</v>
      </c>
      <c r="AH81" s="135">
        <v>500000</v>
      </c>
      <c r="AI81" s="135">
        <v>15500000</v>
      </c>
      <c r="AJ81" s="135">
        <v>8022270.4918032791</v>
      </c>
      <c r="AK81" s="135">
        <v>95057882</v>
      </c>
      <c r="AL81" s="135">
        <v>3222349</v>
      </c>
      <c r="AM81" s="135"/>
      <c r="AN81" s="135">
        <v>7043556</v>
      </c>
      <c r="AO81" s="135">
        <v>267971</v>
      </c>
      <c r="AP81" s="135">
        <v>20225086</v>
      </c>
      <c r="AQ81" s="135">
        <v>5729148</v>
      </c>
      <c r="AR81" s="135">
        <v>912518</v>
      </c>
      <c r="AS81" s="135"/>
      <c r="AT81" s="135">
        <v>118676</v>
      </c>
      <c r="AU81" s="135"/>
      <c r="AV81" s="135"/>
      <c r="AW81" s="135"/>
      <c r="AX81" s="135"/>
      <c r="AY81" s="135">
        <v>926358</v>
      </c>
      <c r="AZ81" s="135">
        <v>5089282.9000000004</v>
      </c>
      <c r="BA81" s="135">
        <v>2646427</v>
      </c>
      <c r="BB81" s="135">
        <v>0</v>
      </c>
      <c r="BC81" s="135">
        <v>4471140</v>
      </c>
      <c r="BD81" s="135">
        <v>8598345</v>
      </c>
      <c r="BE81" s="135">
        <v>34372299</v>
      </c>
      <c r="BF81" s="135">
        <v>34372299</v>
      </c>
      <c r="BG81" s="135">
        <v>52068974</v>
      </c>
      <c r="BH81" s="135">
        <v>44667377</v>
      </c>
      <c r="BI81" s="135">
        <v>0</v>
      </c>
      <c r="BJ81" s="135">
        <v>0</v>
      </c>
      <c r="BK81" s="135"/>
      <c r="BL81" s="135">
        <v>434112499.49180329</v>
      </c>
      <c r="BM81" s="135">
        <v>249675025.49180329</v>
      </c>
      <c r="BN81" s="135">
        <v>1298730</v>
      </c>
      <c r="BO81" s="135"/>
      <c r="BP81" s="135">
        <v>212612080</v>
      </c>
      <c r="BQ81" s="135">
        <v>95057882</v>
      </c>
      <c r="BR81" s="135">
        <v>3222349</v>
      </c>
      <c r="BS81" s="135">
        <v>13040675</v>
      </c>
      <c r="BT81" s="135">
        <v>323932986</v>
      </c>
    </row>
    <row r="82" spans="1:72" x14ac:dyDescent="0.25">
      <c r="A82" s="149" t="s">
        <v>136</v>
      </c>
      <c r="B82" s="135">
        <v>449081740</v>
      </c>
      <c r="C82" s="135">
        <v>125598991</v>
      </c>
      <c r="D82" s="135">
        <v>255817674</v>
      </c>
      <c r="E82" s="135">
        <v>33745771</v>
      </c>
      <c r="F82" s="135">
        <v>54236671</v>
      </c>
      <c r="G82" s="135">
        <v>8453406</v>
      </c>
      <c r="H82" s="135">
        <v>8131853</v>
      </c>
      <c r="I82" s="135">
        <v>891000</v>
      </c>
      <c r="J82" s="135">
        <v>121500</v>
      </c>
      <c r="K82" s="135">
        <v>0</v>
      </c>
      <c r="L82" s="135">
        <v>296469358</v>
      </c>
      <c r="M82" s="135">
        <v>77846580</v>
      </c>
      <c r="N82" s="135">
        <v>1603</v>
      </c>
      <c r="O82" s="135">
        <v>252</v>
      </c>
      <c r="P82" s="135">
        <v>6259341</v>
      </c>
      <c r="Q82" s="135">
        <v>1798699</v>
      </c>
      <c r="R82" s="135">
        <v>6323563</v>
      </c>
      <c r="S82" s="135">
        <v>1499560</v>
      </c>
      <c r="T82" s="135">
        <v>449495</v>
      </c>
      <c r="U82" s="135">
        <v>390417</v>
      </c>
      <c r="V82" s="135">
        <v>6259341</v>
      </c>
      <c r="W82" s="135">
        <v>1908071</v>
      </c>
      <c r="X82" s="135">
        <v>6323563</v>
      </c>
      <c r="Y82" s="135">
        <v>1499560</v>
      </c>
      <c r="Z82" s="135">
        <v>1601428</v>
      </c>
      <c r="AA82" s="135">
        <v>390417</v>
      </c>
      <c r="AB82" s="135">
        <v>-2585847</v>
      </c>
      <c r="AC82" s="135">
        <v>-143291</v>
      </c>
      <c r="AD82" s="135">
        <v>1800</v>
      </c>
      <c r="AE82" s="135">
        <v>0</v>
      </c>
      <c r="AF82" s="135">
        <v>0</v>
      </c>
      <c r="AG82" s="135">
        <v>132436</v>
      </c>
      <c r="AH82" s="135">
        <v>0</v>
      </c>
      <c r="AI82" s="135">
        <v>1294252</v>
      </c>
      <c r="AJ82" s="135"/>
      <c r="AK82" s="135">
        <v>147320723</v>
      </c>
      <c r="AL82" s="135">
        <v>3059272</v>
      </c>
      <c r="AM82" s="135"/>
      <c r="AN82" s="135">
        <v>70425563</v>
      </c>
      <c r="AO82" s="135">
        <v>19599437</v>
      </c>
      <c r="AP82" s="135">
        <v>330955299</v>
      </c>
      <c r="AQ82" s="135">
        <v>49299988</v>
      </c>
      <c r="AR82" s="135">
        <v>45162552</v>
      </c>
      <c r="AS82" s="135">
        <v>26796800</v>
      </c>
      <c r="AT82" s="135"/>
      <c r="AU82" s="135"/>
      <c r="AV82" s="135"/>
      <c r="AW82" s="135">
        <v>8867899</v>
      </c>
      <c r="AX82" s="135">
        <v>74873</v>
      </c>
      <c r="AY82" s="135">
        <v>705000</v>
      </c>
      <c r="AZ82" s="135">
        <v>7887371.5800000001</v>
      </c>
      <c r="BA82" s="135">
        <v>4101433</v>
      </c>
      <c r="BB82" s="135">
        <v>28016751.825699478</v>
      </c>
      <c r="BC82" s="135">
        <v>3815225</v>
      </c>
      <c r="BD82" s="135">
        <v>7336971</v>
      </c>
      <c r="BE82" s="135">
        <v>307250271</v>
      </c>
      <c r="BF82" s="135">
        <v>307250271</v>
      </c>
      <c r="BG82" s="135">
        <v>108770572</v>
      </c>
      <c r="BH82" s="135">
        <v>101190059</v>
      </c>
      <c r="BI82" s="135">
        <v>97315</v>
      </c>
      <c r="BJ82" s="135">
        <v>0</v>
      </c>
      <c r="BK82" s="135"/>
      <c r="BL82" s="135">
        <v>1537951943</v>
      </c>
      <c r="BM82" s="135">
        <v>971117645</v>
      </c>
      <c r="BN82" s="135">
        <v>550424</v>
      </c>
      <c r="BO82" s="135"/>
      <c r="BP82" s="135">
        <v>830498405</v>
      </c>
      <c r="BQ82" s="135">
        <v>147320723</v>
      </c>
      <c r="BR82" s="135">
        <v>3059272</v>
      </c>
      <c r="BS82" s="135">
        <v>166121788</v>
      </c>
      <c r="BT82" s="135">
        <v>1147000188</v>
      </c>
    </row>
    <row r="83" spans="1:72" x14ac:dyDescent="0.25">
      <c r="A83" s="149" t="s">
        <v>137</v>
      </c>
      <c r="B83" s="135">
        <v>1105928262</v>
      </c>
      <c r="C83" s="135">
        <v>213420612</v>
      </c>
      <c r="D83" s="135">
        <v>163526500</v>
      </c>
      <c r="E83" s="135">
        <v>0</v>
      </c>
      <c r="F83" s="135">
        <v>84264318</v>
      </c>
      <c r="G83" s="135">
        <v>16524840</v>
      </c>
      <c r="H83" s="135">
        <v>18143769</v>
      </c>
      <c r="I83" s="135">
        <v>1465099</v>
      </c>
      <c r="J83" s="135">
        <v>114500</v>
      </c>
      <c r="K83" s="135">
        <v>0</v>
      </c>
      <c r="L83" s="135">
        <v>465839070</v>
      </c>
      <c r="M83" s="135">
        <v>159547700</v>
      </c>
      <c r="N83" s="135">
        <v>2628</v>
      </c>
      <c r="O83" s="135">
        <v>474</v>
      </c>
      <c r="P83" s="135">
        <v>24735300</v>
      </c>
      <c r="Q83" s="135">
        <v>4628100</v>
      </c>
      <c r="R83" s="135">
        <v>2202200</v>
      </c>
      <c r="S83" s="135">
        <v>3534300</v>
      </c>
      <c r="T83" s="135">
        <v>264100</v>
      </c>
      <c r="U83" s="135">
        <v>320400</v>
      </c>
      <c r="V83" s="135">
        <v>24735300</v>
      </c>
      <c r="W83" s="135">
        <v>4628100</v>
      </c>
      <c r="X83" s="135">
        <v>2202200</v>
      </c>
      <c r="Y83" s="135">
        <v>3534300</v>
      </c>
      <c r="Z83" s="135">
        <v>264100</v>
      </c>
      <c r="AA83" s="135">
        <v>320400</v>
      </c>
      <c r="AB83" s="135">
        <v>-2736069</v>
      </c>
      <c r="AC83" s="135">
        <v>-32513</v>
      </c>
      <c r="AD83" s="135">
        <v>56601</v>
      </c>
      <c r="AE83" s="135">
        <v>0</v>
      </c>
      <c r="AF83" s="135">
        <v>0</v>
      </c>
      <c r="AG83" s="135">
        <v>137533</v>
      </c>
      <c r="AH83" s="135">
        <v>0</v>
      </c>
      <c r="AI83" s="135">
        <v>7800000</v>
      </c>
      <c r="AJ83" s="135"/>
      <c r="AK83" s="135">
        <v>271334790</v>
      </c>
      <c r="AL83" s="135">
        <v>11664410</v>
      </c>
      <c r="AM83" s="135"/>
      <c r="AN83" s="135">
        <v>58187294</v>
      </c>
      <c r="AO83" s="135">
        <v>2714302</v>
      </c>
      <c r="AP83" s="135">
        <v>69220282</v>
      </c>
      <c r="AQ83" s="135">
        <v>24663759</v>
      </c>
      <c r="AR83" s="135">
        <v>25089594</v>
      </c>
      <c r="AS83" s="135">
        <v>17289721</v>
      </c>
      <c r="AT83" s="135">
        <v>949885</v>
      </c>
      <c r="AU83" s="135"/>
      <c r="AV83" s="135"/>
      <c r="AW83" s="135">
        <v>35846973</v>
      </c>
      <c r="AX83" s="135">
        <v>12156</v>
      </c>
      <c r="AY83" s="135"/>
      <c r="AZ83" s="135">
        <v>14526933.25</v>
      </c>
      <c r="BA83" s="135">
        <v>7554005</v>
      </c>
      <c r="BB83" s="135">
        <v>80248987.641450778</v>
      </c>
      <c r="BC83" s="135">
        <v>2029720</v>
      </c>
      <c r="BD83" s="135">
        <v>3903308</v>
      </c>
      <c r="BE83" s="135">
        <v>31033856</v>
      </c>
      <c r="BF83" s="135">
        <v>30494643</v>
      </c>
      <c r="BG83" s="135">
        <v>92043145</v>
      </c>
      <c r="BH83" s="135">
        <v>89712770</v>
      </c>
      <c r="BI83" s="135">
        <v>0</v>
      </c>
      <c r="BJ83" s="135">
        <v>0</v>
      </c>
      <c r="BK83" s="135"/>
      <c r="BL83" s="135">
        <v>1989031067</v>
      </c>
      <c r="BM83" s="135">
        <v>1576240729</v>
      </c>
      <c r="BN83" s="135">
        <v>4170300</v>
      </c>
      <c r="BO83" s="135"/>
      <c r="BP83" s="135">
        <v>1482875374</v>
      </c>
      <c r="BQ83" s="135">
        <v>271334790</v>
      </c>
      <c r="BR83" s="135">
        <v>11664410</v>
      </c>
      <c r="BS83" s="135">
        <v>102855076</v>
      </c>
      <c r="BT83" s="135">
        <v>1868729650</v>
      </c>
    </row>
    <row r="84" spans="1:72" x14ac:dyDescent="0.25">
      <c r="A84" s="149" t="s">
        <v>138</v>
      </c>
      <c r="B84" s="135">
        <v>120205301</v>
      </c>
      <c r="C84" s="135">
        <v>37687470</v>
      </c>
      <c r="D84" s="135">
        <v>13382446</v>
      </c>
      <c r="E84" s="135">
        <v>0</v>
      </c>
      <c r="F84" s="135">
        <v>14732310</v>
      </c>
      <c r="G84" s="135">
        <v>13087230</v>
      </c>
      <c r="H84" s="135">
        <v>5880225</v>
      </c>
      <c r="I84" s="135">
        <v>2343290</v>
      </c>
      <c r="J84" s="135">
        <v>0</v>
      </c>
      <c r="K84" s="135">
        <v>0</v>
      </c>
      <c r="L84" s="135">
        <v>41347724</v>
      </c>
      <c r="M84" s="135">
        <v>26208619</v>
      </c>
      <c r="N84" s="135">
        <v>571</v>
      </c>
      <c r="O84" s="135">
        <v>438</v>
      </c>
      <c r="P84" s="135">
        <v>119200</v>
      </c>
      <c r="Q84" s="135">
        <v>0</v>
      </c>
      <c r="R84" s="135">
        <v>0</v>
      </c>
      <c r="S84" s="135">
        <v>81380</v>
      </c>
      <c r="T84" s="135">
        <v>0</v>
      </c>
      <c r="U84" s="135">
        <v>15000</v>
      </c>
      <c r="V84" s="135">
        <v>119200</v>
      </c>
      <c r="W84" s="135">
        <v>0</v>
      </c>
      <c r="X84" s="135">
        <v>0</v>
      </c>
      <c r="Y84" s="135">
        <v>81380</v>
      </c>
      <c r="Z84" s="135">
        <v>0</v>
      </c>
      <c r="AA84" s="135">
        <v>15000</v>
      </c>
      <c r="AB84" s="135">
        <v>-3609142</v>
      </c>
      <c r="AC84" s="135">
        <v>-156258</v>
      </c>
      <c r="AD84" s="135"/>
      <c r="AE84" s="135"/>
      <c r="AF84" s="135"/>
      <c r="AG84" s="135"/>
      <c r="AH84" s="135">
        <v>0</v>
      </c>
      <c r="AI84" s="135">
        <v>113000</v>
      </c>
      <c r="AJ84" s="135"/>
      <c r="AK84" s="135">
        <v>45697874</v>
      </c>
      <c r="AL84" s="135">
        <v>1835822</v>
      </c>
      <c r="AM84" s="135"/>
      <c r="AN84" s="135">
        <v>2592272</v>
      </c>
      <c r="AO84" s="135">
        <v>79666</v>
      </c>
      <c r="AP84" s="135">
        <v>7576572</v>
      </c>
      <c r="AQ84" s="135">
        <v>3075955</v>
      </c>
      <c r="AR84" s="135">
        <v>3472650</v>
      </c>
      <c r="AS84" s="135">
        <v>89269</v>
      </c>
      <c r="AT84" s="135">
        <v>315406</v>
      </c>
      <c r="AU84" s="135"/>
      <c r="AV84" s="135"/>
      <c r="AW84" s="135"/>
      <c r="AX84" s="135">
        <v>1408</v>
      </c>
      <c r="AY84" s="135"/>
      <c r="AZ84" s="135">
        <v>2446608.36</v>
      </c>
      <c r="BA84" s="135">
        <v>1272236</v>
      </c>
      <c r="BB84" s="135">
        <v>0</v>
      </c>
      <c r="BC84" s="135">
        <v>0</v>
      </c>
      <c r="BD84" s="135">
        <v>0</v>
      </c>
      <c r="BE84" s="135">
        <v>5055855</v>
      </c>
      <c r="BF84" s="135">
        <v>5055855</v>
      </c>
      <c r="BG84" s="135">
        <v>47353642</v>
      </c>
      <c r="BH84" s="135">
        <v>47339322</v>
      </c>
      <c r="BI84" s="135">
        <v>0</v>
      </c>
      <c r="BJ84" s="135">
        <v>0</v>
      </c>
      <c r="BK84" s="135"/>
      <c r="BL84" s="135">
        <v>278337219</v>
      </c>
      <c r="BM84" s="135">
        <v>177136110</v>
      </c>
      <c r="BN84" s="135">
        <v>210092</v>
      </c>
      <c r="BO84" s="135"/>
      <c r="BP84" s="135">
        <v>171275217</v>
      </c>
      <c r="BQ84" s="135">
        <v>45697874</v>
      </c>
      <c r="BR84" s="135">
        <v>1835822</v>
      </c>
      <c r="BS84" s="135">
        <v>5837162</v>
      </c>
      <c r="BT84" s="135">
        <v>224646075</v>
      </c>
    </row>
    <row r="85" spans="1:72" x14ac:dyDescent="0.25">
      <c r="A85" s="149" t="s">
        <v>139</v>
      </c>
      <c r="B85" s="135">
        <v>955449449</v>
      </c>
      <c r="C85" s="135">
        <v>306488077</v>
      </c>
      <c r="D85" s="135">
        <v>236387220</v>
      </c>
      <c r="E85" s="135">
        <v>0</v>
      </c>
      <c r="F85" s="135">
        <v>74045820</v>
      </c>
      <c r="G85" s="135">
        <v>12279709</v>
      </c>
      <c r="H85" s="135">
        <v>21104155</v>
      </c>
      <c r="I85" s="135">
        <v>2915655</v>
      </c>
      <c r="J85" s="135">
        <v>202500</v>
      </c>
      <c r="K85" s="135">
        <v>40500</v>
      </c>
      <c r="L85" s="135">
        <v>433391234</v>
      </c>
      <c r="M85" s="135">
        <v>245554001</v>
      </c>
      <c r="N85" s="135">
        <v>2386</v>
      </c>
      <c r="O85" s="135">
        <v>385</v>
      </c>
      <c r="P85" s="135">
        <v>19856924</v>
      </c>
      <c r="Q85" s="135">
        <v>7984896</v>
      </c>
      <c r="R85" s="135">
        <v>1504765</v>
      </c>
      <c r="S85" s="135">
        <v>2873284</v>
      </c>
      <c r="T85" s="135">
        <v>999925</v>
      </c>
      <c r="U85" s="135">
        <v>314533</v>
      </c>
      <c r="V85" s="135">
        <v>19856924</v>
      </c>
      <c r="W85" s="135">
        <v>11930894</v>
      </c>
      <c r="X85" s="135">
        <v>1504765</v>
      </c>
      <c r="Y85" s="135">
        <v>2873284</v>
      </c>
      <c r="Z85" s="135">
        <v>1376684</v>
      </c>
      <c r="AA85" s="135">
        <v>314533</v>
      </c>
      <c r="AB85" s="135">
        <v>-4211295</v>
      </c>
      <c r="AC85" s="135">
        <v>-177003</v>
      </c>
      <c r="AD85" s="135">
        <v>3869</v>
      </c>
      <c r="AE85" s="135">
        <v>0</v>
      </c>
      <c r="AF85" s="135">
        <v>0</v>
      </c>
      <c r="AG85" s="135">
        <v>135231</v>
      </c>
      <c r="AH85" s="135">
        <v>0</v>
      </c>
      <c r="AI85" s="135">
        <v>241452</v>
      </c>
      <c r="AJ85" s="135"/>
      <c r="AK85" s="135">
        <v>205105631</v>
      </c>
      <c r="AL85" s="135">
        <v>13170738</v>
      </c>
      <c r="AM85" s="135">
        <v>219516</v>
      </c>
      <c r="AN85" s="135">
        <v>33816184</v>
      </c>
      <c r="AO85" s="135">
        <v>965533</v>
      </c>
      <c r="AP85" s="135">
        <v>489975671</v>
      </c>
      <c r="AQ85" s="135">
        <v>25594590</v>
      </c>
      <c r="AR85" s="135">
        <v>67408590</v>
      </c>
      <c r="AS85" s="135">
        <v>0</v>
      </c>
      <c r="AT85" s="135">
        <v>274381793</v>
      </c>
      <c r="AU85" s="135">
        <v>0</v>
      </c>
      <c r="AV85" s="135">
        <v>0</v>
      </c>
      <c r="AW85" s="135">
        <v>21353</v>
      </c>
      <c r="AX85" s="135">
        <v>169862</v>
      </c>
      <c r="AY85" s="135">
        <v>0</v>
      </c>
      <c r="AZ85" s="135">
        <v>10981104.970000001</v>
      </c>
      <c r="BA85" s="135">
        <v>5710175</v>
      </c>
      <c r="BB85" s="135">
        <v>0</v>
      </c>
      <c r="BC85" s="135">
        <v>2537335</v>
      </c>
      <c r="BD85" s="135">
        <v>4879490</v>
      </c>
      <c r="BE85" s="135">
        <v>69619185</v>
      </c>
      <c r="BF85" s="135">
        <v>69619185</v>
      </c>
      <c r="BG85" s="135">
        <v>87612373</v>
      </c>
      <c r="BH85" s="135">
        <v>82365625</v>
      </c>
      <c r="BI85" s="135">
        <v>0</v>
      </c>
      <c r="BJ85" s="135">
        <v>0</v>
      </c>
      <c r="BK85" s="135"/>
      <c r="BL85" s="135">
        <v>1937451194</v>
      </c>
      <c r="BM85" s="135">
        <v>1558942505</v>
      </c>
      <c r="BN85" s="135">
        <v>868913</v>
      </c>
      <c r="BO85" s="135"/>
      <c r="BP85" s="135">
        <v>1498324746</v>
      </c>
      <c r="BQ85" s="135">
        <v>205105631</v>
      </c>
      <c r="BR85" s="135">
        <v>13170738</v>
      </c>
      <c r="BS85" s="135">
        <v>60376307</v>
      </c>
      <c r="BT85" s="135">
        <v>1776977422</v>
      </c>
    </row>
    <row r="86" spans="1:72" x14ac:dyDescent="0.25">
      <c r="A86" s="149" t="s">
        <v>140</v>
      </c>
      <c r="B86" s="135">
        <v>141213668</v>
      </c>
      <c r="C86" s="135">
        <v>125975978</v>
      </c>
      <c r="D86" s="135">
        <v>56144737</v>
      </c>
      <c r="E86" s="135">
        <v>0</v>
      </c>
      <c r="F86" s="135">
        <v>25642675</v>
      </c>
      <c r="G86" s="135">
        <v>7382290</v>
      </c>
      <c r="H86" s="135">
        <v>16868098</v>
      </c>
      <c r="I86" s="135">
        <v>2230360</v>
      </c>
      <c r="J86" s="135">
        <v>118500</v>
      </c>
      <c r="K86" s="135">
        <v>0</v>
      </c>
      <c r="L86" s="135">
        <v>251758641</v>
      </c>
      <c r="M86" s="135">
        <v>85258530</v>
      </c>
      <c r="N86" s="135">
        <v>1167</v>
      </c>
      <c r="O86" s="135">
        <v>309</v>
      </c>
      <c r="P86" s="135">
        <v>3030620</v>
      </c>
      <c r="Q86" s="135">
        <v>3080948</v>
      </c>
      <c r="R86" s="135">
        <v>2366000</v>
      </c>
      <c r="S86" s="135">
        <v>2008600</v>
      </c>
      <c r="T86" s="135">
        <v>393619</v>
      </c>
      <c r="U86" s="135">
        <v>971190</v>
      </c>
      <c r="V86" s="135">
        <v>3030620</v>
      </c>
      <c r="W86" s="135">
        <v>4473777</v>
      </c>
      <c r="X86" s="135">
        <v>2366000</v>
      </c>
      <c r="Y86" s="135">
        <v>2008600</v>
      </c>
      <c r="Z86" s="135">
        <v>365627</v>
      </c>
      <c r="AA86" s="135">
        <v>971190</v>
      </c>
      <c r="AB86" s="135">
        <v>-626050</v>
      </c>
      <c r="AC86" s="135">
        <v>0</v>
      </c>
      <c r="AD86" s="135">
        <v>72293</v>
      </c>
      <c r="AE86" s="135">
        <v>25</v>
      </c>
      <c r="AF86" s="135">
        <v>0</v>
      </c>
      <c r="AG86" s="135">
        <v>116599</v>
      </c>
      <c r="AH86" s="135">
        <v>300000</v>
      </c>
      <c r="AI86" s="135">
        <v>0</v>
      </c>
      <c r="AJ86" s="135"/>
      <c r="AK86" s="135">
        <v>74451480</v>
      </c>
      <c r="AL86" s="135">
        <v>2306823</v>
      </c>
      <c r="AM86" s="135"/>
      <c r="AN86" s="135">
        <v>6809532</v>
      </c>
      <c r="AO86" s="135">
        <v>2612789</v>
      </c>
      <c r="AP86" s="135">
        <v>81512146</v>
      </c>
      <c r="AQ86" s="135">
        <v>19930923</v>
      </c>
      <c r="AR86" s="135">
        <v>56517646</v>
      </c>
      <c r="AS86" s="135">
        <v>6533946</v>
      </c>
      <c r="AT86" s="135">
        <v>2366424</v>
      </c>
      <c r="AU86" s="135"/>
      <c r="AV86" s="135"/>
      <c r="AW86" s="135"/>
      <c r="AX86" s="135"/>
      <c r="AY86" s="135"/>
      <c r="AZ86" s="135">
        <v>3986041.31</v>
      </c>
      <c r="BA86" s="135">
        <v>2072741</v>
      </c>
      <c r="BB86" s="135">
        <v>0</v>
      </c>
      <c r="BC86" s="135">
        <v>0</v>
      </c>
      <c r="BD86" s="135">
        <v>0</v>
      </c>
      <c r="BE86" s="135">
        <v>37297711</v>
      </c>
      <c r="BF86" s="135">
        <v>37297711</v>
      </c>
      <c r="BG86" s="135">
        <v>110427236</v>
      </c>
      <c r="BH86" s="135">
        <v>110415661</v>
      </c>
      <c r="BI86" s="135">
        <v>0</v>
      </c>
      <c r="BJ86" s="135">
        <v>0</v>
      </c>
      <c r="BK86" s="135"/>
      <c r="BL86" s="135">
        <v>579532043</v>
      </c>
      <c r="BM86" s="135">
        <v>352987627</v>
      </c>
      <c r="BN86" s="135">
        <v>613398</v>
      </c>
      <c r="BO86" s="135"/>
      <c r="BP86" s="135">
        <v>323334383</v>
      </c>
      <c r="BQ86" s="135">
        <v>74451480</v>
      </c>
      <c r="BR86" s="135">
        <v>2306823</v>
      </c>
      <c r="BS86" s="135">
        <v>35887190</v>
      </c>
      <c r="BT86" s="135">
        <v>435979876</v>
      </c>
    </row>
    <row r="87" spans="1:72" x14ac:dyDescent="0.25">
      <c r="A87" s="149" t="s">
        <v>141</v>
      </c>
      <c r="B87" s="135">
        <v>236278894</v>
      </c>
      <c r="C87" s="135">
        <v>172804400</v>
      </c>
      <c r="D87" s="135">
        <v>68521702</v>
      </c>
      <c r="E87" s="135">
        <v>0</v>
      </c>
      <c r="F87" s="135">
        <v>34633925</v>
      </c>
      <c r="G87" s="135">
        <v>7067300</v>
      </c>
      <c r="H87" s="135">
        <v>11385900</v>
      </c>
      <c r="I87" s="135">
        <v>913800</v>
      </c>
      <c r="J87" s="135">
        <v>0</v>
      </c>
      <c r="K87" s="135">
        <v>0</v>
      </c>
      <c r="L87" s="135">
        <v>428179286</v>
      </c>
      <c r="M87" s="135">
        <v>0</v>
      </c>
      <c r="N87" s="135">
        <v>1208</v>
      </c>
      <c r="O87" s="135">
        <v>246</v>
      </c>
      <c r="P87" s="135">
        <v>8097167</v>
      </c>
      <c r="Q87" s="135">
        <v>4839980</v>
      </c>
      <c r="R87" s="135">
        <v>6992000</v>
      </c>
      <c r="S87" s="135">
        <v>4657976</v>
      </c>
      <c r="T87" s="135">
        <v>5976346</v>
      </c>
      <c r="U87" s="135">
        <v>880061</v>
      </c>
      <c r="V87" s="135">
        <v>8097167</v>
      </c>
      <c r="W87" s="135">
        <v>5669700</v>
      </c>
      <c r="X87" s="135">
        <v>6992000</v>
      </c>
      <c r="Y87" s="135">
        <v>4657976</v>
      </c>
      <c r="Z87" s="135">
        <v>17816620</v>
      </c>
      <c r="AA87" s="135">
        <v>880061</v>
      </c>
      <c r="AB87" s="135">
        <v>-806000</v>
      </c>
      <c r="AC87" s="135">
        <v>0</v>
      </c>
      <c r="AD87" s="135">
        <v>864117</v>
      </c>
      <c r="AE87" s="135">
        <v>0</v>
      </c>
      <c r="AF87" s="135">
        <v>0</v>
      </c>
      <c r="AG87" s="135">
        <v>197684</v>
      </c>
      <c r="AH87" s="135">
        <v>400000</v>
      </c>
      <c r="AI87" s="135">
        <v>150000</v>
      </c>
      <c r="AJ87" s="135"/>
      <c r="AK87" s="135">
        <v>85832589</v>
      </c>
      <c r="AL87" s="135">
        <v>2131712</v>
      </c>
      <c r="AM87" s="135"/>
      <c r="AN87" s="135">
        <v>25550419</v>
      </c>
      <c r="AO87" s="135">
        <v>440523</v>
      </c>
      <c r="AP87" s="135">
        <v>33015918</v>
      </c>
      <c r="AQ87" s="135">
        <v>23279538</v>
      </c>
      <c r="AR87" s="135">
        <v>27473350</v>
      </c>
      <c r="AS87" s="135">
        <v>94873</v>
      </c>
      <c r="AT87" s="135">
        <v>2368051</v>
      </c>
      <c r="AU87" s="135"/>
      <c r="AV87" s="135"/>
      <c r="AW87" s="135"/>
      <c r="AX87" s="135">
        <v>2165</v>
      </c>
      <c r="AY87" s="135"/>
      <c r="AZ87" s="135">
        <v>4595371.9800000004</v>
      </c>
      <c r="BA87" s="135">
        <v>2389593</v>
      </c>
      <c r="BB87" s="135">
        <v>0</v>
      </c>
      <c r="BC87" s="135">
        <v>0</v>
      </c>
      <c r="BD87" s="135">
        <v>0</v>
      </c>
      <c r="BE87" s="135">
        <v>22950641</v>
      </c>
      <c r="BF87" s="135">
        <v>22950641</v>
      </c>
      <c r="BG87" s="135">
        <v>96281791</v>
      </c>
      <c r="BH87" s="135">
        <v>96083099</v>
      </c>
      <c r="BI87" s="135">
        <v>0</v>
      </c>
      <c r="BJ87" s="135">
        <v>0</v>
      </c>
      <c r="BK87" s="135"/>
      <c r="BL87" s="135">
        <v>736813110</v>
      </c>
      <c r="BM87" s="135">
        <v>527425476</v>
      </c>
      <c r="BN87" s="135">
        <v>400900</v>
      </c>
      <c r="BO87" s="135"/>
      <c r="BP87" s="135">
        <v>477604996</v>
      </c>
      <c r="BQ87" s="135">
        <v>85832589</v>
      </c>
      <c r="BR87" s="135">
        <v>2131712</v>
      </c>
      <c r="BS87" s="135">
        <v>49365353</v>
      </c>
      <c r="BT87" s="135">
        <v>614934650</v>
      </c>
    </row>
    <row r="88" spans="1:72" x14ac:dyDescent="0.25">
      <c r="A88" s="149" t="s">
        <v>142</v>
      </c>
      <c r="B88" s="135">
        <v>865439747</v>
      </c>
      <c r="C88" s="135">
        <v>138568227</v>
      </c>
      <c r="D88" s="135">
        <v>364782660</v>
      </c>
      <c r="E88" s="135">
        <v>19360000</v>
      </c>
      <c r="F88" s="135">
        <v>79469180</v>
      </c>
      <c r="G88" s="135">
        <v>19792531</v>
      </c>
      <c r="H88" s="135">
        <v>11912600</v>
      </c>
      <c r="I88" s="135">
        <v>2753500</v>
      </c>
      <c r="J88" s="135">
        <v>202500</v>
      </c>
      <c r="K88" s="135">
        <v>0</v>
      </c>
      <c r="L88" s="135">
        <v>291689532</v>
      </c>
      <c r="M88" s="135">
        <v>110594150</v>
      </c>
      <c r="N88" s="135">
        <v>2346</v>
      </c>
      <c r="O88" s="135">
        <v>625</v>
      </c>
      <c r="P88" s="135">
        <v>10696079</v>
      </c>
      <c r="Q88" s="135">
        <v>4420000</v>
      </c>
      <c r="R88" s="135">
        <v>5861250</v>
      </c>
      <c r="S88" s="135">
        <v>1669449</v>
      </c>
      <c r="T88" s="135">
        <v>325500</v>
      </c>
      <c r="U88" s="135">
        <v>8755000</v>
      </c>
      <c r="V88" s="135">
        <v>10696079</v>
      </c>
      <c r="W88" s="135">
        <v>3654000</v>
      </c>
      <c r="X88" s="135">
        <v>5861250</v>
      </c>
      <c r="Y88" s="135">
        <v>1669449</v>
      </c>
      <c r="Z88" s="135">
        <v>735030</v>
      </c>
      <c r="AA88" s="135">
        <v>8755000</v>
      </c>
      <c r="AB88" s="135">
        <v>3635150</v>
      </c>
      <c r="AC88" s="135">
        <v>-34570</v>
      </c>
      <c r="AD88" s="135">
        <v>5413</v>
      </c>
      <c r="AE88" s="135">
        <v>1012018</v>
      </c>
      <c r="AF88" s="135">
        <v>0</v>
      </c>
      <c r="AG88" s="135">
        <v>109829</v>
      </c>
      <c r="AH88" s="135">
        <v>0</v>
      </c>
      <c r="AI88" s="135">
        <v>102840</v>
      </c>
      <c r="AJ88" s="135"/>
      <c r="AK88" s="135">
        <v>238999354</v>
      </c>
      <c r="AL88" s="135">
        <v>6964511</v>
      </c>
      <c r="AM88" s="135"/>
      <c r="AN88" s="135">
        <v>59663583</v>
      </c>
      <c r="AO88" s="135">
        <v>15019909</v>
      </c>
      <c r="AP88" s="135">
        <v>206269627</v>
      </c>
      <c r="AQ88" s="135">
        <v>53110392</v>
      </c>
      <c r="AR88" s="135">
        <v>96461653</v>
      </c>
      <c r="AS88" s="135">
        <v>20124316</v>
      </c>
      <c r="AT88" s="135">
        <v>1162716</v>
      </c>
      <c r="AU88" s="135">
        <v>3150563</v>
      </c>
      <c r="AV88" s="135"/>
      <c r="AW88" s="135">
        <v>1634506</v>
      </c>
      <c r="AX88" s="135">
        <v>522147</v>
      </c>
      <c r="AY88" s="135">
        <v>5555128</v>
      </c>
      <c r="AZ88" s="135">
        <v>12795733.5</v>
      </c>
      <c r="BA88" s="135">
        <v>6653781</v>
      </c>
      <c r="BB88" s="135">
        <v>0</v>
      </c>
      <c r="BC88" s="135">
        <v>0</v>
      </c>
      <c r="BD88" s="135">
        <v>0</v>
      </c>
      <c r="BE88" s="135">
        <v>56049954</v>
      </c>
      <c r="BF88" s="135">
        <v>56049954</v>
      </c>
      <c r="BG88" s="135">
        <v>62727393</v>
      </c>
      <c r="BH88" s="135">
        <v>61857217</v>
      </c>
      <c r="BI88" s="135">
        <v>0</v>
      </c>
      <c r="BJ88" s="135">
        <v>0</v>
      </c>
      <c r="BK88" s="135"/>
      <c r="BL88" s="135">
        <v>1867212175</v>
      </c>
      <c r="BM88" s="135">
        <v>1496687358</v>
      </c>
      <c r="BN88" s="135">
        <v>1307100</v>
      </c>
      <c r="BO88" s="135"/>
      <c r="BP88" s="135">
        <v>1368790634</v>
      </c>
      <c r="BQ88" s="135">
        <v>238999354</v>
      </c>
      <c r="BR88" s="135">
        <v>6964511</v>
      </c>
      <c r="BS88" s="135">
        <v>147918200</v>
      </c>
      <c r="BT88" s="135">
        <v>1762672699</v>
      </c>
    </row>
    <row r="89" spans="1:72" x14ac:dyDescent="0.25">
      <c r="A89" s="149" t="s">
        <v>143</v>
      </c>
      <c r="B89" s="135">
        <v>140748600</v>
      </c>
      <c r="C89" s="135">
        <v>102181150</v>
      </c>
      <c r="D89" s="135">
        <v>56110040</v>
      </c>
      <c r="E89" s="135">
        <v>0</v>
      </c>
      <c r="F89" s="135">
        <v>22802700</v>
      </c>
      <c r="G89" s="135">
        <v>17933700</v>
      </c>
      <c r="H89" s="135">
        <v>13029300</v>
      </c>
      <c r="I89" s="135">
        <v>8787500</v>
      </c>
      <c r="J89" s="135">
        <v>40500</v>
      </c>
      <c r="K89" s="135">
        <v>0</v>
      </c>
      <c r="L89" s="135">
        <v>89811475</v>
      </c>
      <c r="M89" s="135">
        <v>37716900</v>
      </c>
      <c r="N89" s="135">
        <v>1060</v>
      </c>
      <c r="O89" s="135">
        <v>841</v>
      </c>
      <c r="P89" s="135">
        <v>2176100</v>
      </c>
      <c r="Q89" s="135">
        <v>1353000</v>
      </c>
      <c r="R89" s="135">
        <v>553000</v>
      </c>
      <c r="S89" s="135">
        <v>0</v>
      </c>
      <c r="T89" s="135">
        <v>0</v>
      </c>
      <c r="U89" s="135">
        <v>589000</v>
      </c>
      <c r="V89" s="135">
        <v>2176100</v>
      </c>
      <c r="W89" s="135">
        <v>1701000</v>
      </c>
      <c r="X89" s="135">
        <v>553000</v>
      </c>
      <c r="Y89" s="135">
        <v>0</v>
      </c>
      <c r="Z89" s="135">
        <v>0</v>
      </c>
      <c r="AA89" s="135">
        <v>589000</v>
      </c>
      <c r="AB89" s="135">
        <v>-2254100</v>
      </c>
      <c r="AC89" s="135">
        <v>0</v>
      </c>
      <c r="AD89" s="135">
        <v>174459</v>
      </c>
      <c r="AE89" s="135">
        <v>50</v>
      </c>
      <c r="AF89" s="135">
        <v>0</v>
      </c>
      <c r="AG89" s="135">
        <v>206432</v>
      </c>
      <c r="AH89" s="135">
        <v>350000</v>
      </c>
      <c r="AI89" s="135">
        <v>250000</v>
      </c>
      <c r="AJ89" s="135">
        <v>6114.7540983606559</v>
      </c>
      <c r="AK89" s="135">
        <v>100488029</v>
      </c>
      <c r="AL89" s="135">
        <v>2206562</v>
      </c>
      <c r="AM89" s="135"/>
      <c r="AN89" s="135">
        <v>20945755</v>
      </c>
      <c r="AO89" s="135">
        <v>184316</v>
      </c>
      <c r="AP89" s="135">
        <v>5591961</v>
      </c>
      <c r="AQ89" s="135">
        <v>8558429</v>
      </c>
      <c r="AR89" s="135">
        <v>11543896</v>
      </c>
      <c r="AS89" s="135"/>
      <c r="AT89" s="135">
        <v>1533448</v>
      </c>
      <c r="AU89" s="135"/>
      <c r="AV89" s="135"/>
      <c r="AW89" s="135"/>
      <c r="AX89" s="135">
        <v>51848</v>
      </c>
      <c r="AY89" s="135">
        <v>199786</v>
      </c>
      <c r="AZ89" s="135">
        <v>5380006.3399999999</v>
      </c>
      <c r="BA89" s="135">
        <v>2797603</v>
      </c>
      <c r="BB89" s="135">
        <v>0</v>
      </c>
      <c r="BC89" s="135">
        <v>0</v>
      </c>
      <c r="BD89" s="135">
        <v>0</v>
      </c>
      <c r="BE89" s="135">
        <v>2026283</v>
      </c>
      <c r="BF89" s="135">
        <v>2026283</v>
      </c>
      <c r="BG89" s="135">
        <v>50165790</v>
      </c>
      <c r="BH89" s="135">
        <v>49425266</v>
      </c>
      <c r="BI89" s="135">
        <v>0</v>
      </c>
      <c r="BJ89" s="135">
        <v>0</v>
      </c>
      <c r="BK89" s="135"/>
      <c r="BL89" s="135">
        <v>486278147.75409836</v>
      </c>
      <c r="BM89" s="135">
        <v>329334404.75409836</v>
      </c>
      <c r="BN89" s="135">
        <v>5830500</v>
      </c>
      <c r="BO89" s="135"/>
      <c r="BP89" s="135">
        <v>299039790</v>
      </c>
      <c r="BQ89" s="135">
        <v>100488029</v>
      </c>
      <c r="BR89" s="135">
        <v>2206562</v>
      </c>
      <c r="BS89" s="135">
        <v>29688500</v>
      </c>
      <c r="BT89" s="135">
        <v>431422881</v>
      </c>
    </row>
    <row r="90" spans="1:72" x14ac:dyDescent="0.25">
      <c r="A90" s="149" t="s">
        <v>144</v>
      </c>
      <c r="B90" s="135">
        <v>680789288</v>
      </c>
      <c r="C90" s="135">
        <v>200882498</v>
      </c>
      <c r="D90" s="135">
        <v>252171205</v>
      </c>
      <c r="E90" s="135">
        <v>0</v>
      </c>
      <c r="F90" s="135">
        <v>100271305</v>
      </c>
      <c r="G90" s="135">
        <v>31027913</v>
      </c>
      <c r="H90" s="135">
        <v>15003700</v>
      </c>
      <c r="I90" s="135">
        <v>2566600</v>
      </c>
      <c r="J90" s="135">
        <v>95500</v>
      </c>
      <c r="K90" s="135">
        <v>81000</v>
      </c>
      <c r="L90" s="135">
        <v>227361900</v>
      </c>
      <c r="M90" s="135">
        <v>114471440</v>
      </c>
      <c r="N90" s="135">
        <v>3063</v>
      </c>
      <c r="O90" s="135">
        <v>973</v>
      </c>
      <c r="P90" s="135">
        <v>13496665</v>
      </c>
      <c r="Q90" s="135">
        <v>11572720</v>
      </c>
      <c r="R90" s="135">
        <v>7994100</v>
      </c>
      <c r="S90" s="135">
        <v>14134750</v>
      </c>
      <c r="T90" s="135">
        <v>7640279</v>
      </c>
      <c r="U90" s="135">
        <v>14386275</v>
      </c>
      <c r="V90" s="135">
        <v>13496665</v>
      </c>
      <c r="W90" s="135">
        <v>18097364</v>
      </c>
      <c r="X90" s="135">
        <v>7994100</v>
      </c>
      <c r="Y90" s="135">
        <v>14134750</v>
      </c>
      <c r="Z90" s="135">
        <v>11805620</v>
      </c>
      <c r="AA90" s="135">
        <v>14386275</v>
      </c>
      <c r="AB90" s="135">
        <v>-4887000</v>
      </c>
      <c r="AC90" s="135">
        <v>16229889</v>
      </c>
      <c r="AD90" s="135">
        <v>72786</v>
      </c>
      <c r="AE90" s="135">
        <v>133209</v>
      </c>
      <c r="AF90" s="135">
        <v>12216</v>
      </c>
      <c r="AG90" s="135">
        <v>189938</v>
      </c>
      <c r="AH90" s="135">
        <v>7500000</v>
      </c>
      <c r="AI90" s="135">
        <v>468000</v>
      </c>
      <c r="AJ90" s="135">
        <v>7822213.1147540994</v>
      </c>
      <c r="AK90" s="135">
        <v>253162035</v>
      </c>
      <c r="AL90" s="135">
        <v>8474096</v>
      </c>
      <c r="AM90" s="135"/>
      <c r="AN90" s="135">
        <v>44252502</v>
      </c>
      <c r="AO90" s="135">
        <v>3270114</v>
      </c>
      <c r="AP90" s="135">
        <v>45712446</v>
      </c>
      <c r="AQ90" s="135">
        <v>63779463</v>
      </c>
      <c r="AR90" s="135">
        <v>36228630</v>
      </c>
      <c r="AS90" s="135">
        <v>32847742</v>
      </c>
      <c r="AT90" s="135">
        <v>65954823</v>
      </c>
      <c r="AU90" s="135"/>
      <c r="AV90" s="135"/>
      <c r="AW90" s="135">
        <v>2817464</v>
      </c>
      <c r="AX90" s="135"/>
      <c r="AY90" s="135">
        <v>193314</v>
      </c>
      <c r="AZ90" s="135">
        <v>13553986.15</v>
      </c>
      <c r="BA90" s="135">
        <v>7048073</v>
      </c>
      <c r="BB90" s="135">
        <v>11227818.884922279</v>
      </c>
      <c r="BC90" s="135">
        <v>3965738</v>
      </c>
      <c r="BD90" s="135">
        <v>7626420</v>
      </c>
      <c r="BE90" s="135">
        <v>147905662</v>
      </c>
      <c r="BF90" s="135">
        <v>144532485</v>
      </c>
      <c r="BG90" s="135">
        <v>249588360</v>
      </c>
      <c r="BH90" s="135">
        <v>245833749</v>
      </c>
      <c r="BI90" s="135">
        <v>50036</v>
      </c>
      <c r="BJ90" s="135">
        <v>0</v>
      </c>
      <c r="BK90" s="135"/>
      <c r="BL90" s="135">
        <v>1924001495.1147542</v>
      </c>
      <c r="BM90" s="135">
        <v>1260935283.1147542</v>
      </c>
      <c r="BN90" s="135">
        <v>1080000</v>
      </c>
      <c r="BO90" s="135"/>
      <c r="BP90" s="135">
        <v>1133842991</v>
      </c>
      <c r="BQ90" s="135">
        <v>253162035</v>
      </c>
      <c r="BR90" s="135">
        <v>8474096</v>
      </c>
      <c r="BS90" s="135">
        <v>144149821</v>
      </c>
      <c r="BT90" s="135">
        <v>1539628943</v>
      </c>
    </row>
    <row r="91" spans="1:72" x14ac:dyDescent="0.25">
      <c r="A91" s="149" t="s">
        <v>145</v>
      </c>
      <c r="B91" s="135">
        <v>2478792448</v>
      </c>
      <c r="C91" s="135">
        <v>516176355</v>
      </c>
      <c r="D91" s="135">
        <v>785794159</v>
      </c>
      <c r="E91" s="135">
        <v>94712676</v>
      </c>
      <c r="F91" s="135">
        <v>149580315</v>
      </c>
      <c r="G91" s="135">
        <v>18389934</v>
      </c>
      <c r="H91" s="135">
        <v>30646065</v>
      </c>
      <c r="I91" s="135">
        <v>2144200</v>
      </c>
      <c r="J91" s="135">
        <v>202500</v>
      </c>
      <c r="K91" s="135">
        <v>0</v>
      </c>
      <c r="L91" s="135">
        <v>961536060</v>
      </c>
      <c r="M91" s="135">
        <v>437525097</v>
      </c>
      <c r="N91" s="135">
        <v>4502</v>
      </c>
      <c r="O91" s="135">
        <v>524</v>
      </c>
      <c r="P91" s="135">
        <v>58509200</v>
      </c>
      <c r="Q91" s="135">
        <v>10724400</v>
      </c>
      <c r="R91" s="135">
        <v>79408700</v>
      </c>
      <c r="S91" s="135">
        <v>2236000</v>
      </c>
      <c r="T91" s="135">
        <v>1670050</v>
      </c>
      <c r="U91" s="135">
        <v>325000</v>
      </c>
      <c r="V91" s="135">
        <v>58509200</v>
      </c>
      <c r="W91" s="135">
        <v>10724400</v>
      </c>
      <c r="X91" s="135">
        <v>79408700</v>
      </c>
      <c r="Y91" s="135">
        <v>2236000</v>
      </c>
      <c r="Z91" s="135">
        <v>1670050</v>
      </c>
      <c r="AA91" s="135">
        <v>325000</v>
      </c>
      <c r="AB91" s="135">
        <v>-13313010</v>
      </c>
      <c r="AC91" s="135">
        <v>-10162</v>
      </c>
      <c r="AD91" s="135">
        <v>27832</v>
      </c>
      <c r="AE91" s="135">
        <v>0</v>
      </c>
      <c r="AF91" s="135">
        <v>0</v>
      </c>
      <c r="AG91" s="135">
        <v>254427</v>
      </c>
      <c r="AH91" s="135">
        <v>0</v>
      </c>
      <c r="AI91" s="135">
        <v>1542949</v>
      </c>
      <c r="AJ91" s="135"/>
      <c r="AK91" s="135">
        <v>473817865</v>
      </c>
      <c r="AL91" s="135">
        <v>15376190</v>
      </c>
      <c r="AM91" s="135"/>
      <c r="AN91" s="135">
        <v>115239729</v>
      </c>
      <c r="AO91" s="135">
        <v>10466905</v>
      </c>
      <c r="AP91" s="135">
        <v>405864300</v>
      </c>
      <c r="AQ91" s="135">
        <v>109231764</v>
      </c>
      <c r="AR91" s="135">
        <v>81670539</v>
      </c>
      <c r="AS91" s="135">
        <v>37556162</v>
      </c>
      <c r="AT91" s="135">
        <v>1908474</v>
      </c>
      <c r="AU91" s="135">
        <v>0</v>
      </c>
      <c r="AV91" s="135">
        <v>0</v>
      </c>
      <c r="AW91" s="135">
        <v>1418424</v>
      </c>
      <c r="AX91" s="135">
        <v>369990</v>
      </c>
      <c r="AY91" s="135">
        <v>2201600</v>
      </c>
      <c r="AZ91" s="135">
        <v>25367629.780000001</v>
      </c>
      <c r="BA91" s="135">
        <v>13191167</v>
      </c>
      <c r="BB91" s="135">
        <v>0</v>
      </c>
      <c r="BC91" s="135">
        <v>1057284</v>
      </c>
      <c r="BD91" s="135">
        <v>2033239</v>
      </c>
      <c r="BE91" s="135">
        <v>14206232</v>
      </c>
      <c r="BF91" s="135">
        <v>13405699</v>
      </c>
      <c r="BG91" s="135">
        <v>61365231</v>
      </c>
      <c r="BH91" s="135">
        <v>60723363</v>
      </c>
      <c r="BI91" s="135">
        <v>883689601</v>
      </c>
      <c r="BJ91" s="135">
        <v>0</v>
      </c>
      <c r="BK91" s="135"/>
      <c r="BL91" s="135">
        <v>5478505478</v>
      </c>
      <c r="BM91" s="135">
        <v>4017244309</v>
      </c>
      <c r="BN91" s="135">
        <v>3768890</v>
      </c>
      <c r="BO91" s="135"/>
      <c r="BP91" s="135">
        <v>3780762962</v>
      </c>
      <c r="BQ91" s="135">
        <v>473817865</v>
      </c>
      <c r="BR91" s="135">
        <v>15376190</v>
      </c>
      <c r="BS91" s="135">
        <v>272494560</v>
      </c>
      <c r="BT91" s="135">
        <v>4542451577</v>
      </c>
    </row>
    <row r="92" spans="1:72" x14ac:dyDescent="0.25">
      <c r="A92" s="149" t="s">
        <v>146</v>
      </c>
      <c r="B92" s="135">
        <v>125115467</v>
      </c>
      <c r="C92" s="135">
        <v>107899998</v>
      </c>
      <c r="D92" s="135">
        <v>15959785</v>
      </c>
      <c r="E92" s="135">
        <v>0</v>
      </c>
      <c r="F92" s="135">
        <v>23617100</v>
      </c>
      <c r="G92" s="135">
        <v>3811900</v>
      </c>
      <c r="H92" s="135">
        <v>10014200</v>
      </c>
      <c r="I92" s="135">
        <v>1452875</v>
      </c>
      <c r="J92" s="135">
        <v>0</v>
      </c>
      <c r="K92" s="135">
        <v>39300</v>
      </c>
      <c r="L92" s="135">
        <v>121333233</v>
      </c>
      <c r="M92" s="135">
        <v>90986606</v>
      </c>
      <c r="N92" s="135">
        <v>847</v>
      </c>
      <c r="O92" s="135">
        <v>138</v>
      </c>
      <c r="P92" s="135">
        <v>3373758</v>
      </c>
      <c r="Q92" s="135">
        <v>3547562</v>
      </c>
      <c r="R92" s="135">
        <v>167212</v>
      </c>
      <c r="S92" s="135">
        <v>1333370</v>
      </c>
      <c r="T92" s="135">
        <v>541027</v>
      </c>
      <c r="U92" s="135">
        <v>291000</v>
      </c>
      <c r="V92" s="135">
        <v>3373758</v>
      </c>
      <c r="W92" s="135">
        <v>3935502</v>
      </c>
      <c r="X92" s="135">
        <v>167212</v>
      </c>
      <c r="Y92" s="135">
        <v>1333370</v>
      </c>
      <c r="Z92" s="135">
        <v>735469</v>
      </c>
      <c r="AA92" s="135">
        <v>291000</v>
      </c>
      <c r="AB92" s="135">
        <v>-554380</v>
      </c>
      <c r="AC92" s="135">
        <v>0</v>
      </c>
      <c r="AD92" s="135">
        <v>0</v>
      </c>
      <c r="AE92" s="135">
        <v>0</v>
      </c>
      <c r="AF92" s="135">
        <v>0</v>
      </c>
      <c r="AG92" s="135">
        <v>0</v>
      </c>
      <c r="AH92" s="135">
        <v>0</v>
      </c>
      <c r="AI92" s="135">
        <v>0</v>
      </c>
      <c r="AJ92" s="135"/>
      <c r="AK92" s="135">
        <v>61806875</v>
      </c>
      <c r="AL92" s="135">
        <v>1269683</v>
      </c>
      <c r="AM92" s="135">
        <v>26500</v>
      </c>
      <c r="AN92" s="135">
        <v>3152698</v>
      </c>
      <c r="AO92" s="135">
        <v>54568</v>
      </c>
      <c r="AP92" s="135">
        <v>1240954</v>
      </c>
      <c r="AQ92" s="135">
        <v>1413691</v>
      </c>
      <c r="AR92" s="135">
        <v>111937</v>
      </c>
      <c r="AS92" s="135"/>
      <c r="AT92" s="135">
        <v>35288</v>
      </c>
      <c r="AU92" s="135"/>
      <c r="AV92" s="135"/>
      <c r="AW92" s="135"/>
      <c r="AX92" s="135"/>
      <c r="AY92" s="135"/>
      <c r="AZ92" s="135">
        <v>3309064.6</v>
      </c>
      <c r="BA92" s="135">
        <v>1720714</v>
      </c>
      <c r="BB92" s="135">
        <v>0</v>
      </c>
      <c r="BC92" s="135">
        <v>1161316</v>
      </c>
      <c r="BD92" s="135">
        <v>2233300</v>
      </c>
      <c r="BE92" s="135">
        <v>29362286</v>
      </c>
      <c r="BF92" s="135">
        <v>29362286</v>
      </c>
      <c r="BG92" s="135">
        <v>26660071</v>
      </c>
      <c r="BH92" s="135">
        <v>26096753</v>
      </c>
      <c r="BI92" s="135">
        <v>0</v>
      </c>
      <c r="BJ92" s="135">
        <v>0</v>
      </c>
      <c r="BK92" s="135"/>
      <c r="BL92" s="135">
        <v>375013834</v>
      </c>
      <c r="BM92" s="135">
        <v>253596207</v>
      </c>
      <c r="BN92" s="135">
        <v>269950</v>
      </c>
      <c r="BO92" s="135"/>
      <c r="BP92" s="135">
        <v>248975250</v>
      </c>
      <c r="BQ92" s="135">
        <v>61806875</v>
      </c>
      <c r="BR92" s="135">
        <v>1269683</v>
      </c>
      <c r="BS92" s="135">
        <v>4620957</v>
      </c>
      <c r="BT92" s="135">
        <v>316672765</v>
      </c>
    </row>
    <row r="93" spans="1:72" x14ac:dyDescent="0.25">
      <c r="A93" s="149" t="s">
        <v>147</v>
      </c>
      <c r="B93" s="135">
        <v>461606101</v>
      </c>
      <c r="C93" s="135">
        <v>221463190</v>
      </c>
      <c r="D93" s="135">
        <v>128785386</v>
      </c>
      <c r="E93" s="135">
        <v>0</v>
      </c>
      <c r="F93" s="135">
        <v>57795975</v>
      </c>
      <c r="G93" s="135">
        <v>21926703</v>
      </c>
      <c r="H93" s="135">
        <v>20064337</v>
      </c>
      <c r="I93" s="135">
        <v>5159395</v>
      </c>
      <c r="J93" s="135">
        <v>162000</v>
      </c>
      <c r="K93" s="135">
        <v>0</v>
      </c>
      <c r="L93" s="135">
        <v>421999011</v>
      </c>
      <c r="M93" s="135">
        <v>17628960</v>
      </c>
      <c r="N93" s="135">
        <v>2137</v>
      </c>
      <c r="O93" s="135">
        <v>808</v>
      </c>
      <c r="P93" s="135">
        <v>1748600</v>
      </c>
      <c r="Q93" s="135">
        <v>1431900</v>
      </c>
      <c r="R93" s="135">
        <v>0</v>
      </c>
      <c r="S93" s="135">
        <v>2142810</v>
      </c>
      <c r="T93" s="135">
        <v>2254280</v>
      </c>
      <c r="U93" s="135">
        <v>971775</v>
      </c>
      <c r="V93" s="135">
        <v>1748600</v>
      </c>
      <c r="W93" s="135">
        <v>592500</v>
      </c>
      <c r="X93" s="135">
        <v>0</v>
      </c>
      <c r="Y93" s="135">
        <v>2142810</v>
      </c>
      <c r="Z93" s="135">
        <v>273668</v>
      </c>
      <c r="AA93" s="135">
        <v>971775</v>
      </c>
      <c r="AB93" s="135">
        <v>-4513470</v>
      </c>
      <c r="AC93" s="135">
        <v>-679454</v>
      </c>
      <c r="AD93" s="135">
        <v>330068</v>
      </c>
      <c r="AE93" s="135">
        <v>19116</v>
      </c>
      <c r="AF93" s="135">
        <v>23368266</v>
      </c>
      <c r="AG93" s="135">
        <v>330169</v>
      </c>
      <c r="AH93" s="135">
        <v>5200000</v>
      </c>
      <c r="AI93" s="135">
        <v>257109</v>
      </c>
      <c r="AJ93" s="135">
        <v>2000500</v>
      </c>
      <c r="AK93" s="135">
        <v>154817341</v>
      </c>
      <c r="AL93" s="135">
        <v>5967166</v>
      </c>
      <c r="AM93" s="135"/>
      <c r="AN93" s="135">
        <v>34159818</v>
      </c>
      <c r="AO93" s="135">
        <v>4528704</v>
      </c>
      <c r="AP93" s="135">
        <v>94619894</v>
      </c>
      <c r="AQ93" s="135">
        <v>19636585</v>
      </c>
      <c r="AR93" s="135">
        <v>23784672</v>
      </c>
      <c r="AS93" s="135">
        <v>5086500</v>
      </c>
      <c r="AT93" s="135">
        <v>4595863</v>
      </c>
      <c r="AU93" s="135"/>
      <c r="AV93" s="135"/>
      <c r="AW93" s="135">
        <v>82171</v>
      </c>
      <c r="AX93" s="135">
        <v>283968</v>
      </c>
      <c r="AY93" s="135">
        <v>100000</v>
      </c>
      <c r="AZ93" s="135">
        <v>8288731.3499999996</v>
      </c>
      <c r="BA93" s="135">
        <v>4310140</v>
      </c>
      <c r="BB93" s="135">
        <v>13234043.57595855</v>
      </c>
      <c r="BC93" s="135">
        <v>2385346</v>
      </c>
      <c r="BD93" s="135">
        <v>4587203</v>
      </c>
      <c r="BE93" s="135">
        <v>53767007</v>
      </c>
      <c r="BF93" s="135">
        <v>48524766</v>
      </c>
      <c r="BG93" s="135">
        <v>103145731</v>
      </c>
      <c r="BH93" s="135">
        <v>100043824</v>
      </c>
      <c r="BI93" s="135">
        <v>9446388</v>
      </c>
      <c r="BJ93" s="135">
        <v>0</v>
      </c>
      <c r="BK93" s="135"/>
      <c r="BL93" s="135">
        <v>1203132364</v>
      </c>
      <c r="BM93" s="135">
        <v>877637393</v>
      </c>
      <c r="BN93" s="135">
        <v>735498</v>
      </c>
      <c r="BO93" s="135"/>
      <c r="BP93" s="135">
        <v>811854677</v>
      </c>
      <c r="BQ93" s="135">
        <v>154817341</v>
      </c>
      <c r="BR93" s="135">
        <v>5967166</v>
      </c>
      <c r="BS93" s="135">
        <v>63411607</v>
      </c>
      <c r="BT93" s="135">
        <v>1036050791</v>
      </c>
    </row>
    <row r="94" spans="1:72" x14ac:dyDescent="0.25">
      <c r="A94" s="149" t="s">
        <v>148</v>
      </c>
      <c r="B94" s="135">
        <v>6483758142</v>
      </c>
      <c r="C94" s="135">
        <v>299255625</v>
      </c>
      <c r="D94" s="135">
        <v>581659056</v>
      </c>
      <c r="E94" s="135">
        <v>0</v>
      </c>
      <c r="F94" s="135">
        <v>195751832</v>
      </c>
      <c r="G94" s="135">
        <v>12217800</v>
      </c>
      <c r="H94" s="135">
        <v>9193500</v>
      </c>
      <c r="I94" s="135">
        <v>283500</v>
      </c>
      <c r="J94" s="135">
        <v>324000</v>
      </c>
      <c r="K94" s="135">
        <v>40500</v>
      </c>
      <c r="L94" s="135">
        <v>585784460</v>
      </c>
      <c r="M94" s="135">
        <v>244705700</v>
      </c>
      <c r="N94" s="135">
        <v>5086</v>
      </c>
      <c r="O94" s="135">
        <v>316</v>
      </c>
      <c r="P94" s="135">
        <v>189413977</v>
      </c>
      <c r="Q94" s="135">
        <v>12927100</v>
      </c>
      <c r="R94" s="135">
        <v>16790000</v>
      </c>
      <c r="S94" s="135">
        <v>14847872</v>
      </c>
      <c r="T94" s="135">
        <v>6256600</v>
      </c>
      <c r="U94" s="135">
        <v>8265100</v>
      </c>
      <c r="V94" s="135">
        <v>189413977</v>
      </c>
      <c r="W94" s="135">
        <v>23936900</v>
      </c>
      <c r="X94" s="135">
        <v>16790000</v>
      </c>
      <c r="Y94" s="135">
        <v>14847872</v>
      </c>
      <c r="Z94" s="135">
        <v>16949500</v>
      </c>
      <c r="AA94" s="135">
        <v>8265100</v>
      </c>
      <c r="AB94" s="135">
        <v>-25296350</v>
      </c>
      <c r="AC94" s="135">
        <v>-130607</v>
      </c>
      <c r="AD94" s="135">
        <v>11160</v>
      </c>
      <c r="AE94" s="135">
        <v>11160</v>
      </c>
      <c r="AF94" s="135">
        <v>0</v>
      </c>
      <c r="AG94" s="135">
        <v>60871</v>
      </c>
      <c r="AH94" s="135">
        <v>0</v>
      </c>
      <c r="AI94" s="135">
        <v>515000</v>
      </c>
      <c r="AJ94" s="135"/>
      <c r="AK94" s="135">
        <v>684845262</v>
      </c>
      <c r="AL94" s="135">
        <v>27144495</v>
      </c>
      <c r="AM94" s="135">
        <v>2408318</v>
      </c>
      <c r="AN94" s="135">
        <v>73106358</v>
      </c>
      <c r="AO94" s="135">
        <v>8136490</v>
      </c>
      <c r="AP94" s="135">
        <v>66105590</v>
      </c>
      <c r="AQ94" s="135">
        <v>35914586</v>
      </c>
      <c r="AR94" s="135">
        <v>54957464</v>
      </c>
      <c r="AS94" s="135">
        <v>24201109</v>
      </c>
      <c r="AT94" s="135">
        <v>7026207</v>
      </c>
      <c r="AU94" s="135"/>
      <c r="AV94" s="135"/>
      <c r="AW94" s="135"/>
      <c r="AX94" s="135">
        <v>3957589</v>
      </c>
      <c r="AY94" s="135"/>
      <c r="AZ94" s="135">
        <v>36665778.869999997</v>
      </c>
      <c r="BA94" s="135">
        <v>19066205</v>
      </c>
      <c r="BB94" s="135">
        <v>22807607.013886008</v>
      </c>
      <c r="BC94" s="135">
        <v>1098602</v>
      </c>
      <c r="BD94" s="135">
        <v>2112696</v>
      </c>
      <c r="BE94" s="135">
        <v>47484253</v>
      </c>
      <c r="BF94" s="135">
        <v>47484253</v>
      </c>
      <c r="BG94" s="135">
        <v>116356460</v>
      </c>
      <c r="BH94" s="135">
        <v>114628296</v>
      </c>
      <c r="BI94" s="135">
        <v>9221878</v>
      </c>
      <c r="BJ94" s="135">
        <v>0</v>
      </c>
      <c r="BK94" s="135"/>
      <c r="BL94" s="135">
        <v>8385834248</v>
      </c>
      <c r="BM94" s="135">
        <v>7482345257</v>
      </c>
      <c r="BN94" s="135">
        <v>1812615</v>
      </c>
      <c r="BO94" s="135"/>
      <c r="BP94" s="135">
        <v>7364672823</v>
      </c>
      <c r="BQ94" s="135">
        <v>684845262</v>
      </c>
      <c r="BR94" s="135">
        <v>27144495</v>
      </c>
      <c r="BS94" s="135">
        <v>141358543</v>
      </c>
      <c r="BT94" s="135">
        <v>8218021123</v>
      </c>
    </row>
    <row r="95" spans="1:72" x14ac:dyDescent="0.25">
      <c r="A95" s="149" t="s">
        <v>149</v>
      </c>
      <c r="B95" s="135">
        <v>362361335</v>
      </c>
      <c r="C95" s="135">
        <v>185461779</v>
      </c>
      <c r="D95" s="135">
        <v>44564833</v>
      </c>
      <c r="E95" s="135">
        <v>0</v>
      </c>
      <c r="F95" s="135">
        <v>29780700</v>
      </c>
      <c r="G95" s="135">
        <v>3734800</v>
      </c>
      <c r="H95" s="135">
        <v>14899500</v>
      </c>
      <c r="I95" s="135">
        <v>639100</v>
      </c>
      <c r="J95" s="135">
        <v>69800</v>
      </c>
      <c r="K95" s="135">
        <v>0</v>
      </c>
      <c r="L95" s="135">
        <v>332007559</v>
      </c>
      <c r="M95" s="135">
        <v>148347400</v>
      </c>
      <c r="N95" s="135">
        <v>1142</v>
      </c>
      <c r="O95" s="135">
        <v>123</v>
      </c>
      <c r="P95" s="135">
        <v>4382100</v>
      </c>
      <c r="Q95" s="135">
        <v>2504975</v>
      </c>
      <c r="R95" s="135">
        <v>683200</v>
      </c>
      <c r="S95" s="135">
        <v>1383300</v>
      </c>
      <c r="T95" s="135">
        <v>981300</v>
      </c>
      <c r="U95" s="135">
        <v>205700</v>
      </c>
      <c r="V95" s="135">
        <v>4382100</v>
      </c>
      <c r="W95" s="135">
        <v>3035800</v>
      </c>
      <c r="X95" s="135">
        <v>683200</v>
      </c>
      <c r="Y95" s="135">
        <v>1383300</v>
      </c>
      <c r="Z95" s="135">
        <v>1788550</v>
      </c>
      <c r="AA95" s="135">
        <v>205700</v>
      </c>
      <c r="AB95" s="135">
        <v>-3184000</v>
      </c>
      <c r="AC95" s="135">
        <v>-886743</v>
      </c>
      <c r="AD95" s="135">
        <v>69493</v>
      </c>
      <c r="AE95" s="135">
        <v>0</v>
      </c>
      <c r="AF95" s="135">
        <v>0</v>
      </c>
      <c r="AG95" s="135">
        <v>199877</v>
      </c>
      <c r="AH95" s="135">
        <v>0</v>
      </c>
      <c r="AI95" s="135">
        <v>0</v>
      </c>
      <c r="AJ95" s="135"/>
      <c r="AK95" s="135">
        <v>104897603</v>
      </c>
      <c r="AL95" s="135">
        <v>3772047</v>
      </c>
      <c r="AM95" s="135"/>
      <c r="AN95" s="135">
        <v>9630332</v>
      </c>
      <c r="AO95" s="135">
        <v>17680</v>
      </c>
      <c r="AP95" s="135">
        <v>922268</v>
      </c>
      <c r="AQ95" s="135">
        <v>7059682</v>
      </c>
      <c r="AR95" s="135">
        <v>1316218</v>
      </c>
      <c r="AS95" s="135"/>
      <c r="AT95" s="135">
        <v>261317</v>
      </c>
      <c r="AU95" s="135"/>
      <c r="AV95" s="135">
        <v>192245</v>
      </c>
      <c r="AW95" s="135"/>
      <c r="AX95" s="135">
        <v>4215</v>
      </c>
      <c r="AY95" s="135">
        <v>236000</v>
      </c>
      <c r="AZ95" s="135">
        <v>5616089.5499999998</v>
      </c>
      <c r="BA95" s="135">
        <v>2920367</v>
      </c>
      <c r="BB95" s="135">
        <v>6968991.0320207253</v>
      </c>
      <c r="BC95" s="135">
        <v>0</v>
      </c>
      <c r="BD95" s="135">
        <v>0</v>
      </c>
      <c r="BE95" s="135">
        <v>61719611</v>
      </c>
      <c r="BF95" s="135">
        <v>61719611</v>
      </c>
      <c r="BG95" s="135">
        <v>50851899</v>
      </c>
      <c r="BH95" s="135">
        <v>50818015</v>
      </c>
      <c r="BI95" s="135">
        <v>0</v>
      </c>
      <c r="BJ95" s="135">
        <v>0</v>
      </c>
      <c r="BK95" s="135"/>
      <c r="BL95" s="135">
        <v>833223284</v>
      </c>
      <c r="BM95" s="135">
        <v>609095641</v>
      </c>
      <c r="BN95" s="135">
        <v>280950</v>
      </c>
      <c r="BO95" s="135"/>
      <c r="BP95" s="135">
        <v>592387947</v>
      </c>
      <c r="BQ95" s="135">
        <v>104897603</v>
      </c>
      <c r="BR95" s="135">
        <v>3772047</v>
      </c>
      <c r="BS95" s="135">
        <v>16707694</v>
      </c>
      <c r="BT95" s="135">
        <v>717765291</v>
      </c>
    </row>
    <row r="96" spans="1:72" x14ac:dyDescent="0.25">
      <c r="A96" s="149" t="s">
        <v>150</v>
      </c>
      <c r="B96" s="135">
        <v>38020776</v>
      </c>
      <c r="C96" s="135">
        <v>41364834</v>
      </c>
      <c r="D96" s="135">
        <v>13144575</v>
      </c>
      <c r="E96" s="135">
        <v>0</v>
      </c>
      <c r="F96" s="135">
        <v>6950700</v>
      </c>
      <c r="G96" s="135">
        <v>8989050</v>
      </c>
      <c r="H96" s="135">
        <v>5555990</v>
      </c>
      <c r="I96" s="135">
        <v>4279545</v>
      </c>
      <c r="J96" s="135">
        <v>0</v>
      </c>
      <c r="K96" s="135">
        <v>0</v>
      </c>
      <c r="L96" s="135">
        <v>85164707</v>
      </c>
      <c r="M96" s="135">
        <v>22994850</v>
      </c>
      <c r="N96" s="135">
        <v>343</v>
      </c>
      <c r="O96" s="135">
        <v>392</v>
      </c>
      <c r="P96" s="135">
        <v>930500</v>
      </c>
      <c r="Q96" s="135">
        <v>1358590</v>
      </c>
      <c r="R96" s="135">
        <v>0</v>
      </c>
      <c r="S96" s="135">
        <v>95500</v>
      </c>
      <c r="T96" s="135">
        <v>71750</v>
      </c>
      <c r="U96" s="135">
        <v>0</v>
      </c>
      <c r="V96" s="135">
        <v>930500</v>
      </c>
      <c r="W96" s="135">
        <v>1599745</v>
      </c>
      <c r="X96" s="135">
        <v>0</v>
      </c>
      <c r="Y96" s="135">
        <v>95500</v>
      </c>
      <c r="Z96" s="135">
        <v>37500</v>
      </c>
      <c r="AA96" s="135">
        <v>0</v>
      </c>
      <c r="AB96" s="135">
        <v>-1207700</v>
      </c>
      <c r="AC96" s="135">
        <v>0</v>
      </c>
      <c r="AD96" s="135">
        <v>50659</v>
      </c>
      <c r="AE96" s="135">
        <v>0</v>
      </c>
      <c r="AF96" s="135">
        <v>0</v>
      </c>
      <c r="AG96" s="135">
        <v>107900</v>
      </c>
      <c r="AH96" s="135">
        <v>0</v>
      </c>
      <c r="AI96" s="135">
        <v>30500</v>
      </c>
      <c r="AJ96" s="135">
        <v>279155.73770491802</v>
      </c>
      <c r="AK96" s="135">
        <v>27290196</v>
      </c>
      <c r="AL96" s="135">
        <v>604247</v>
      </c>
      <c r="AM96" s="135"/>
      <c r="AN96" s="135">
        <v>1224260</v>
      </c>
      <c r="AO96" s="135">
        <v>6751</v>
      </c>
      <c r="AP96" s="135">
        <v>844</v>
      </c>
      <c r="AQ96" s="135">
        <v>1118911</v>
      </c>
      <c r="AR96" s="135">
        <v>0</v>
      </c>
      <c r="AS96" s="135"/>
      <c r="AT96" s="135">
        <v>17286</v>
      </c>
      <c r="AU96" s="135"/>
      <c r="AV96" s="135"/>
      <c r="AW96" s="135"/>
      <c r="AX96" s="135"/>
      <c r="AY96" s="135"/>
      <c r="AZ96" s="135">
        <v>1461083.76</v>
      </c>
      <c r="BA96" s="135">
        <v>759764</v>
      </c>
      <c r="BB96" s="135">
        <v>0</v>
      </c>
      <c r="BC96" s="135">
        <v>0</v>
      </c>
      <c r="BD96" s="135">
        <v>0</v>
      </c>
      <c r="BE96" s="135">
        <v>1642637</v>
      </c>
      <c r="BF96" s="135">
        <v>1642637</v>
      </c>
      <c r="BG96" s="135">
        <v>15985872</v>
      </c>
      <c r="BH96" s="135">
        <v>15985872</v>
      </c>
      <c r="BI96" s="135">
        <v>0</v>
      </c>
      <c r="BJ96" s="135">
        <v>0</v>
      </c>
      <c r="BK96" s="135"/>
      <c r="BL96" s="135">
        <v>141472478.73770493</v>
      </c>
      <c r="BM96" s="135">
        <v>95189762.737704918</v>
      </c>
      <c r="BN96" s="135">
        <v>327600</v>
      </c>
      <c r="BO96" s="135"/>
      <c r="BP96" s="135">
        <v>92530185</v>
      </c>
      <c r="BQ96" s="135">
        <v>27290196</v>
      </c>
      <c r="BR96" s="135">
        <v>604247</v>
      </c>
      <c r="BS96" s="135">
        <v>2349922</v>
      </c>
      <c r="BT96" s="135">
        <v>122774550</v>
      </c>
    </row>
    <row r="97" spans="1:72" x14ac:dyDescent="0.25">
      <c r="A97" s="149" t="s">
        <v>151</v>
      </c>
      <c r="B97" s="135">
        <v>352203724</v>
      </c>
      <c r="C97" s="135">
        <v>218222849</v>
      </c>
      <c r="D97" s="135">
        <v>65761509</v>
      </c>
      <c r="E97" s="135">
        <v>0</v>
      </c>
      <c r="F97" s="135">
        <v>36051100</v>
      </c>
      <c r="G97" s="135">
        <v>6103800</v>
      </c>
      <c r="H97" s="135">
        <v>22065300</v>
      </c>
      <c r="I97" s="135">
        <v>1398900</v>
      </c>
      <c r="J97" s="135">
        <v>40500</v>
      </c>
      <c r="K97" s="135">
        <v>0</v>
      </c>
      <c r="L97" s="135">
        <v>284123198</v>
      </c>
      <c r="M97" s="135">
        <v>174206113</v>
      </c>
      <c r="N97" s="135">
        <v>1485</v>
      </c>
      <c r="O97" s="135">
        <v>198</v>
      </c>
      <c r="P97" s="135">
        <v>10886590</v>
      </c>
      <c r="Q97" s="135">
        <v>6341850</v>
      </c>
      <c r="R97" s="135">
        <v>20000</v>
      </c>
      <c r="S97" s="135">
        <v>3897448</v>
      </c>
      <c r="T97" s="135">
        <v>2609303</v>
      </c>
      <c r="U97" s="135">
        <v>491638</v>
      </c>
      <c r="V97" s="135">
        <v>10886590</v>
      </c>
      <c r="W97" s="135">
        <v>7175407</v>
      </c>
      <c r="X97" s="135">
        <v>20000</v>
      </c>
      <c r="Y97" s="135">
        <v>3897448</v>
      </c>
      <c r="Z97" s="135">
        <v>3265350</v>
      </c>
      <c r="AA97" s="135">
        <v>491638</v>
      </c>
      <c r="AB97" s="135">
        <v>-1342290</v>
      </c>
      <c r="AC97" s="135">
        <v>0</v>
      </c>
      <c r="AD97" s="135">
        <v>0</v>
      </c>
      <c r="AE97" s="135">
        <v>11</v>
      </c>
      <c r="AF97" s="135">
        <v>0</v>
      </c>
      <c r="AG97" s="135">
        <v>179808</v>
      </c>
      <c r="AH97" s="135">
        <v>0</v>
      </c>
      <c r="AI97" s="135">
        <v>5000000</v>
      </c>
      <c r="AJ97" s="135"/>
      <c r="AK97" s="135">
        <v>132561876</v>
      </c>
      <c r="AL97" s="135">
        <v>3714825</v>
      </c>
      <c r="AM97" s="135"/>
      <c r="AN97" s="135">
        <v>27684909</v>
      </c>
      <c r="AO97" s="135">
        <v>6552779</v>
      </c>
      <c r="AP97" s="135">
        <v>92169555</v>
      </c>
      <c r="AQ97" s="135">
        <v>6113718</v>
      </c>
      <c r="AR97" s="135">
        <v>5237398</v>
      </c>
      <c r="AS97" s="135">
        <v>4995968</v>
      </c>
      <c r="AT97" s="135">
        <v>1000</v>
      </c>
      <c r="AU97" s="135"/>
      <c r="AV97" s="135"/>
      <c r="AW97" s="135"/>
      <c r="AX97" s="135">
        <v>31431</v>
      </c>
      <c r="AY97" s="135">
        <v>383000</v>
      </c>
      <c r="AZ97" s="135">
        <v>7097200.9299999997</v>
      </c>
      <c r="BA97" s="135">
        <v>3690544</v>
      </c>
      <c r="BB97" s="135">
        <v>4786781.7189637301</v>
      </c>
      <c r="BC97" s="135">
        <v>3069297</v>
      </c>
      <c r="BD97" s="135">
        <v>5902494</v>
      </c>
      <c r="BE97" s="135">
        <v>29360385</v>
      </c>
      <c r="BF97" s="135">
        <v>29360385</v>
      </c>
      <c r="BG97" s="135">
        <v>68581560</v>
      </c>
      <c r="BH97" s="135">
        <v>62013047</v>
      </c>
      <c r="BI97" s="135">
        <v>0</v>
      </c>
      <c r="BJ97" s="135">
        <v>0</v>
      </c>
      <c r="BK97" s="135"/>
      <c r="BL97" s="135">
        <v>915949462</v>
      </c>
      <c r="BM97" s="135">
        <v>681539488</v>
      </c>
      <c r="BN97" s="135">
        <v>516085</v>
      </c>
      <c r="BO97" s="135"/>
      <c r="BP97" s="135">
        <v>636188082</v>
      </c>
      <c r="BQ97" s="135">
        <v>132561876</v>
      </c>
      <c r="BR97" s="135">
        <v>3714825</v>
      </c>
      <c r="BS97" s="135">
        <v>45347374</v>
      </c>
      <c r="BT97" s="135">
        <v>817812157</v>
      </c>
    </row>
    <row r="98" spans="1:72" x14ac:dyDescent="0.25">
      <c r="A98" s="149" t="s">
        <v>152</v>
      </c>
      <c r="B98" s="135">
        <v>477405468</v>
      </c>
      <c r="C98" s="135">
        <v>59970790</v>
      </c>
      <c r="D98" s="135">
        <v>289572950</v>
      </c>
      <c r="E98" s="135">
        <v>0</v>
      </c>
      <c r="F98" s="135">
        <v>67155000</v>
      </c>
      <c r="G98" s="135">
        <v>49199647</v>
      </c>
      <c r="H98" s="135">
        <v>10856325</v>
      </c>
      <c r="I98" s="135">
        <v>4770300</v>
      </c>
      <c r="J98" s="135">
        <v>424500</v>
      </c>
      <c r="K98" s="135">
        <v>243000</v>
      </c>
      <c r="L98" s="135">
        <v>66089598</v>
      </c>
      <c r="M98" s="135">
        <v>44362005</v>
      </c>
      <c r="N98" s="135">
        <v>2273</v>
      </c>
      <c r="O98" s="135">
        <v>1725</v>
      </c>
      <c r="P98" s="135">
        <v>1433000</v>
      </c>
      <c r="Q98" s="135">
        <v>345000</v>
      </c>
      <c r="R98" s="135">
        <v>450000</v>
      </c>
      <c r="S98" s="135">
        <v>1791500</v>
      </c>
      <c r="T98" s="135">
        <v>221200</v>
      </c>
      <c r="U98" s="135">
        <v>52500</v>
      </c>
      <c r="V98" s="135">
        <v>1433000</v>
      </c>
      <c r="W98" s="135">
        <v>0</v>
      </c>
      <c r="X98" s="135">
        <v>450000</v>
      </c>
      <c r="Y98" s="135">
        <v>1791500</v>
      </c>
      <c r="Z98" s="135">
        <v>0</v>
      </c>
      <c r="AA98" s="135">
        <v>52500</v>
      </c>
      <c r="AB98" s="135">
        <v>-6010000</v>
      </c>
      <c r="AC98" s="135">
        <v>-454610</v>
      </c>
      <c r="AD98" s="135"/>
      <c r="AE98" s="135"/>
      <c r="AF98" s="135"/>
      <c r="AG98" s="135"/>
      <c r="AH98" s="135">
        <v>9500000</v>
      </c>
      <c r="AI98" s="135">
        <v>25500000</v>
      </c>
      <c r="AJ98" s="135">
        <v>9639942.6229508203</v>
      </c>
      <c r="AK98" s="135">
        <v>234883293</v>
      </c>
      <c r="AL98" s="135">
        <v>6280053</v>
      </c>
      <c r="AM98" s="135"/>
      <c r="AN98" s="135">
        <v>65697215</v>
      </c>
      <c r="AO98" s="135">
        <v>4078546</v>
      </c>
      <c r="AP98" s="135">
        <v>40280376</v>
      </c>
      <c r="AQ98" s="135">
        <v>42996257</v>
      </c>
      <c r="AR98" s="135">
        <v>22077512</v>
      </c>
      <c r="AS98" s="135">
        <v>4220507</v>
      </c>
      <c r="AT98" s="135">
        <v>540507</v>
      </c>
      <c r="AU98" s="135"/>
      <c r="AV98" s="135"/>
      <c r="AW98" s="135"/>
      <c r="AX98" s="135">
        <v>55904</v>
      </c>
      <c r="AY98" s="135">
        <v>13897260</v>
      </c>
      <c r="AZ98" s="135">
        <v>12575364.630000001</v>
      </c>
      <c r="BA98" s="135">
        <v>6539190</v>
      </c>
      <c r="BB98" s="135">
        <v>0</v>
      </c>
      <c r="BC98" s="135">
        <v>7801622</v>
      </c>
      <c r="BD98" s="135">
        <v>15003119</v>
      </c>
      <c r="BE98" s="135">
        <v>30819591</v>
      </c>
      <c r="BF98" s="135">
        <v>30819591</v>
      </c>
      <c r="BG98" s="135">
        <v>128619048</v>
      </c>
      <c r="BH98" s="135">
        <v>118889287</v>
      </c>
      <c r="BI98" s="135">
        <v>0</v>
      </c>
      <c r="BJ98" s="135">
        <v>0</v>
      </c>
      <c r="BK98" s="135"/>
      <c r="BL98" s="135">
        <v>1389574204.6229508</v>
      </c>
      <c r="BM98" s="135">
        <v>984361168.62295079</v>
      </c>
      <c r="BN98" s="135">
        <v>1061467</v>
      </c>
      <c r="BO98" s="135"/>
      <c r="BP98" s="135">
        <v>826949208</v>
      </c>
      <c r="BQ98" s="135">
        <v>234883293</v>
      </c>
      <c r="BR98" s="135">
        <v>6280053</v>
      </c>
      <c r="BS98" s="135">
        <v>116992525</v>
      </c>
      <c r="BT98" s="135">
        <v>1185105079</v>
      </c>
    </row>
    <row r="99" spans="1:72" x14ac:dyDescent="0.25">
      <c r="A99" s="149" t="s">
        <v>153</v>
      </c>
      <c r="B99" s="135">
        <v>1046089207</v>
      </c>
      <c r="C99" s="135">
        <v>143310678</v>
      </c>
      <c r="D99" s="135">
        <v>453888121</v>
      </c>
      <c r="E99" s="135">
        <v>0</v>
      </c>
      <c r="F99" s="135">
        <v>152924473</v>
      </c>
      <c r="G99" s="135">
        <v>152827960</v>
      </c>
      <c r="H99" s="135">
        <v>30711700</v>
      </c>
      <c r="I99" s="135">
        <v>23018700</v>
      </c>
      <c r="J99" s="135">
        <v>641000</v>
      </c>
      <c r="K99" s="135">
        <v>299500</v>
      </c>
      <c r="L99" s="135">
        <v>166349222</v>
      </c>
      <c r="M99" s="135">
        <v>150886622</v>
      </c>
      <c r="N99" s="135">
        <v>5516</v>
      </c>
      <c r="O99" s="135">
        <v>5825</v>
      </c>
      <c r="P99" s="135">
        <v>13405318</v>
      </c>
      <c r="Q99" s="135">
        <v>41100</v>
      </c>
      <c r="R99" s="135">
        <v>3075500</v>
      </c>
      <c r="S99" s="135">
        <v>7157417</v>
      </c>
      <c r="T99" s="135">
        <v>0</v>
      </c>
      <c r="U99" s="135">
        <v>2262500</v>
      </c>
      <c r="V99" s="135">
        <v>13405318</v>
      </c>
      <c r="W99" s="135">
        <v>50000</v>
      </c>
      <c r="X99" s="135">
        <v>3075500</v>
      </c>
      <c r="Y99" s="135">
        <v>7157417</v>
      </c>
      <c r="Z99" s="135">
        <v>0</v>
      </c>
      <c r="AA99" s="135">
        <v>2262500</v>
      </c>
      <c r="AB99" s="135">
        <v>-5009560</v>
      </c>
      <c r="AC99" s="135">
        <v>-30812</v>
      </c>
      <c r="AD99" s="135">
        <v>378637</v>
      </c>
      <c r="AE99" s="135">
        <v>0</v>
      </c>
      <c r="AF99" s="135">
        <v>0</v>
      </c>
      <c r="AG99" s="135">
        <v>48117</v>
      </c>
      <c r="AH99" s="135">
        <v>6200000</v>
      </c>
      <c r="AI99" s="135">
        <v>60500000</v>
      </c>
      <c r="AJ99" s="135">
        <v>56074000</v>
      </c>
      <c r="AK99" s="135">
        <v>529247209</v>
      </c>
      <c r="AL99" s="135">
        <v>10166560</v>
      </c>
      <c r="AM99" s="135">
        <v>19629</v>
      </c>
      <c r="AN99" s="135">
        <v>139029750</v>
      </c>
      <c r="AO99" s="135">
        <v>8764872</v>
      </c>
      <c r="AP99" s="135">
        <v>163148196</v>
      </c>
      <c r="AQ99" s="135">
        <v>97626766</v>
      </c>
      <c r="AR99" s="135">
        <v>40986001</v>
      </c>
      <c r="AS99" s="135">
        <v>1225666</v>
      </c>
      <c r="AT99" s="135">
        <v>86423</v>
      </c>
      <c r="AU99" s="135">
        <v>145498</v>
      </c>
      <c r="AV99" s="135"/>
      <c r="AW99" s="135"/>
      <c r="AX99" s="135">
        <v>48348</v>
      </c>
      <c r="AY99" s="135">
        <v>1346886</v>
      </c>
      <c r="AZ99" s="135">
        <v>28335249.16</v>
      </c>
      <c r="BA99" s="135">
        <v>14734330</v>
      </c>
      <c r="BB99" s="135">
        <v>0</v>
      </c>
      <c r="BC99" s="135">
        <v>8644941</v>
      </c>
      <c r="BD99" s="135">
        <v>16624886</v>
      </c>
      <c r="BE99" s="135">
        <v>95751496</v>
      </c>
      <c r="BF99" s="135">
        <v>95751496</v>
      </c>
      <c r="BG99" s="135">
        <v>228674111</v>
      </c>
      <c r="BH99" s="135">
        <v>215478446</v>
      </c>
      <c r="BI99" s="135">
        <v>0</v>
      </c>
      <c r="BJ99" s="135">
        <v>0</v>
      </c>
      <c r="BK99" s="135"/>
      <c r="BL99" s="135">
        <v>2885506376</v>
      </c>
      <c r="BM99" s="135">
        <v>2011483394</v>
      </c>
      <c r="BN99" s="135">
        <v>10621268</v>
      </c>
      <c r="BO99" s="135"/>
      <c r="BP99" s="135">
        <v>1643288006</v>
      </c>
      <c r="BQ99" s="135">
        <v>529247209</v>
      </c>
      <c r="BR99" s="135">
        <v>10166560</v>
      </c>
      <c r="BS99" s="135">
        <v>246647054</v>
      </c>
      <c r="BT99" s="135">
        <v>2429348829</v>
      </c>
    </row>
    <row r="100" spans="1:72" x14ac:dyDescent="0.25">
      <c r="A100" s="149" t="s">
        <v>154</v>
      </c>
      <c r="B100" s="135">
        <v>294913866</v>
      </c>
      <c r="C100" s="135">
        <v>71879823</v>
      </c>
      <c r="D100" s="135">
        <v>89134209</v>
      </c>
      <c r="E100" s="135">
        <v>0</v>
      </c>
      <c r="F100" s="135">
        <v>31748575</v>
      </c>
      <c r="G100" s="135">
        <v>14961400</v>
      </c>
      <c r="H100" s="135">
        <v>5717611</v>
      </c>
      <c r="I100" s="135">
        <v>1791485</v>
      </c>
      <c r="J100" s="135">
        <v>138000</v>
      </c>
      <c r="K100" s="135">
        <v>63000</v>
      </c>
      <c r="L100" s="135">
        <v>33045044</v>
      </c>
      <c r="M100" s="135">
        <v>35203577</v>
      </c>
      <c r="N100" s="135">
        <v>1062</v>
      </c>
      <c r="O100" s="135">
        <v>532</v>
      </c>
      <c r="P100" s="135">
        <v>4261580</v>
      </c>
      <c r="Q100" s="135">
        <v>430580</v>
      </c>
      <c r="R100" s="135">
        <v>1500</v>
      </c>
      <c r="S100" s="135">
        <v>823627</v>
      </c>
      <c r="T100" s="135">
        <v>2352154</v>
      </c>
      <c r="U100" s="135">
        <v>69663</v>
      </c>
      <c r="V100" s="135">
        <v>4261580</v>
      </c>
      <c r="W100" s="135">
        <v>430580</v>
      </c>
      <c r="X100" s="135">
        <v>1500</v>
      </c>
      <c r="Y100" s="135">
        <v>823627</v>
      </c>
      <c r="Z100" s="135">
        <v>2352154</v>
      </c>
      <c r="AA100" s="135">
        <v>69663</v>
      </c>
      <c r="AB100" s="135">
        <v>-2447800</v>
      </c>
      <c r="AC100" s="135"/>
      <c r="AD100" s="135">
        <v>63255</v>
      </c>
      <c r="AE100" s="135">
        <v>0</v>
      </c>
      <c r="AF100" s="135">
        <v>0</v>
      </c>
      <c r="AG100" s="135">
        <v>77269</v>
      </c>
      <c r="AH100" s="135">
        <v>300000</v>
      </c>
      <c r="AI100" s="135">
        <v>800000</v>
      </c>
      <c r="AJ100" s="135"/>
      <c r="AK100" s="135">
        <v>102953874</v>
      </c>
      <c r="AL100" s="135">
        <v>2598416</v>
      </c>
      <c r="AM100" s="135"/>
      <c r="AN100" s="135">
        <v>16033061</v>
      </c>
      <c r="AO100" s="135">
        <v>217126</v>
      </c>
      <c r="AP100" s="135">
        <v>17253052</v>
      </c>
      <c r="AQ100" s="135">
        <v>10393052</v>
      </c>
      <c r="AR100" s="135">
        <v>11827298</v>
      </c>
      <c r="AS100" s="135">
        <v>154833</v>
      </c>
      <c r="AT100" s="135">
        <v>4364</v>
      </c>
      <c r="AU100" s="135"/>
      <c r="AV100" s="135"/>
      <c r="AW100" s="135"/>
      <c r="AX100" s="135">
        <v>6799191</v>
      </c>
      <c r="AY100" s="135">
        <v>99000</v>
      </c>
      <c r="AZ100" s="135">
        <v>5512024.6699999999</v>
      </c>
      <c r="BA100" s="135">
        <v>2866253</v>
      </c>
      <c r="BB100" s="135">
        <v>0</v>
      </c>
      <c r="BC100" s="135">
        <v>0</v>
      </c>
      <c r="BD100" s="135">
        <v>0</v>
      </c>
      <c r="BE100" s="135">
        <v>12650098</v>
      </c>
      <c r="BF100" s="135">
        <v>12650098</v>
      </c>
      <c r="BG100" s="135">
        <v>196467165</v>
      </c>
      <c r="BH100" s="135">
        <v>196455895</v>
      </c>
      <c r="BI100" s="135">
        <v>0</v>
      </c>
      <c r="BJ100" s="135">
        <v>0</v>
      </c>
      <c r="BK100" s="135"/>
      <c r="BL100" s="135">
        <v>801195673</v>
      </c>
      <c r="BM100" s="135">
        <v>483671137</v>
      </c>
      <c r="BN100" s="135">
        <v>984476</v>
      </c>
      <c r="BO100" s="135"/>
      <c r="BP100" s="135">
        <v>455927898</v>
      </c>
      <c r="BQ100" s="135">
        <v>102953874</v>
      </c>
      <c r="BR100" s="135">
        <v>2598416</v>
      </c>
      <c r="BS100" s="135">
        <v>26798072</v>
      </c>
      <c r="BT100" s="135">
        <v>588278260</v>
      </c>
    </row>
    <row r="101" spans="1:72" x14ac:dyDescent="0.25">
      <c r="A101" s="149" t="s">
        <v>155</v>
      </c>
      <c r="B101" s="135">
        <v>2703698325</v>
      </c>
      <c r="C101" s="135">
        <v>401574860</v>
      </c>
      <c r="D101" s="135">
        <v>948136404</v>
      </c>
      <c r="E101" s="135">
        <v>0</v>
      </c>
      <c r="F101" s="135">
        <v>211680989</v>
      </c>
      <c r="G101" s="135">
        <v>34540565</v>
      </c>
      <c r="H101" s="135">
        <v>35511335</v>
      </c>
      <c r="I101" s="135">
        <v>3795750</v>
      </c>
      <c r="J101" s="135">
        <v>202500</v>
      </c>
      <c r="K101" s="135">
        <v>0</v>
      </c>
      <c r="L101" s="135">
        <v>669600782</v>
      </c>
      <c r="M101" s="135">
        <v>284510200</v>
      </c>
      <c r="N101" s="135">
        <v>6449</v>
      </c>
      <c r="O101" s="135">
        <v>1092</v>
      </c>
      <c r="P101" s="135">
        <v>33217600</v>
      </c>
      <c r="Q101" s="135">
        <v>6324500</v>
      </c>
      <c r="R101" s="135">
        <v>8510000</v>
      </c>
      <c r="S101" s="135">
        <v>2304892</v>
      </c>
      <c r="T101" s="135">
        <v>257250</v>
      </c>
      <c r="U101" s="135">
        <v>1185560</v>
      </c>
      <c r="V101" s="135">
        <v>33217600</v>
      </c>
      <c r="W101" s="135">
        <v>6324500</v>
      </c>
      <c r="X101" s="135">
        <v>8510000</v>
      </c>
      <c r="Y101" s="135">
        <v>2304892</v>
      </c>
      <c r="Z101" s="135">
        <v>257250</v>
      </c>
      <c r="AA101" s="135">
        <v>1185560</v>
      </c>
      <c r="AB101" s="135">
        <v>-8849260</v>
      </c>
      <c r="AC101" s="135">
        <v>-118541</v>
      </c>
      <c r="AD101" s="135">
        <v>43774</v>
      </c>
      <c r="AE101" s="135">
        <v>0</v>
      </c>
      <c r="AF101" s="135">
        <v>0</v>
      </c>
      <c r="AG101" s="135">
        <v>299034</v>
      </c>
      <c r="AH101" s="135">
        <v>0</v>
      </c>
      <c r="AI101" s="135">
        <v>600500</v>
      </c>
      <c r="AJ101" s="135"/>
      <c r="AK101" s="135">
        <v>569242118</v>
      </c>
      <c r="AL101" s="135">
        <v>45520572</v>
      </c>
      <c r="AM101" s="135">
        <v>8027632</v>
      </c>
      <c r="AN101" s="135">
        <v>154983389</v>
      </c>
      <c r="AO101" s="135">
        <v>19450108</v>
      </c>
      <c r="AP101" s="135">
        <v>337504699</v>
      </c>
      <c r="AQ101" s="135">
        <v>150044511</v>
      </c>
      <c r="AR101" s="135">
        <v>136518822</v>
      </c>
      <c r="AS101" s="135">
        <v>48584514</v>
      </c>
      <c r="AT101" s="135">
        <v>24594108</v>
      </c>
      <c r="AU101" s="135"/>
      <c r="AV101" s="135">
        <v>202812</v>
      </c>
      <c r="AW101" s="135"/>
      <c r="AX101" s="135">
        <v>1978950</v>
      </c>
      <c r="AY101" s="135">
        <v>4834439</v>
      </c>
      <c r="AZ101" s="135">
        <v>30476527.739999998</v>
      </c>
      <c r="BA101" s="135">
        <v>15847794</v>
      </c>
      <c r="BB101" s="135">
        <v>0</v>
      </c>
      <c r="BC101" s="135">
        <v>5912086</v>
      </c>
      <c r="BD101" s="135">
        <v>11369396</v>
      </c>
      <c r="BE101" s="135">
        <v>104420239</v>
      </c>
      <c r="BF101" s="135">
        <v>104420239</v>
      </c>
      <c r="BG101" s="135">
        <v>177397896</v>
      </c>
      <c r="BH101" s="135">
        <v>160955693</v>
      </c>
      <c r="BI101" s="135">
        <v>0</v>
      </c>
      <c r="BJ101" s="135">
        <v>0</v>
      </c>
      <c r="BK101" s="135"/>
      <c r="BL101" s="135">
        <v>5280386599</v>
      </c>
      <c r="BM101" s="135">
        <v>4378488097</v>
      </c>
      <c r="BN101" s="135">
        <v>4387500</v>
      </c>
      <c r="BO101" s="135"/>
      <c r="BP101" s="135">
        <v>4053409589</v>
      </c>
      <c r="BQ101" s="135">
        <v>569242118</v>
      </c>
      <c r="BR101" s="135">
        <v>45520572</v>
      </c>
      <c r="BS101" s="135">
        <v>373062522</v>
      </c>
      <c r="BT101" s="135">
        <v>5041234801</v>
      </c>
    </row>
    <row r="102" spans="1:72" x14ac:dyDescent="0.25">
      <c r="A102" s="149" t="s">
        <v>156</v>
      </c>
      <c r="B102" s="135">
        <v>26085832</v>
      </c>
      <c r="C102" s="135">
        <v>43019815</v>
      </c>
      <c r="D102" s="135">
        <v>4465172</v>
      </c>
      <c r="E102" s="135">
        <v>0</v>
      </c>
      <c r="F102" s="135">
        <v>4482090</v>
      </c>
      <c r="G102" s="135">
        <v>1431500</v>
      </c>
      <c r="H102" s="135">
        <v>4200252</v>
      </c>
      <c r="I102" s="135">
        <v>1463167</v>
      </c>
      <c r="J102" s="135">
        <v>0</v>
      </c>
      <c r="K102" s="135">
        <v>0</v>
      </c>
      <c r="L102" s="135">
        <v>83857463</v>
      </c>
      <c r="M102" s="135">
        <v>26108360</v>
      </c>
      <c r="N102" s="135">
        <v>225</v>
      </c>
      <c r="O102" s="135">
        <v>78</v>
      </c>
      <c r="P102" s="135">
        <v>476910</v>
      </c>
      <c r="Q102" s="135">
        <v>764775</v>
      </c>
      <c r="R102" s="135">
        <v>206300</v>
      </c>
      <c r="S102" s="135">
        <v>213925</v>
      </c>
      <c r="T102" s="135">
        <v>91288</v>
      </c>
      <c r="U102" s="135">
        <v>56000</v>
      </c>
      <c r="V102" s="135">
        <v>476910</v>
      </c>
      <c r="W102" s="135">
        <v>764775</v>
      </c>
      <c r="X102" s="135">
        <v>206300</v>
      </c>
      <c r="Y102" s="135">
        <v>213925</v>
      </c>
      <c r="Z102" s="135">
        <v>188500</v>
      </c>
      <c r="AA102" s="135">
        <v>56000</v>
      </c>
      <c r="AB102" s="135">
        <v>-176300</v>
      </c>
      <c r="AC102" s="135">
        <v>0</v>
      </c>
      <c r="AD102" s="135">
        <v>0</v>
      </c>
      <c r="AE102" s="135">
        <v>0</v>
      </c>
      <c r="AF102" s="135">
        <v>0</v>
      </c>
      <c r="AG102" s="135">
        <v>0</v>
      </c>
      <c r="AH102" s="135">
        <v>0</v>
      </c>
      <c r="AI102" s="135">
        <v>0</v>
      </c>
      <c r="AJ102" s="135"/>
      <c r="AK102" s="135">
        <v>21632160</v>
      </c>
      <c r="AL102" s="135">
        <v>363053</v>
      </c>
      <c r="AM102" s="135"/>
      <c r="AN102" s="135">
        <v>1715583</v>
      </c>
      <c r="AO102" s="135">
        <v>8410</v>
      </c>
      <c r="AP102" s="135">
        <v>60944</v>
      </c>
      <c r="AQ102" s="135">
        <v>1949793</v>
      </c>
      <c r="AR102" s="135">
        <v>2047</v>
      </c>
      <c r="AS102" s="135"/>
      <c r="AT102" s="135">
        <v>103143</v>
      </c>
      <c r="AU102" s="135"/>
      <c r="AV102" s="135"/>
      <c r="AW102" s="135"/>
      <c r="AX102" s="135"/>
      <c r="AY102" s="135"/>
      <c r="AZ102" s="135">
        <v>1158159.43</v>
      </c>
      <c r="BA102" s="135">
        <v>602243</v>
      </c>
      <c r="BB102" s="135">
        <v>0</v>
      </c>
      <c r="BC102" s="135">
        <v>0</v>
      </c>
      <c r="BD102" s="135">
        <v>0</v>
      </c>
      <c r="BE102" s="135">
        <v>12426909</v>
      </c>
      <c r="BF102" s="135">
        <v>12426909</v>
      </c>
      <c r="BG102" s="135">
        <v>10859551</v>
      </c>
      <c r="BH102" s="135">
        <v>10858119</v>
      </c>
      <c r="BI102" s="135">
        <v>0</v>
      </c>
      <c r="BJ102" s="135">
        <v>0</v>
      </c>
      <c r="BK102" s="135"/>
      <c r="BL102" s="135">
        <v>123127089</v>
      </c>
      <c r="BM102" s="135">
        <v>77244605</v>
      </c>
      <c r="BN102" s="135">
        <v>73353</v>
      </c>
      <c r="BO102" s="135"/>
      <c r="BP102" s="135">
        <v>73570819</v>
      </c>
      <c r="BQ102" s="135">
        <v>21632160</v>
      </c>
      <c r="BR102" s="135">
        <v>363053</v>
      </c>
      <c r="BS102" s="135">
        <v>3673786</v>
      </c>
      <c r="BT102" s="135">
        <v>99239818</v>
      </c>
    </row>
    <row r="103" spans="1:72" x14ac:dyDescent="0.25">
      <c r="A103" s="149" t="s">
        <v>157</v>
      </c>
      <c r="B103" s="135">
        <v>323163627</v>
      </c>
      <c r="C103" s="135">
        <v>115490101</v>
      </c>
      <c r="D103" s="135">
        <v>96313179</v>
      </c>
      <c r="E103" s="135">
        <v>0</v>
      </c>
      <c r="F103" s="135">
        <v>48493500</v>
      </c>
      <c r="G103" s="135">
        <v>13799450</v>
      </c>
      <c r="H103" s="135">
        <v>14251300</v>
      </c>
      <c r="I103" s="135">
        <v>2075100</v>
      </c>
      <c r="J103" s="135">
        <v>0</v>
      </c>
      <c r="K103" s="135">
        <v>0</v>
      </c>
      <c r="L103" s="135">
        <v>189970507</v>
      </c>
      <c r="M103" s="135">
        <v>87893500</v>
      </c>
      <c r="N103" s="135">
        <v>1664</v>
      </c>
      <c r="O103" s="135">
        <v>454</v>
      </c>
      <c r="P103" s="135">
        <v>4929850</v>
      </c>
      <c r="Q103" s="135">
        <v>106900</v>
      </c>
      <c r="R103" s="135">
        <v>1032500</v>
      </c>
      <c r="S103" s="135">
        <v>1797970</v>
      </c>
      <c r="T103" s="135">
        <v>207400</v>
      </c>
      <c r="U103" s="135">
        <v>390500</v>
      </c>
      <c r="V103" s="135">
        <v>4929850</v>
      </c>
      <c r="W103" s="135">
        <v>106900</v>
      </c>
      <c r="X103" s="135">
        <v>1032500</v>
      </c>
      <c r="Y103" s="135">
        <v>1797970</v>
      </c>
      <c r="Z103" s="135">
        <v>367950</v>
      </c>
      <c r="AA103" s="135">
        <v>390500</v>
      </c>
      <c r="AB103" s="135">
        <v>-4041750</v>
      </c>
      <c r="AC103" s="135">
        <v>0</v>
      </c>
      <c r="AD103" s="135">
        <v>0</v>
      </c>
      <c r="AE103" s="135">
        <v>0</v>
      </c>
      <c r="AF103" s="135">
        <v>0</v>
      </c>
      <c r="AG103" s="135">
        <v>0</v>
      </c>
      <c r="AH103" s="135">
        <v>20000</v>
      </c>
      <c r="AI103" s="135">
        <v>680000</v>
      </c>
      <c r="AJ103" s="135"/>
      <c r="AK103" s="135">
        <v>119017086</v>
      </c>
      <c r="AL103" s="135">
        <v>3893015</v>
      </c>
      <c r="AM103" s="135"/>
      <c r="AN103" s="135">
        <v>17953388</v>
      </c>
      <c r="AO103" s="135">
        <v>114985</v>
      </c>
      <c r="AP103" s="135">
        <v>10337014</v>
      </c>
      <c r="AQ103" s="135">
        <v>7148634</v>
      </c>
      <c r="AR103" s="135">
        <v>2781993</v>
      </c>
      <c r="AS103" s="135"/>
      <c r="AT103" s="135">
        <v>17600</v>
      </c>
      <c r="AU103" s="135"/>
      <c r="AV103" s="135"/>
      <c r="AW103" s="135"/>
      <c r="AX103" s="135">
        <v>338553</v>
      </c>
      <c r="AY103" s="135"/>
      <c r="AZ103" s="135">
        <v>6372029.4199999999</v>
      </c>
      <c r="BA103" s="135">
        <v>3313455</v>
      </c>
      <c r="BB103" s="135">
        <v>0</v>
      </c>
      <c r="BC103" s="135">
        <v>2974857</v>
      </c>
      <c r="BD103" s="135">
        <v>5720879</v>
      </c>
      <c r="BE103" s="135">
        <v>13640495</v>
      </c>
      <c r="BF103" s="135">
        <v>13640495</v>
      </c>
      <c r="BG103" s="135">
        <v>47723875</v>
      </c>
      <c r="BH103" s="135">
        <v>43631767</v>
      </c>
      <c r="BI103" s="135">
        <v>0</v>
      </c>
      <c r="BJ103" s="135">
        <v>0</v>
      </c>
      <c r="BK103" s="135"/>
      <c r="BL103" s="135">
        <v>747354589</v>
      </c>
      <c r="BM103" s="135">
        <v>560883914</v>
      </c>
      <c r="BN103" s="135">
        <v>1487026</v>
      </c>
      <c r="BO103" s="135"/>
      <c r="BP103" s="135">
        <v>534966907</v>
      </c>
      <c r="BQ103" s="135">
        <v>119017086</v>
      </c>
      <c r="BR103" s="135">
        <v>3893015</v>
      </c>
      <c r="BS103" s="135">
        <v>25217007</v>
      </c>
      <c r="BT103" s="135">
        <v>683094015</v>
      </c>
    </row>
    <row r="104" spans="1:72" x14ac:dyDescent="0.25">
      <c r="A104" s="149" t="s">
        <v>158</v>
      </c>
      <c r="B104" s="135">
        <v>637083864</v>
      </c>
      <c r="C104" s="135">
        <v>186465011</v>
      </c>
      <c r="D104" s="135">
        <v>376434249</v>
      </c>
      <c r="E104" s="135">
        <v>0</v>
      </c>
      <c r="F104" s="135">
        <v>61783109</v>
      </c>
      <c r="G104" s="135">
        <v>10794454</v>
      </c>
      <c r="H104" s="135">
        <v>17301274</v>
      </c>
      <c r="I104" s="135">
        <v>1319242</v>
      </c>
      <c r="J104" s="135">
        <v>0</v>
      </c>
      <c r="K104" s="135">
        <v>0</v>
      </c>
      <c r="L104" s="135">
        <v>125425519</v>
      </c>
      <c r="M104" s="135">
        <v>85848152</v>
      </c>
      <c r="N104" s="135">
        <v>2082</v>
      </c>
      <c r="O104" s="135">
        <v>361</v>
      </c>
      <c r="P104" s="135">
        <v>6373614</v>
      </c>
      <c r="Q104" s="135">
        <v>10337938</v>
      </c>
      <c r="R104" s="135">
        <v>8028978</v>
      </c>
      <c r="S104" s="135">
        <v>3304305</v>
      </c>
      <c r="T104" s="135">
        <v>2578214</v>
      </c>
      <c r="U104" s="135">
        <v>1158361</v>
      </c>
      <c r="V104" s="135">
        <v>6373614</v>
      </c>
      <c r="W104" s="135">
        <v>10923304</v>
      </c>
      <c r="X104" s="135">
        <v>8028978</v>
      </c>
      <c r="Y104" s="135">
        <v>3304305</v>
      </c>
      <c r="Z104" s="135">
        <v>3907651</v>
      </c>
      <c r="AA104" s="135">
        <v>1158361</v>
      </c>
      <c r="AB104" s="135">
        <v>-4603455</v>
      </c>
      <c r="AC104" s="135">
        <v>908873</v>
      </c>
      <c r="AD104" s="135">
        <v>53528</v>
      </c>
      <c r="AE104" s="135">
        <v>0</v>
      </c>
      <c r="AF104" s="135">
        <v>0</v>
      </c>
      <c r="AG104" s="135">
        <v>94085.641000000003</v>
      </c>
      <c r="AH104" s="135">
        <v>0</v>
      </c>
      <c r="AI104" s="135">
        <v>70800</v>
      </c>
      <c r="AJ104" s="135"/>
      <c r="AK104" s="135">
        <v>182454676</v>
      </c>
      <c r="AL104" s="135">
        <v>7539569</v>
      </c>
      <c r="AM104" s="135">
        <v>1020895</v>
      </c>
      <c r="AN104" s="135">
        <v>58237568</v>
      </c>
      <c r="AO104" s="135">
        <v>2120363</v>
      </c>
      <c r="AP104" s="135">
        <v>98482526</v>
      </c>
      <c r="AQ104" s="135">
        <v>49889947</v>
      </c>
      <c r="AR104" s="135">
        <v>54981932</v>
      </c>
      <c r="AS104" s="135">
        <v>32426928</v>
      </c>
      <c r="AT104" s="135">
        <v>37634392</v>
      </c>
      <c r="AU104" s="135"/>
      <c r="AV104" s="135"/>
      <c r="AW104" s="135"/>
      <c r="AX104" s="135">
        <v>212382</v>
      </c>
      <c r="AY104" s="135">
        <v>114500</v>
      </c>
      <c r="AZ104" s="135">
        <v>9768400.5099999998</v>
      </c>
      <c r="BA104" s="135">
        <v>5079568</v>
      </c>
      <c r="BB104" s="135">
        <v>0</v>
      </c>
      <c r="BC104" s="135">
        <v>0</v>
      </c>
      <c r="BD104" s="135">
        <v>0</v>
      </c>
      <c r="BE104" s="135">
        <v>31324282</v>
      </c>
      <c r="BF104" s="135">
        <v>31324282</v>
      </c>
      <c r="BG104" s="135">
        <v>175837406</v>
      </c>
      <c r="BH104" s="135">
        <v>175685991</v>
      </c>
      <c r="BI104" s="135">
        <v>0</v>
      </c>
      <c r="BJ104" s="135">
        <v>0</v>
      </c>
      <c r="BK104" s="135"/>
      <c r="BL104" s="135">
        <v>1712385888</v>
      </c>
      <c r="BM104" s="135">
        <v>1310301802</v>
      </c>
      <c r="BN104" s="135">
        <v>649702</v>
      </c>
      <c r="BO104" s="135"/>
      <c r="BP104" s="135">
        <v>1199983124</v>
      </c>
      <c r="BQ104" s="135">
        <v>182454676</v>
      </c>
      <c r="BR104" s="135">
        <v>7539569</v>
      </c>
      <c r="BS104" s="135">
        <v>142674806</v>
      </c>
      <c r="BT104" s="135">
        <v>1532652175</v>
      </c>
    </row>
    <row r="105" spans="1:72" x14ac:dyDescent="0.25">
      <c r="A105" s="149" t="s">
        <v>159</v>
      </c>
      <c r="B105" s="135">
        <v>670319997</v>
      </c>
      <c r="C105" s="135">
        <v>143933857</v>
      </c>
      <c r="D105" s="135">
        <v>226313790</v>
      </c>
      <c r="E105" s="135">
        <v>0</v>
      </c>
      <c r="F105" s="135">
        <v>65608950</v>
      </c>
      <c r="G105" s="135">
        <v>11108750</v>
      </c>
      <c r="H105" s="135">
        <v>17324300</v>
      </c>
      <c r="I105" s="135">
        <v>1330400</v>
      </c>
      <c r="J105" s="135">
        <v>243000</v>
      </c>
      <c r="K105" s="135">
        <v>0</v>
      </c>
      <c r="L105" s="135">
        <v>293543345</v>
      </c>
      <c r="M105" s="135">
        <v>113061427</v>
      </c>
      <c r="N105" s="135">
        <v>2182</v>
      </c>
      <c r="O105" s="135">
        <v>373</v>
      </c>
      <c r="P105" s="135">
        <v>15258075</v>
      </c>
      <c r="Q105" s="135">
        <v>3332535</v>
      </c>
      <c r="R105" s="135">
        <v>5048000</v>
      </c>
      <c r="S105" s="135">
        <v>5420168</v>
      </c>
      <c r="T105" s="135">
        <v>1281900</v>
      </c>
      <c r="U105" s="135">
        <v>497830</v>
      </c>
      <c r="V105" s="135">
        <v>15258075</v>
      </c>
      <c r="W105" s="135">
        <v>3150000</v>
      </c>
      <c r="X105" s="135">
        <v>5048000</v>
      </c>
      <c r="Y105" s="135">
        <v>5420168</v>
      </c>
      <c r="Z105" s="135">
        <v>2728500</v>
      </c>
      <c r="AA105" s="135">
        <v>497830</v>
      </c>
      <c r="AB105" s="135">
        <v>-2955920</v>
      </c>
      <c r="AC105" s="135">
        <v>-355496</v>
      </c>
      <c r="AD105" s="135">
        <v>0</v>
      </c>
      <c r="AE105" s="135">
        <v>0</v>
      </c>
      <c r="AF105" s="135">
        <v>0</v>
      </c>
      <c r="AG105" s="135">
        <v>0</v>
      </c>
      <c r="AH105" s="135">
        <v>115000</v>
      </c>
      <c r="AI105" s="135">
        <v>0</v>
      </c>
      <c r="AJ105" s="135"/>
      <c r="AK105" s="135">
        <v>138250910</v>
      </c>
      <c r="AL105" s="135">
        <v>33268969</v>
      </c>
      <c r="AM105" s="135">
        <v>25255128</v>
      </c>
      <c r="AN105" s="135">
        <v>28384341</v>
      </c>
      <c r="AO105" s="135">
        <v>4022454</v>
      </c>
      <c r="AP105" s="135">
        <v>114256104</v>
      </c>
      <c r="AQ105" s="135">
        <v>36330671</v>
      </c>
      <c r="AR105" s="135">
        <v>50891895</v>
      </c>
      <c r="AS105" s="135">
        <v>43069481</v>
      </c>
      <c r="AT105" s="135">
        <v>1548909</v>
      </c>
      <c r="AU105" s="135"/>
      <c r="AV105" s="135"/>
      <c r="AW105" s="135"/>
      <c r="AX105" s="135">
        <v>60690</v>
      </c>
      <c r="AY105" s="135">
        <v>366000</v>
      </c>
      <c r="AZ105" s="135">
        <v>7401784.8600000003</v>
      </c>
      <c r="BA105" s="135">
        <v>3848928</v>
      </c>
      <c r="BB105" s="135">
        <v>0</v>
      </c>
      <c r="BC105" s="135">
        <v>0</v>
      </c>
      <c r="BD105" s="135">
        <v>0</v>
      </c>
      <c r="BE105" s="135">
        <v>2305972</v>
      </c>
      <c r="BF105" s="135">
        <v>2305972</v>
      </c>
      <c r="BG105" s="135">
        <v>79693922</v>
      </c>
      <c r="BH105" s="135">
        <v>79595849</v>
      </c>
      <c r="BI105" s="135">
        <v>0</v>
      </c>
      <c r="BJ105" s="135">
        <v>0</v>
      </c>
      <c r="BK105" s="135"/>
      <c r="BL105" s="135">
        <v>1366690738</v>
      </c>
      <c r="BM105" s="135">
        <v>1109420110</v>
      </c>
      <c r="BN105" s="135">
        <v>5029100</v>
      </c>
      <c r="BO105" s="135"/>
      <c r="BP105" s="135">
        <v>1040567644</v>
      </c>
      <c r="BQ105" s="135">
        <v>138250910</v>
      </c>
      <c r="BR105" s="135">
        <v>33268969</v>
      </c>
      <c r="BS105" s="135">
        <v>111806947</v>
      </c>
      <c r="BT105" s="135">
        <v>1323894470</v>
      </c>
    </row>
    <row r="106" spans="1:72" x14ac:dyDescent="0.25">
      <c r="A106" s="149" t="s">
        <v>160</v>
      </c>
      <c r="B106" s="135">
        <v>3725998253</v>
      </c>
      <c r="C106" s="135">
        <v>458581878</v>
      </c>
      <c r="D106" s="135">
        <v>1501438756</v>
      </c>
      <c r="E106" s="135">
        <v>0</v>
      </c>
      <c r="F106" s="135">
        <v>135301868</v>
      </c>
      <c r="G106" s="135">
        <v>7284903</v>
      </c>
      <c r="H106" s="135">
        <v>19749800</v>
      </c>
      <c r="I106" s="135">
        <v>841890</v>
      </c>
      <c r="J106" s="135">
        <v>0</v>
      </c>
      <c r="K106" s="135">
        <v>0</v>
      </c>
      <c r="L106" s="135">
        <v>835016664</v>
      </c>
      <c r="M106" s="135">
        <v>334447882</v>
      </c>
      <c r="N106" s="135">
        <v>3854</v>
      </c>
      <c r="O106" s="135">
        <v>206</v>
      </c>
      <c r="P106" s="135">
        <v>101313017</v>
      </c>
      <c r="Q106" s="135">
        <v>922946</v>
      </c>
      <c r="R106" s="135">
        <v>30489203</v>
      </c>
      <c r="S106" s="135">
        <v>1353668</v>
      </c>
      <c r="T106" s="135">
        <v>915143</v>
      </c>
      <c r="U106" s="135">
        <v>609288</v>
      </c>
      <c r="V106" s="135">
        <v>101313017</v>
      </c>
      <c r="W106" s="135">
        <v>11703638</v>
      </c>
      <c r="X106" s="135">
        <v>30489203</v>
      </c>
      <c r="Y106" s="135">
        <v>1353668</v>
      </c>
      <c r="Z106" s="135">
        <v>6759486</v>
      </c>
      <c r="AA106" s="135">
        <v>609288</v>
      </c>
      <c r="AB106" s="135">
        <v>-106351</v>
      </c>
      <c r="AC106" s="135"/>
      <c r="AD106" s="135">
        <v>0</v>
      </c>
      <c r="AE106" s="135">
        <v>0</v>
      </c>
      <c r="AF106" s="135">
        <v>0</v>
      </c>
      <c r="AG106" s="135">
        <v>145765.81020000001</v>
      </c>
      <c r="AH106" s="135">
        <v>0</v>
      </c>
      <c r="AI106" s="135">
        <v>527470</v>
      </c>
      <c r="AJ106" s="135"/>
      <c r="AK106" s="135">
        <v>567614470</v>
      </c>
      <c r="AL106" s="135">
        <v>12713066</v>
      </c>
      <c r="AM106" s="135"/>
      <c r="AN106" s="135">
        <v>118719118</v>
      </c>
      <c r="AO106" s="135">
        <v>20952485</v>
      </c>
      <c r="AP106" s="135">
        <v>611600664</v>
      </c>
      <c r="AQ106" s="135">
        <v>142997808</v>
      </c>
      <c r="AR106" s="135">
        <v>195723252</v>
      </c>
      <c r="AS106" s="135">
        <v>14988278</v>
      </c>
      <c r="AT106" s="135">
        <v>2087607815</v>
      </c>
      <c r="AU106" s="135"/>
      <c r="AV106" s="135">
        <v>384323</v>
      </c>
      <c r="AW106" s="135"/>
      <c r="AX106" s="135">
        <v>3738656</v>
      </c>
      <c r="AY106" s="135">
        <v>12894194</v>
      </c>
      <c r="AZ106" s="135">
        <v>30389385.449999999</v>
      </c>
      <c r="BA106" s="135">
        <v>15802480</v>
      </c>
      <c r="BB106" s="135">
        <v>0</v>
      </c>
      <c r="BC106" s="135">
        <v>4841521</v>
      </c>
      <c r="BD106" s="135">
        <v>9310617</v>
      </c>
      <c r="BE106" s="135">
        <v>99217970</v>
      </c>
      <c r="BF106" s="135">
        <v>99158221</v>
      </c>
      <c r="BG106" s="135">
        <v>130187384</v>
      </c>
      <c r="BH106" s="135">
        <v>120999426</v>
      </c>
      <c r="BI106" s="135">
        <v>0</v>
      </c>
      <c r="BJ106" s="135">
        <v>0</v>
      </c>
      <c r="BK106" s="135"/>
      <c r="BL106" s="135">
        <v>6790344952</v>
      </c>
      <c r="BM106" s="135">
        <v>5969215768</v>
      </c>
      <c r="BN106" s="135">
        <v>7414350</v>
      </c>
      <c r="BO106" s="135"/>
      <c r="BP106" s="135">
        <v>5686018887</v>
      </c>
      <c r="BQ106" s="135">
        <v>567614470</v>
      </c>
      <c r="BR106" s="135">
        <v>12713066</v>
      </c>
      <c r="BS106" s="135">
        <v>297657689</v>
      </c>
      <c r="BT106" s="135">
        <v>6564004112</v>
      </c>
    </row>
    <row r="107" spans="1:72" x14ac:dyDescent="0.25">
      <c r="A107" s="149" t="s">
        <v>161</v>
      </c>
      <c r="B107" s="135">
        <v>2780854922</v>
      </c>
      <c r="C107" s="135">
        <v>778407059</v>
      </c>
      <c r="D107" s="135">
        <v>715083286</v>
      </c>
      <c r="E107" s="135">
        <v>69042280</v>
      </c>
      <c r="F107" s="135">
        <v>120519660</v>
      </c>
      <c r="G107" s="135">
        <v>14673150</v>
      </c>
      <c r="H107" s="135">
        <v>27403050</v>
      </c>
      <c r="I107" s="135">
        <v>2370100</v>
      </c>
      <c r="J107" s="135">
        <v>81000</v>
      </c>
      <c r="K107" s="135">
        <v>0</v>
      </c>
      <c r="L107" s="135">
        <v>901117094</v>
      </c>
      <c r="M107" s="135">
        <v>532548986</v>
      </c>
      <c r="N107" s="135">
        <v>3664</v>
      </c>
      <c r="O107" s="135">
        <v>423</v>
      </c>
      <c r="P107" s="135">
        <v>85866508</v>
      </c>
      <c r="Q107" s="135">
        <v>28753739</v>
      </c>
      <c r="R107" s="135">
        <v>11510464</v>
      </c>
      <c r="S107" s="135">
        <v>2864882</v>
      </c>
      <c r="T107" s="135">
        <v>9844082</v>
      </c>
      <c r="U107" s="135">
        <v>4155000</v>
      </c>
      <c r="V107" s="135">
        <v>85866508</v>
      </c>
      <c r="W107" s="135">
        <v>30330519</v>
      </c>
      <c r="X107" s="135">
        <v>11510464</v>
      </c>
      <c r="Y107" s="135">
        <v>2864882</v>
      </c>
      <c r="Z107" s="135">
        <v>25214658</v>
      </c>
      <c r="AA107" s="135">
        <v>4155000</v>
      </c>
      <c r="AB107" s="135">
        <v>-14718617</v>
      </c>
      <c r="AC107" s="135">
        <v>-86840</v>
      </c>
      <c r="AD107" s="135">
        <v>0</v>
      </c>
      <c r="AE107" s="135">
        <v>0</v>
      </c>
      <c r="AF107" s="135">
        <v>41215798</v>
      </c>
      <c r="AG107" s="135">
        <v>232292</v>
      </c>
      <c r="AH107" s="135">
        <v>0</v>
      </c>
      <c r="AI107" s="135">
        <v>0</v>
      </c>
      <c r="AJ107" s="135"/>
      <c r="AK107" s="135">
        <v>482714235</v>
      </c>
      <c r="AL107" s="135">
        <v>12780410</v>
      </c>
      <c r="AM107" s="135">
        <v>120000</v>
      </c>
      <c r="AN107" s="135">
        <v>165820998</v>
      </c>
      <c r="AO107" s="135">
        <v>17440549</v>
      </c>
      <c r="AP107" s="135">
        <v>385562159</v>
      </c>
      <c r="AQ107" s="135">
        <v>126936890</v>
      </c>
      <c r="AR107" s="135">
        <v>146039360</v>
      </c>
      <c r="AS107" s="135">
        <v>75630319</v>
      </c>
      <c r="AT107" s="135">
        <v>14902258</v>
      </c>
      <c r="AU107" s="135"/>
      <c r="AV107" s="135"/>
      <c r="AW107" s="135">
        <v>18468523</v>
      </c>
      <c r="AX107" s="135">
        <v>678125</v>
      </c>
      <c r="AY107" s="135">
        <v>348760</v>
      </c>
      <c r="AZ107" s="135">
        <v>25843930.57</v>
      </c>
      <c r="BA107" s="135">
        <v>13438844</v>
      </c>
      <c r="BB107" s="135">
        <v>0</v>
      </c>
      <c r="BC107" s="135">
        <v>5723944</v>
      </c>
      <c r="BD107" s="135">
        <v>11007585</v>
      </c>
      <c r="BE107" s="135">
        <v>104081270</v>
      </c>
      <c r="BF107" s="135">
        <v>103429561</v>
      </c>
      <c r="BG107" s="135">
        <v>131226737</v>
      </c>
      <c r="BH107" s="135">
        <v>124818885</v>
      </c>
      <c r="BI107" s="135">
        <v>103990079</v>
      </c>
      <c r="BJ107" s="135">
        <v>0</v>
      </c>
      <c r="BK107" s="135"/>
      <c r="BL107" s="135">
        <v>5431439662</v>
      </c>
      <c r="BM107" s="135">
        <v>4584543704</v>
      </c>
      <c r="BN107" s="135">
        <v>2340564</v>
      </c>
      <c r="BO107" s="135"/>
      <c r="BP107" s="135">
        <v>4274345267</v>
      </c>
      <c r="BQ107" s="135">
        <v>482714235</v>
      </c>
      <c r="BR107" s="135">
        <v>12780410</v>
      </c>
      <c r="BS107" s="135">
        <v>385828756</v>
      </c>
      <c r="BT107" s="135">
        <v>5155668668</v>
      </c>
    </row>
    <row r="108" spans="1:72" x14ac:dyDescent="0.25">
      <c r="A108" s="149" t="s">
        <v>162</v>
      </c>
      <c r="B108" s="135">
        <v>843246799</v>
      </c>
      <c r="C108" s="135">
        <v>221478335</v>
      </c>
      <c r="D108" s="135">
        <v>431675016</v>
      </c>
      <c r="E108" s="135">
        <v>20942766</v>
      </c>
      <c r="F108" s="135">
        <v>59776900</v>
      </c>
      <c r="G108" s="135">
        <v>4188400</v>
      </c>
      <c r="H108" s="135">
        <v>8514000</v>
      </c>
      <c r="I108" s="135">
        <v>363500</v>
      </c>
      <c r="J108" s="135">
        <v>121500</v>
      </c>
      <c r="K108" s="135">
        <v>0</v>
      </c>
      <c r="L108" s="135">
        <v>623451870</v>
      </c>
      <c r="M108" s="135">
        <v>102501000</v>
      </c>
      <c r="N108" s="135">
        <v>1711</v>
      </c>
      <c r="O108" s="135">
        <v>115</v>
      </c>
      <c r="P108" s="135">
        <v>25612740</v>
      </c>
      <c r="Q108" s="135">
        <v>1611150</v>
      </c>
      <c r="R108" s="135">
        <v>6210900</v>
      </c>
      <c r="S108" s="135">
        <v>2843847</v>
      </c>
      <c r="T108" s="135">
        <v>1525800</v>
      </c>
      <c r="U108" s="135">
        <v>4399136</v>
      </c>
      <c r="V108" s="135">
        <v>25612740</v>
      </c>
      <c r="W108" s="135">
        <v>2111020</v>
      </c>
      <c r="X108" s="135">
        <v>6210900</v>
      </c>
      <c r="Y108" s="135">
        <v>2843847</v>
      </c>
      <c r="Z108" s="135">
        <v>3300935</v>
      </c>
      <c r="AA108" s="135">
        <v>4399136</v>
      </c>
      <c r="AB108" s="135">
        <v>-8957010</v>
      </c>
      <c r="AC108" s="135">
        <v>-33398771</v>
      </c>
      <c r="AD108" s="135">
        <v>0</v>
      </c>
      <c r="AE108" s="135">
        <v>0</v>
      </c>
      <c r="AF108" s="135">
        <v>0</v>
      </c>
      <c r="AG108" s="135">
        <v>0</v>
      </c>
      <c r="AH108" s="135">
        <v>47000</v>
      </c>
      <c r="AI108" s="135">
        <v>400000</v>
      </c>
      <c r="AJ108" s="135"/>
      <c r="AK108" s="135">
        <v>172753685</v>
      </c>
      <c r="AL108" s="135">
        <v>4440690</v>
      </c>
      <c r="AM108" s="135"/>
      <c r="AN108" s="135">
        <v>110929360</v>
      </c>
      <c r="AO108" s="135">
        <v>13320274</v>
      </c>
      <c r="AP108" s="135">
        <v>297062418</v>
      </c>
      <c r="AQ108" s="135">
        <v>73630627</v>
      </c>
      <c r="AR108" s="135">
        <v>98706326</v>
      </c>
      <c r="AS108" s="135">
        <v>89054483</v>
      </c>
      <c r="AT108" s="135">
        <v>25056447</v>
      </c>
      <c r="AU108" s="135"/>
      <c r="AV108" s="135">
        <v>605196</v>
      </c>
      <c r="AW108" s="135">
        <v>17300251</v>
      </c>
      <c r="AX108" s="135">
        <v>33941</v>
      </c>
      <c r="AY108" s="135">
        <v>87500</v>
      </c>
      <c r="AZ108" s="135">
        <v>9249021.3000000007</v>
      </c>
      <c r="BA108" s="135">
        <v>4809491</v>
      </c>
      <c r="BB108" s="135">
        <v>0</v>
      </c>
      <c r="BC108" s="135">
        <v>972436</v>
      </c>
      <c r="BD108" s="135">
        <v>1870069</v>
      </c>
      <c r="BE108" s="135">
        <v>29550627</v>
      </c>
      <c r="BF108" s="135">
        <v>29550627</v>
      </c>
      <c r="BG108" s="135">
        <v>30407014</v>
      </c>
      <c r="BH108" s="135">
        <v>27922747</v>
      </c>
      <c r="BI108" s="135">
        <v>8106</v>
      </c>
      <c r="BJ108" s="135">
        <v>10727116</v>
      </c>
      <c r="BK108" s="135"/>
      <c r="BL108" s="135">
        <v>1945912309</v>
      </c>
      <c r="BM108" s="135">
        <v>1694727411</v>
      </c>
      <c r="BN108" s="135">
        <v>1477486</v>
      </c>
      <c r="BO108" s="135"/>
      <c r="BP108" s="135">
        <v>1496400150</v>
      </c>
      <c r="BQ108" s="135">
        <v>172753685</v>
      </c>
      <c r="BR108" s="135">
        <v>4440690</v>
      </c>
      <c r="BS108" s="135">
        <v>286934744</v>
      </c>
      <c r="BT108" s="135">
        <v>1960529269</v>
      </c>
    </row>
    <row r="109" spans="1:72" x14ac:dyDescent="0.25">
      <c r="A109" s="149" t="s">
        <v>163</v>
      </c>
      <c r="B109" s="135">
        <v>1338461767</v>
      </c>
      <c r="C109" s="135">
        <v>250712950</v>
      </c>
      <c r="D109" s="135">
        <v>72322183</v>
      </c>
      <c r="E109" s="135">
        <v>0</v>
      </c>
      <c r="F109" s="135">
        <v>56918200</v>
      </c>
      <c r="G109" s="135">
        <v>6773600</v>
      </c>
      <c r="H109" s="135">
        <v>14512050</v>
      </c>
      <c r="I109" s="135">
        <v>1588500</v>
      </c>
      <c r="J109" s="135">
        <v>146500</v>
      </c>
      <c r="K109" s="135">
        <v>0</v>
      </c>
      <c r="L109" s="135">
        <v>425007620</v>
      </c>
      <c r="M109" s="135">
        <v>199278530</v>
      </c>
      <c r="N109" s="135">
        <v>1784</v>
      </c>
      <c r="O109" s="135">
        <v>209</v>
      </c>
      <c r="P109" s="135">
        <v>48150726</v>
      </c>
      <c r="Q109" s="135">
        <v>10818381</v>
      </c>
      <c r="R109" s="135">
        <v>190000</v>
      </c>
      <c r="S109" s="135">
        <v>1747282</v>
      </c>
      <c r="T109" s="135">
        <v>1444123</v>
      </c>
      <c r="U109" s="135">
        <v>36500</v>
      </c>
      <c r="V109" s="135">
        <v>48150726</v>
      </c>
      <c r="W109" s="135">
        <v>13013418</v>
      </c>
      <c r="X109" s="135">
        <v>190000</v>
      </c>
      <c r="Y109" s="135">
        <v>1747282</v>
      </c>
      <c r="Z109" s="135">
        <v>2537213</v>
      </c>
      <c r="AA109" s="135">
        <v>36500</v>
      </c>
      <c r="AB109" s="135">
        <v>-2612105</v>
      </c>
      <c r="AC109" s="135">
        <v>997879</v>
      </c>
      <c r="AD109" s="135">
        <v>7715</v>
      </c>
      <c r="AE109" s="135">
        <v>0</v>
      </c>
      <c r="AF109" s="135">
        <v>398670075</v>
      </c>
      <c r="AG109" s="135">
        <v>133950</v>
      </c>
      <c r="AH109" s="135">
        <v>0</v>
      </c>
      <c r="AI109" s="135">
        <v>0</v>
      </c>
      <c r="AJ109" s="135"/>
      <c r="AK109" s="135">
        <v>211783895</v>
      </c>
      <c r="AL109" s="135">
        <v>12192427</v>
      </c>
      <c r="AM109" s="135">
        <v>361900</v>
      </c>
      <c r="AN109" s="135">
        <v>7579196</v>
      </c>
      <c r="AO109" s="135">
        <v>102911</v>
      </c>
      <c r="AP109" s="135">
        <v>408431</v>
      </c>
      <c r="AQ109" s="135">
        <v>6545322</v>
      </c>
      <c r="AR109" s="135">
        <v>396498</v>
      </c>
      <c r="AS109" s="135"/>
      <c r="AT109" s="135">
        <v>645412</v>
      </c>
      <c r="AU109" s="135"/>
      <c r="AV109" s="135"/>
      <c r="AW109" s="135"/>
      <c r="AX109" s="135">
        <v>12187</v>
      </c>
      <c r="AY109" s="135">
        <v>263500</v>
      </c>
      <c r="AZ109" s="135">
        <v>11338651.07</v>
      </c>
      <c r="BA109" s="135">
        <v>5896099</v>
      </c>
      <c r="BB109" s="135">
        <v>0</v>
      </c>
      <c r="BC109" s="135">
        <v>0</v>
      </c>
      <c r="BD109" s="135">
        <v>0</v>
      </c>
      <c r="BE109" s="135">
        <v>3702969</v>
      </c>
      <c r="BF109" s="135">
        <v>3702969</v>
      </c>
      <c r="BG109" s="135">
        <v>24120230</v>
      </c>
      <c r="BH109" s="135">
        <v>24115934</v>
      </c>
      <c r="BI109" s="135">
        <v>0</v>
      </c>
      <c r="BJ109" s="135">
        <v>0</v>
      </c>
      <c r="BK109" s="135"/>
      <c r="BL109" s="135">
        <v>1933415653</v>
      </c>
      <c r="BM109" s="135">
        <v>1675724329</v>
      </c>
      <c r="BN109" s="135">
        <v>1291625</v>
      </c>
      <c r="BO109" s="135"/>
      <c r="BP109" s="135">
        <v>1661496900</v>
      </c>
      <c r="BQ109" s="135">
        <v>211783895</v>
      </c>
      <c r="BR109" s="135">
        <v>12192427</v>
      </c>
      <c r="BS109" s="135">
        <v>14227429</v>
      </c>
      <c r="BT109" s="135">
        <v>1899700651</v>
      </c>
    </row>
    <row r="110" spans="1:72" x14ac:dyDescent="0.25">
      <c r="A110" s="149" t="s">
        <v>164</v>
      </c>
      <c r="B110" s="135">
        <v>781418800</v>
      </c>
      <c r="C110" s="135">
        <v>160400404</v>
      </c>
      <c r="D110" s="135">
        <v>322616675</v>
      </c>
      <c r="E110" s="135">
        <v>0</v>
      </c>
      <c r="F110" s="135">
        <v>89596455</v>
      </c>
      <c r="G110" s="135">
        <v>11822432</v>
      </c>
      <c r="H110" s="135">
        <v>17338913</v>
      </c>
      <c r="I110" s="135">
        <v>1674040</v>
      </c>
      <c r="J110" s="135">
        <v>106000</v>
      </c>
      <c r="K110" s="135">
        <v>0</v>
      </c>
      <c r="L110" s="135">
        <v>310488186</v>
      </c>
      <c r="M110" s="135">
        <v>120207362</v>
      </c>
      <c r="N110" s="135">
        <v>2718</v>
      </c>
      <c r="O110" s="135">
        <v>363</v>
      </c>
      <c r="P110" s="135">
        <v>7688017</v>
      </c>
      <c r="Q110" s="135">
        <v>3355506</v>
      </c>
      <c r="R110" s="135">
        <v>6335939</v>
      </c>
      <c r="S110" s="135">
        <v>5384506</v>
      </c>
      <c r="T110" s="135">
        <v>1508454</v>
      </c>
      <c r="U110" s="135">
        <v>7022330</v>
      </c>
      <c r="V110" s="135">
        <v>7688017</v>
      </c>
      <c r="W110" s="135">
        <v>3459500</v>
      </c>
      <c r="X110" s="135">
        <v>6335939</v>
      </c>
      <c r="Y110" s="135">
        <v>5384506</v>
      </c>
      <c r="Z110" s="135">
        <v>1635512</v>
      </c>
      <c r="AA110" s="135">
        <v>7022330</v>
      </c>
      <c r="AB110" s="135">
        <v>-2801680</v>
      </c>
      <c r="AC110" s="135">
        <v>-2143</v>
      </c>
      <c r="AD110" s="135">
        <v>0</v>
      </c>
      <c r="AE110" s="135">
        <v>0</v>
      </c>
      <c r="AF110" s="135">
        <v>0</v>
      </c>
      <c r="AG110" s="135">
        <v>0</v>
      </c>
      <c r="AH110" s="135">
        <v>0</v>
      </c>
      <c r="AI110" s="135">
        <v>0</v>
      </c>
      <c r="AJ110" s="135"/>
      <c r="AK110" s="135">
        <v>202808162</v>
      </c>
      <c r="AL110" s="135">
        <v>10085443</v>
      </c>
      <c r="AM110" s="135">
        <v>4155246</v>
      </c>
      <c r="AN110" s="135">
        <v>59978994</v>
      </c>
      <c r="AO110" s="135">
        <v>2032711</v>
      </c>
      <c r="AP110" s="135">
        <v>28880051</v>
      </c>
      <c r="AQ110" s="135">
        <v>47054715</v>
      </c>
      <c r="AR110" s="135">
        <v>50921765</v>
      </c>
      <c r="AS110" s="135">
        <v>17617188</v>
      </c>
      <c r="AT110" s="135">
        <v>642881</v>
      </c>
      <c r="AU110" s="135">
        <v>0</v>
      </c>
      <c r="AV110" s="135">
        <v>0</v>
      </c>
      <c r="AW110" s="135">
        <v>22097</v>
      </c>
      <c r="AX110" s="135">
        <v>191649</v>
      </c>
      <c r="AY110" s="135">
        <v>150000</v>
      </c>
      <c r="AZ110" s="135">
        <v>10858101.289999999</v>
      </c>
      <c r="BA110" s="135">
        <v>5646213</v>
      </c>
      <c r="BB110" s="135">
        <v>0</v>
      </c>
      <c r="BC110" s="135">
        <v>0</v>
      </c>
      <c r="BD110" s="135">
        <v>0</v>
      </c>
      <c r="BE110" s="135">
        <v>38045488</v>
      </c>
      <c r="BF110" s="135">
        <v>38045488</v>
      </c>
      <c r="BG110" s="135">
        <v>118503429</v>
      </c>
      <c r="BH110" s="135">
        <v>117272304</v>
      </c>
      <c r="BI110" s="135">
        <v>0</v>
      </c>
      <c r="BJ110" s="135">
        <v>0</v>
      </c>
      <c r="BK110" s="135"/>
      <c r="BL110" s="135">
        <v>1747359909</v>
      </c>
      <c r="BM110" s="135">
        <v>1373502299</v>
      </c>
      <c r="BN110" s="135">
        <v>1491000</v>
      </c>
      <c r="BO110" s="135"/>
      <c r="BP110" s="135">
        <v>1264435879</v>
      </c>
      <c r="BQ110" s="135">
        <v>202808162</v>
      </c>
      <c r="BR110" s="135">
        <v>10085443</v>
      </c>
      <c r="BS110" s="135">
        <v>126683608</v>
      </c>
      <c r="BT110" s="135">
        <v>1604013092</v>
      </c>
    </row>
    <row r="111" spans="1:72" x14ac:dyDescent="0.25">
      <c r="A111" s="149" t="s">
        <v>165</v>
      </c>
      <c r="B111" s="135">
        <v>277855625</v>
      </c>
      <c r="C111" s="135">
        <v>180429428</v>
      </c>
      <c r="D111" s="135">
        <v>189720570</v>
      </c>
      <c r="E111" s="135">
        <v>0</v>
      </c>
      <c r="F111" s="135">
        <v>33918839</v>
      </c>
      <c r="G111" s="135">
        <v>4918344</v>
      </c>
      <c r="H111" s="135">
        <v>8693738</v>
      </c>
      <c r="I111" s="135">
        <v>619500</v>
      </c>
      <c r="J111" s="135">
        <v>66500</v>
      </c>
      <c r="K111" s="135">
        <v>0</v>
      </c>
      <c r="L111" s="135">
        <v>678863198</v>
      </c>
      <c r="M111" s="135">
        <v>73797756</v>
      </c>
      <c r="N111" s="135">
        <v>1138</v>
      </c>
      <c r="O111" s="135">
        <v>157</v>
      </c>
      <c r="P111" s="135">
        <v>9395745</v>
      </c>
      <c r="Q111" s="135">
        <v>4518590</v>
      </c>
      <c r="R111" s="135">
        <v>4765585</v>
      </c>
      <c r="S111" s="135">
        <v>468406</v>
      </c>
      <c r="T111" s="135">
        <v>24150</v>
      </c>
      <c r="U111" s="135">
        <v>21500</v>
      </c>
      <c r="V111" s="135">
        <v>9395745</v>
      </c>
      <c r="W111" s="135">
        <v>5003466</v>
      </c>
      <c r="X111" s="135">
        <v>4765585</v>
      </c>
      <c r="Y111" s="135">
        <v>468406</v>
      </c>
      <c r="Z111" s="135">
        <v>24150</v>
      </c>
      <c r="AA111" s="135">
        <v>21500</v>
      </c>
      <c r="AB111" s="135">
        <v>-1384515</v>
      </c>
      <c r="AC111" s="135">
        <v>-62744</v>
      </c>
      <c r="AD111" s="135">
        <v>70330</v>
      </c>
      <c r="AE111" s="135">
        <v>49617</v>
      </c>
      <c r="AF111" s="135">
        <v>115409198</v>
      </c>
      <c r="AG111" s="135">
        <v>226258</v>
      </c>
      <c r="AH111" s="135">
        <v>35000</v>
      </c>
      <c r="AI111" s="135">
        <v>37000</v>
      </c>
      <c r="AJ111" s="135">
        <v>35800</v>
      </c>
      <c r="AK111" s="135">
        <v>104037389</v>
      </c>
      <c r="AL111" s="135">
        <v>2327912</v>
      </c>
      <c r="AM111" s="135"/>
      <c r="AN111" s="135">
        <v>28077423</v>
      </c>
      <c r="AO111" s="135">
        <v>3147618</v>
      </c>
      <c r="AP111" s="135">
        <v>192324011</v>
      </c>
      <c r="AQ111" s="135">
        <v>31651869</v>
      </c>
      <c r="AR111" s="135">
        <v>49115537</v>
      </c>
      <c r="AS111" s="135">
        <v>6329602</v>
      </c>
      <c r="AT111" s="135">
        <v>23372161</v>
      </c>
      <c r="AU111" s="135"/>
      <c r="AV111" s="135">
        <v>3308492</v>
      </c>
      <c r="AW111" s="135">
        <v>9600219</v>
      </c>
      <c r="AX111" s="135">
        <v>4822</v>
      </c>
      <c r="AY111" s="135">
        <v>173000</v>
      </c>
      <c r="AZ111" s="135">
        <v>5570034.7400000002</v>
      </c>
      <c r="BA111" s="135">
        <v>2896418</v>
      </c>
      <c r="BB111" s="135">
        <v>0</v>
      </c>
      <c r="BC111" s="135">
        <v>1733858</v>
      </c>
      <c r="BD111" s="135">
        <v>3334342</v>
      </c>
      <c r="BE111" s="135">
        <v>16660377</v>
      </c>
      <c r="BF111" s="135">
        <v>16660377</v>
      </c>
      <c r="BG111" s="135">
        <v>42915534</v>
      </c>
      <c r="BH111" s="135">
        <v>36553088</v>
      </c>
      <c r="BI111" s="135">
        <v>0</v>
      </c>
      <c r="BJ111" s="135">
        <v>0</v>
      </c>
      <c r="BK111" s="135"/>
      <c r="BL111" s="135">
        <v>875199375</v>
      </c>
      <c r="BM111" s="135">
        <v>710990333</v>
      </c>
      <c r="BN111" s="135">
        <v>1293372</v>
      </c>
      <c r="BO111" s="135"/>
      <c r="BP111" s="135">
        <v>648005623</v>
      </c>
      <c r="BQ111" s="135">
        <v>104037389</v>
      </c>
      <c r="BR111" s="135">
        <v>2327912</v>
      </c>
      <c r="BS111" s="135">
        <v>69206512</v>
      </c>
      <c r="BT111" s="135">
        <v>823577436</v>
      </c>
    </row>
    <row r="112" spans="1:72" x14ac:dyDescent="0.25">
      <c r="A112" s="149" t="s">
        <v>166</v>
      </c>
      <c r="B112" s="135">
        <v>766973309</v>
      </c>
      <c r="C112" s="135">
        <v>119771267</v>
      </c>
      <c r="D112" s="135">
        <v>100312732</v>
      </c>
      <c r="E112" s="135">
        <v>0</v>
      </c>
      <c r="F112" s="135">
        <v>58846641</v>
      </c>
      <c r="G112" s="135">
        <v>10365138</v>
      </c>
      <c r="H112" s="135">
        <v>6473547</v>
      </c>
      <c r="I112" s="135">
        <v>800500</v>
      </c>
      <c r="J112" s="135">
        <v>121500</v>
      </c>
      <c r="K112" s="135">
        <v>40500</v>
      </c>
      <c r="L112" s="135">
        <v>620739399</v>
      </c>
      <c r="M112" s="135">
        <v>70506972</v>
      </c>
      <c r="N112" s="135">
        <v>1691</v>
      </c>
      <c r="O112" s="135">
        <v>318</v>
      </c>
      <c r="P112" s="135">
        <v>9782425</v>
      </c>
      <c r="Q112" s="135">
        <v>3755000</v>
      </c>
      <c r="R112" s="135">
        <v>1296450</v>
      </c>
      <c r="S112" s="135">
        <v>144005</v>
      </c>
      <c r="T112" s="135">
        <v>3000</v>
      </c>
      <c r="U112" s="135">
        <v>0</v>
      </c>
      <c r="V112" s="135">
        <v>9782425</v>
      </c>
      <c r="W112" s="135">
        <v>3755000</v>
      </c>
      <c r="X112" s="135">
        <v>1296450</v>
      </c>
      <c r="Y112" s="135">
        <v>144005</v>
      </c>
      <c r="Z112" s="135">
        <v>3000</v>
      </c>
      <c r="AA112" s="135">
        <v>0</v>
      </c>
      <c r="AB112" s="135">
        <v>-5610385</v>
      </c>
      <c r="AC112" s="135">
        <v>-335975</v>
      </c>
      <c r="AD112" s="135">
        <v>64700</v>
      </c>
      <c r="AE112" s="135">
        <v>0</v>
      </c>
      <c r="AF112" s="135">
        <v>0</v>
      </c>
      <c r="AG112" s="135">
        <v>0</v>
      </c>
      <c r="AH112" s="135">
        <v>0</v>
      </c>
      <c r="AI112" s="135">
        <v>323000</v>
      </c>
      <c r="AJ112" s="135"/>
      <c r="AK112" s="135">
        <v>134707684</v>
      </c>
      <c r="AL112" s="135">
        <v>17886983</v>
      </c>
      <c r="AM112" s="135">
        <v>1691174</v>
      </c>
      <c r="AN112" s="135">
        <v>15491826</v>
      </c>
      <c r="AO112" s="135">
        <v>771802</v>
      </c>
      <c r="AP112" s="135">
        <v>10196991</v>
      </c>
      <c r="AQ112" s="135">
        <v>10445754</v>
      </c>
      <c r="AR112" s="135">
        <v>15496976</v>
      </c>
      <c r="AS112" s="135">
        <v>2122947</v>
      </c>
      <c r="AT112" s="135">
        <v>1796327</v>
      </c>
      <c r="AU112" s="135"/>
      <c r="AV112" s="135">
        <v>38454</v>
      </c>
      <c r="AW112" s="135">
        <v>150588643</v>
      </c>
      <c r="AX112" s="135"/>
      <c r="AY112" s="135"/>
      <c r="AZ112" s="135">
        <v>7212084.8700000001</v>
      </c>
      <c r="BA112" s="135">
        <v>3750284</v>
      </c>
      <c r="BB112" s="135">
        <v>38223859.902901553</v>
      </c>
      <c r="BC112" s="135">
        <v>0</v>
      </c>
      <c r="BD112" s="135">
        <v>0</v>
      </c>
      <c r="BE112" s="135">
        <v>5418496</v>
      </c>
      <c r="BF112" s="135">
        <v>5418496</v>
      </c>
      <c r="BG112" s="135">
        <v>28434281</v>
      </c>
      <c r="BH112" s="135">
        <v>28166921</v>
      </c>
      <c r="BI112" s="135">
        <v>0</v>
      </c>
      <c r="BJ112" s="135">
        <v>0</v>
      </c>
      <c r="BK112" s="135"/>
      <c r="BL112" s="135">
        <v>1204020058</v>
      </c>
      <c r="BM112" s="135">
        <v>1014089690</v>
      </c>
      <c r="BN112" s="135">
        <v>980660</v>
      </c>
      <c r="BO112" s="135"/>
      <c r="BP112" s="135">
        <v>987057308</v>
      </c>
      <c r="BQ112" s="135">
        <v>134707684</v>
      </c>
      <c r="BR112" s="135">
        <v>17886983</v>
      </c>
      <c r="BS112" s="135">
        <v>28832329</v>
      </c>
      <c r="BT112" s="135">
        <v>1168484304</v>
      </c>
    </row>
    <row r="113" spans="1:72" x14ac:dyDescent="0.25">
      <c r="A113" s="149" t="s">
        <v>167</v>
      </c>
      <c r="B113" s="135">
        <v>243203755</v>
      </c>
      <c r="C113" s="135">
        <v>99045750</v>
      </c>
      <c r="D113" s="135">
        <v>28233100</v>
      </c>
      <c r="E113" s="135">
        <v>0</v>
      </c>
      <c r="F113" s="135">
        <v>27529300</v>
      </c>
      <c r="G113" s="135">
        <v>3426100</v>
      </c>
      <c r="H113" s="135">
        <v>8534900</v>
      </c>
      <c r="I113" s="135">
        <v>508400</v>
      </c>
      <c r="J113" s="135">
        <v>40200</v>
      </c>
      <c r="K113" s="135">
        <v>0</v>
      </c>
      <c r="L113" s="135">
        <v>184942750</v>
      </c>
      <c r="M113" s="135">
        <v>76898500</v>
      </c>
      <c r="N113" s="135">
        <v>922</v>
      </c>
      <c r="O113" s="135">
        <v>104</v>
      </c>
      <c r="P113" s="135">
        <v>6800100</v>
      </c>
      <c r="Q113" s="135">
        <v>2226400</v>
      </c>
      <c r="R113" s="135">
        <v>239300</v>
      </c>
      <c r="S113" s="135">
        <v>1868400</v>
      </c>
      <c r="T113" s="135">
        <v>1824350</v>
      </c>
      <c r="U113" s="135">
        <v>209500</v>
      </c>
      <c r="V113" s="135">
        <v>6800100</v>
      </c>
      <c r="W113" s="135">
        <v>2529100</v>
      </c>
      <c r="X113" s="135">
        <v>239300</v>
      </c>
      <c r="Y113" s="135">
        <v>1868400</v>
      </c>
      <c r="Z113" s="135">
        <v>3073200</v>
      </c>
      <c r="AA113" s="135">
        <v>209500</v>
      </c>
      <c r="AB113" s="135">
        <v>-1412800</v>
      </c>
      <c r="AC113" s="135">
        <v>-6874</v>
      </c>
      <c r="AD113" s="135">
        <v>50910</v>
      </c>
      <c r="AE113" s="135">
        <v>8985</v>
      </c>
      <c r="AF113" s="135">
        <v>53643800</v>
      </c>
      <c r="AG113" s="135">
        <v>81194</v>
      </c>
      <c r="AH113" s="135">
        <v>0</v>
      </c>
      <c r="AI113" s="135">
        <v>0</v>
      </c>
      <c r="AJ113" s="135"/>
      <c r="AK113" s="135">
        <v>80062885</v>
      </c>
      <c r="AL113" s="135">
        <v>2044566</v>
      </c>
      <c r="AM113" s="135">
        <v>20000</v>
      </c>
      <c r="AN113" s="135">
        <v>11689299</v>
      </c>
      <c r="AO113" s="135">
        <v>134183</v>
      </c>
      <c r="AP113" s="135">
        <v>140345</v>
      </c>
      <c r="AQ113" s="135">
        <v>1927337</v>
      </c>
      <c r="AR113" s="135">
        <v>331312</v>
      </c>
      <c r="AS113" s="135"/>
      <c r="AT113" s="135">
        <v>98392</v>
      </c>
      <c r="AU113" s="135"/>
      <c r="AV113" s="135"/>
      <c r="AW113" s="135"/>
      <c r="AX113" s="135"/>
      <c r="AY113" s="135"/>
      <c r="AZ113" s="135">
        <v>4286469.08</v>
      </c>
      <c r="BA113" s="135">
        <v>2228964</v>
      </c>
      <c r="BB113" s="135">
        <v>29565416.499481864</v>
      </c>
      <c r="BC113" s="135">
        <v>0</v>
      </c>
      <c r="BD113" s="135">
        <v>0</v>
      </c>
      <c r="BE113" s="135">
        <v>180010181</v>
      </c>
      <c r="BF113" s="135">
        <v>180010181</v>
      </c>
      <c r="BG113" s="135">
        <v>65544680</v>
      </c>
      <c r="BH113" s="135">
        <v>64709913</v>
      </c>
      <c r="BI113" s="135">
        <v>0</v>
      </c>
      <c r="BJ113" s="135">
        <v>0</v>
      </c>
      <c r="BK113" s="135"/>
      <c r="BL113" s="135">
        <v>713289933</v>
      </c>
      <c r="BM113" s="135">
        <v>384233424</v>
      </c>
      <c r="BN113" s="135">
        <v>379100</v>
      </c>
      <c r="BO113" s="135"/>
      <c r="BP113" s="135">
        <v>370482605</v>
      </c>
      <c r="BQ113" s="135">
        <v>80062885</v>
      </c>
      <c r="BR113" s="135">
        <v>2044566</v>
      </c>
      <c r="BS113" s="135">
        <v>13750819</v>
      </c>
      <c r="BT113" s="135">
        <v>466340875</v>
      </c>
    </row>
    <row r="114" spans="1:72" x14ac:dyDescent="0.25">
      <c r="A114" s="149" t="s">
        <v>168</v>
      </c>
      <c r="B114" s="135">
        <v>317668213</v>
      </c>
      <c r="C114" s="135">
        <v>179822625</v>
      </c>
      <c r="D114" s="135">
        <v>113670238</v>
      </c>
      <c r="E114" s="135">
        <v>1310000</v>
      </c>
      <c r="F114" s="135">
        <v>49756464</v>
      </c>
      <c r="G114" s="135">
        <v>5633713</v>
      </c>
      <c r="H114" s="135">
        <v>6129882</v>
      </c>
      <c r="I114" s="135">
        <v>298852</v>
      </c>
      <c r="J114" s="135">
        <v>162000</v>
      </c>
      <c r="K114" s="135">
        <v>40500</v>
      </c>
      <c r="L114" s="135">
        <v>899009087</v>
      </c>
      <c r="M114" s="135">
        <v>53536761</v>
      </c>
      <c r="N114" s="135">
        <v>1460</v>
      </c>
      <c r="O114" s="135">
        <v>167</v>
      </c>
      <c r="P114" s="135">
        <v>2898059</v>
      </c>
      <c r="Q114" s="135">
        <v>1494900</v>
      </c>
      <c r="R114" s="135">
        <v>1672786</v>
      </c>
      <c r="S114" s="135">
        <v>118640</v>
      </c>
      <c r="T114" s="135">
        <v>0</v>
      </c>
      <c r="U114" s="135">
        <v>263440</v>
      </c>
      <c r="V114" s="135">
        <v>2898059</v>
      </c>
      <c r="W114" s="135">
        <v>1494900</v>
      </c>
      <c r="X114" s="135">
        <v>1672786</v>
      </c>
      <c r="Y114" s="135">
        <v>118640</v>
      </c>
      <c r="Z114" s="135">
        <v>0</v>
      </c>
      <c r="AA114" s="135">
        <v>263440</v>
      </c>
      <c r="AB114" s="135">
        <v>-1000859</v>
      </c>
      <c r="AC114" s="135">
        <v>-291632</v>
      </c>
      <c r="AD114" s="135">
        <v>8006</v>
      </c>
      <c r="AE114" s="135">
        <v>13318</v>
      </c>
      <c r="AF114" s="135">
        <v>45168037</v>
      </c>
      <c r="AG114" s="135">
        <v>195930</v>
      </c>
      <c r="AH114" s="135">
        <v>14000000</v>
      </c>
      <c r="AI114" s="135">
        <v>0</v>
      </c>
      <c r="AJ114" s="135">
        <v>62334000</v>
      </c>
      <c r="AK114" s="135">
        <v>157968898</v>
      </c>
      <c r="AL114" s="135">
        <v>5554546</v>
      </c>
      <c r="AM114" s="135">
        <v>86500</v>
      </c>
      <c r="AN114" s="135">
        <v>143632496</v>
      </c>
      <c r="AO114" s="135">
        <v>10185942</v>
      </c>
      <c r="AP114" s="135">
        <v>100229529</v>
      </c>
      <c r="AQ114" s="135">
        <v>43017022</v>
      </c>
      <c r="AR114" s="135">
        <v>17109639</v>
      </c>
      <c r="AS114" s="135">
        <v>24344518</v>
      </c>
      <c r="AT114" s="135">
        <v>4750601</v>
      </c>
      <c r="AU114" s="135"/>
      <c r="AV114" s="135">
        <v>57901</v>
      </c>
      <c r="AW114" s="135">
        <v>20471972</v>
      </c>
      <c r="AX114" s="135">
        <v>671866</v>
      </c>
      <c r="AY114" s="135">
        <v>2592609</v>
      </c>
      <c r="AZ114" s="135">
        <v>8457461.8599999994</v>
      </c>
      <c r="BA114" s="135">
        <v>4397880</v>
      </c>
      <c r="BB114" s="135">
        <v>58708469.90611399</v>
      </c>
      <c r="BC114" s="135">
        <v>0</v>
      </c>
      <c r="BD114" s="135">
        <v>0</v>
      </c>
      <c r="BE114" s="135">
        <v>6725599</v>
      </c>
      <c r="BF114" s="135">
        <v>6725599</v>
      </c>
      <c r="BG114" s="135">
        <v>48889698</v>
      </c>
      <c r="BH114" s="135">
        <v>48806002</v>
      </c>
      <c r="BI114" s="135">
        <v>0</v>
      </c>
      <c r="BJ114" s="135">
        <v>0</v>
      </c>
      <c r="BK114" s="135"/>
      <c r="BL114" s="135">
        <v>1107783461</v>
      </c>
      <c r="BM114" s="135">
        <v>884330536</v>
      </c>
      <c r="BN114" s="135">
        <v>850080</v>
      </c>
      <c r="BO114" s="135"/>
      <c r="BP114" s="135">
        <v>611161076</v>
      </c>
      <c r="BQ114" s="135">
        <v>157968898</v>
      </c>
      <c r="BR114" s="135">
        <v>5554546</v>
      </c>
      <c r="BS114" s="135">
        <v>221179978</v>
      </c>
      <c r="BT114" s="135">
        <v>995864498</v>
      </c>
    </row>
    <row r="115" spans="1:72" x14ac:dyDescent="0.25">
      <c r="A115" s="149" t="s">
        <v>169</v>
      </c>
      <c r="B115" s="135">
        <v>6734329121</v>
      </c>
      <c r="C115" s="135">
        <v>543306766</v>
      </c>
      <c r="D115" s="135">
        <v>4017914512</v>
      </c>
      <c r="E115" s="135">
        <v>153252481</v>
      </c>
      <c r="F115" s="135">
        <v>273550100</v>
      </c>
      <c r="G115" s="135">
        <v>22108060</v>
      </c>
      <c r="H115" s="135">
        <v>27556703</v>
      </c>
      <c r="I115" s="135">
        <v>1494310</v>
      </c>
      <c r="J115" s="135">
        <v>324000</v>
      </c>
      <c r="K115" s="135">
        <v>0</v>
      </c>
      <c r="L115" s="135">
        <v>1181702071</v>
      </c>
      <c r="M115" s="135">
        <v>368243890</v>
      </c>
      <c r="N115" s="135">
        <v>7531</v>
      </c>
      <c r="O115" s="135">
        <v>628</v>
      </c>
      <c r="P115" s="135">
        <v>273311860</v>
      </c>
      <c r="Q115" s="135">
        <v>13097881</v>
      </c>
      <c r="R115" s="135">
        <v>103463680</v>
      </c>
      <c r="S115" s="135">
        <v>55692515</v>
      </c>
      <c r="T115" s="135">
        <v>878439</v>
      </c>
      <c r="U115" s="135">
        <v>38846620</v>
      </c>
      <c r="V115" s="135">
        <v>273311860</v>
      </c>
      <c r="W115" s="135">
        <v>14799470</v>
      </c>
      <c r="X115" s="135">
        <v>103463680</v>
      </c>
      <c r="Y115" s="135">
        <v>55692515</v>
      </c>
      <c r="Z115" s="135">
        <v>1009050</v>
      </c>
      <c r="AA115" s="135">
        <v>38846620</v>
      </c>
      <c r="AB115" s="135">
        <v>-7583207</v>
      </c>
      <c r="AC115" s="135">
        <v>1326588</v>
      </c>
      <c r="AD115" s="135">
        <v>70725</v>
      </c>
      <c r="AE115" s="135">
        <v>0</v>
      </c>
      <c r="AF115" s="135">
        <v>0</v>
      </c>
      <c r="AG115" s="135">
        <v>278381</v>
      </c>
      <c r="AH115" s="135">
        <v>33000000</v>
      </c>
      <c r="AI115" s="135">
        <v>1150000</v>
      </c>
      <c r="AJ115" s="135"/>
      <c r="AK115" s="135">
        <v>1052705106</v>
      </c>
      <c r="AL115" s="135">
        <v>25692670</v>
      </c>
      <c r="AM115" s="135">
        <v>0</v>
      </c>
      <c r="AN115" s="135">
        <v>459234122</v>
      </c>
      <c r="AO115" s="135">
        <v>136198284</v>
      </c>
      <c r="AP115" s="135">
        <v>1837658322</v>
      </c>
      <c r="AQ115" s="135">
        <v>431868327</v>
      </c>
      <c r="AR115" s="135">
        <v>497298770</v>
      </c>
      <c r="AS115" s="135">
        <v>290697522</v>
      </c>
      <c r="AT115" s="135">
        <v>7975878</v>
      </c>
      <c r="AU115" s="135"/>
      <c r="AV115" s="135">
        <v>161799</v>
      </c>
      <c r="AW115" s="135">
        <v>196716828</v>
      </c>
      <c r="AX115" s="135">
        <v>4896896</v>
      </c>
      <c r="AY115" s="135">
        <v>20001161</v>
      </c>
      <c r="AZ115" s="135">
        <v>56360545.630000003</v>
      </c>
      <c r="BA115" s="135">
        <v>29307484</v>
      </c>
      <c r="BB115" s="135">
        <v>0</v>
      </c>
      <c r="BC115" s="135">
        <v>3527478</v>
      </c>
      <c r="BD115" s="135">
        <v>6783612</v>
      </c>
      <c r="BE115" s="135">
        <v>95213972</v>
      </c>
      <c r="BF115" s="135">
        <v>95213972</v>
      </c>
      <c r="BG115" s="135">
        <v>157067453</v>
      </c>
      <c r="BH115" s="135">
        <v>149227111</v>
      </c>
      <c r="BI115" s="135">
        <v>9699455</v>
      </c>
      <c r="BJ115" s="135">
        <v>43177087</v>
      </c>
      <c r="BK115" s="135"/>
      <c r="BL115" s="135">
        <v>13765551495</v>
      </c>
      <c r="BM115" s="135">
        <v>12357001132</v>
      </c>
      <c r="BN115" s="135">
        <v>10769220</v>
      </c>
      <c r="BO115" s="135"/>
      <c r="BP115" s="135">
        <v>11295550399</v>
      </c>
      <c r="BQ115" s="135">
        <v>1052705106</v>
      </c>
      <c r="BR115" s="135">
        <v>25692670</v>
      </c>
      <c r="BS115" s="135">
        <v>1317998255</v>
      </c>
      <c r="BT115" s="135">
        <v>13691946430</v>
      </c>
    </row>
    <row r="116" spans="1:72" x14ac:dyDescent="0.25">
      <c r="A116" s="149" t="s">
        <v>170</v>
      </c>
      <c r="B116" s="135">
        <v>345627850</v>
      </c>
      <c r="C116" s="135">
        <v>216921782</v>
      </c>
      <c r="D116" s="135">
        <v>95830340</v>
      </c>
      <c r="E116" s="135">
        <v>0</v>
      </c>
      <c r="F116" s="135">
        <v>38472000</v>
      </c>
      <c r="G116" s="135">
        <v>4893900</v>
      </c>
      <c r="H116" s="135">
        <v>19427100</v>
      </c>
      <c r="I116" s="135">
        <v>2375500</v>
      </c>
      <c r="J116" s="135">
        <v>40500</v>
      </c>
      <c r="K116" s="135">
        <v>0</v>
      </c>
      <c r="L116" s="135">
        <v>371284038</v>
      </c>
      <c r="M116" s="135">
        <v>164617135</v>
      </c>
      <c r="N116" s="135">
        <v>1459</v>
      </c>
      <c r="O116" s="135">
        <v>195</v>
      </c>
      <c r="P116" s="135">
        <v>2980112</v>
      </c>
      <c r="Q116" s="135">
        <v>4173713</v>
      </c>
      <c r="R116" s="135">
        <v>60000</v>
      </c>
      <c r="S116" s="135">
        <v>2561175</v>
      </c>
      <c r="T116" s="135">
        <v>1328300</v>
      </c>
      <c r="U116" s="135">
        <v>712532</v>
      </c>
      <c r="V116" s="135">
        <v>2980112</v>
      </c>
      <c r="W116" s="135">
        <v>4292100</v>
      </c>
      <c r="X116" s="135">
        <v>60000</v>
      </c>
      <c r="Y116" s="135">
        <v>2561175</v>
      </c>
      <c r="Z116" s="135">
        <v>1222800</v>
      </c>
      <c r="AA116" s="135">
        <v>712532</v>
      </c>
      <c r="AB116" s="135">
        <v>-797720</v>
      </c>
      <c r="AC116" s="135">
        <v>7835449</v>
      </c>
      <c r="AD116" s="135">
        <v>44754</v>
      </c>
      <c r="AE116" s="135">
        <v>0</v>
      </c>
      <c r="AF116" s="135">
        <v>0</v>
      </c>
      <c r="AG116" s="135">
        <v>178185</v>
      </c>
      <c r="AH116" s="135">
        <v>0</v>
      </c>
      <c r="AI116" s="135">
        <v>0</v>
      </c>
      <c r="AJ116" s="135"/>
      <c r="AK116" s="135">
        <v>107389123</v>
      </c>
      <c r="AL116" s="135">
        <v>3108149</v>
      </c>
      <c r="AM116" s="135"/>
      <c r="AN116" s="135">
        <v>32957592</v>
      </c>
      <c r="AO116" s="135">
        <v>1065458</v>
      </c>
      <c r="AP116" s="135">
        <v>127160485</v>
      </c>
      <c r="AQ116" s="135">
        <v>26027313</v>
      </c>
      <c r="AR116" s="135">
        <v>35992146</v>
      </c>
      <c r="AS116" s="135">
        <v>10571224</v>
      </c>
      <c r="AT116" s="135">
        <v>226302</v>
      </c>
      <c r="AU116" s="135"/>
      <c r="AV116" s="135"/>
      <c r="AW116" s="135">
        <v>47671</v>
      </c>
      <c r="AX116" s="135">
        <v>1249</v>
      </c>
      <c r="AY116" s="135">
        <v>111450</v>
      </c>
      <c r="AZ116" s="135">
        <v>5749482.4800000004</v>
      </c>
      <c r="BA116" s="135">
        <v>2989731</v>
      </c>
      <c r="BB116" s="135">
        <v>0</v>
      </c>
      <c r="BC116" s="135">
        <v>0</v>
      </c>
      <c r="BD116" s="135">
        <v>0</v>
      </c>
      <c r="BE116" s="135">
        <v>6818030</v>
      </c>
      <c r="BF116" s="135">
        <v>6818030</v>
      </c>
      <c r="BG116" s="135">
        <v>29882647</v>
      </c>
      <c r="BH116" s="135">
        <v>29865834</v>
      </c>
      <c r="BI116" s="135">
        <v>2456953</v>
      </c>
      <c r="BJ116" s="135">
        <v>0</v>
      </c>
      <c r="BK116" s="135"/>
      <c r="BL116" s="135">
        <v>871058155</v>
      </c>
      <c r="BM116" s="135">
        <v>718430335</v>
      </c>
      <c r="BN116" s="135">
        <v>699500</v>
      </c>
      <c r="BO116" s="135"/>
      <c r="BP116" s="135">
        <v>658379972</v>
      </c>
      <c r="BQ116" s="135">
        <v>107389123</v>
      </c>
      <c r="BR116" s="135">
        <v>3108149</v>
      </c>
      <c r="BS116" s="135">
        <v>70621587</v>
      </c>
      <c r="BT116" s="135">
        <v>839498831</v>
      </c>
    </row>
    <row r="117" spans="1:72" x14ac:dyDescent="0.25">
      <c r="A117" s="149" t="s">
        <v>171</v>
      </c>
      <c r="B117" s="135">
        <v>549007678</v>
      </c>
      <c r="C117" s="135">
        <v>142349407</v>
      </c>
      <c r="D117" s="135">
        <v>135712037</v>
      </c>
      <c r="E117" s="135">
        <v>0</v>
      </c>
      <c r="F117" s="135">
        <v>71739590</v>
      </c>
      <c r="G117" s="135">
        <v>14690265</v>
      </c>
      <c r="H117" s="135">
        <v>18418248</v>
      </c>
      <c r="I117" s="135">
        <v>2043424</v>
      </c>
      <c r="J117" s="135">
        <v>121500</v>
      </c>
      <c r="K117" s="135">
        <v>35000</v>
      </c>
      <c r="L117" s="135">
        <v>300966108</v>
      </c>
      <c r="M117" s="135">
        <v>92150327</v>
      </c>
      <c r="N117" s="135">
        <v>2485</v>
      </c>
      <c r="O117" s="135">
        <v>522</v>
      </c>
      <c r="P117" s="135">
        <v>12248312</v>
      </c>
      <c r="Q117" s="135">
        <v>2800936</v>
      </c>
      <c r="R117" s="135">
        <v>383200</v>
      </c>
      <c r="S117" s="135">
        <v>2125596</v>
      </c>
      <c r="T117" s="135">
        <v>184010</v>
      </c>
      <c r="U117" s="135">
        <v>1407734</v>
      </c>
      <c r="V117" s="135">
        <v>12248312</v>
      </c>
      <c r="W117" s="135">
        <v>2800936</v>
      </c>
      <c r="X117" s="135">
        <v>383200</v>
      </c>
      <c r="Y117" s="135">
        <v>2125596</v>
      </c>
      <c r="Z117" s="135">
        <v>257740</v>
      </c>
      <c r="AA117" s="135">
        <v>1407734</v>
      </c>
      <c r="AB117" s="135">
        <v>-1351132</v>
      </c>
      <c r="AC117" s="135">
        <v>525695</v>
      </c>
      <c r="AD117" s="135">
        <v>176563</v>
      </c>
      <c r="AE117" s="135">
        <v>8210</v>
      </c>
      <c r="AF117" s="135">
        <v>11972551</v>
      </c>
      <c r="AG117" s="135">
        <v>244773</v>
      </c>
      <c r="AH117" s="135">
        <v>150000</v>
      </c>
      <c r="AI117" s="135">
        <v>125000</v>
      </c>
      <c r="AJ117" s="135"/>
      <c r="AK117" s="135">
        <v>127740003</v>
      </c>
      <c r="AL117" s="135">
        <v>18301333</v>
      </c>
      <c r="AM117" s="135">
        <v>10858775</v>
      </c>
      <c r="AN117" s="135">
        <v>23026014</v>
      </c>
      <c r="AO117" s="135">
        <v>387659</v>
      </c>
      <c r="AP117" s="135">
        <v>19582378</v>
      </c>
      <c r="AQ117" s="135">
        <v>24845100</v>
      </c>
      <c r="AR117" s="135">
        <v>20557601</v>
      </c>
      <c r="AS117" s="135">
        <v>42125</v>
      </c>
      <c r="AT117" s="135">
        <v>10568591</v>
      </c>
      <c r="AU117" s="135"/>
      <c r="AV117" s="135"/>
      <c r="AW117" s="135"/>
      <c r="AX117" s="135"/>
      <c r="AY117" s="135">
        <v>514217</v>
      </c>
      <c r="AZ117" s="135">
        <v>6839043.7400000002</v>
      </c>
      <c r="BA117" s="135">
        <v>3556303</v>
      </c>
      <c r="BB117" s="135">
        <v>0</v>
      </c>
      <c r="BC117" s="135">
        <v>0</v>
      </c>
      <c r="BD117" s="135">
        <v>0</v>
      </c>
      <c r="BE117" s="135">
        <v>1308460</v>
      </c>
      <c r="BF117" s="135">
        <v>1308460</v>
      </c>
      <c r="BG117" s="135">
        <v>37363888</v>
      </c>
      <c r="BH117" s="135">
        <v>36496648</v>
      </c>
      <c r="BI117" s="135">
        <v>0</v>
      </c>
      <c r="BJ117" s="135">
        <v>0</v>
      </c>
      <c r="BK117" s="135"/>
      <c r="BL117" s="135">
        <v>1063005642</v>
      </c>
      <c r="BM117" s="135">
        <v>875602895</v>
      </c>
      <c r="BN117" s="135">
        <v>798000</v>
      </c>
      <c r="BO117" s="135"/>
      <c r="BP117" s="135">
        <v>827069122</v>
      </c>
      <c r="BQ117" s="135">
        <v>127740003</v>
      </c>
      <c r="BR117" s="135">
        <v>18301333</v>
      </c>
      <c r="BS117" s="135">
        <v>48300898</v>
      </c>
      <c r="BT117" s="135">
        <v>1021411356</v>
      </c>
    </row>
    <row r="118" spans="1:72" x14ac:dyDescent="0.25">
      <c r="A118" s="149" t="s">
        <v>172</v>
      </c>
      <c r="B118" s="135">
        <v>255708426</v>
      </c>
      <c r="C118" s="135">
        <v>184941365</v>
      </c>
      <c r="D118" s="135">
        <v>68203998</v>
      </c>
      <c r="E118" s="135">
        <v>0</v>
      </c>
      <c r="F118" s="135">
        <v>44014340</v>
      </c>
      <c r="G118" s="135">
        <v>5356201</v>
      </c>
      <c r="H118" s="135">
        <v>9562840</v>
      </c>
      <c r="I118" s="135">
        <v>848008</v>
      </c>
      <c r="J118" s="135">
        <v>84985</v>
      </c>
      <c r="K118" s="135">
        <v>0</v>
      </c>
      <c r="L118" s="135">
        <v>626630980</v>
      </c>
      <c r="M118" s="135">
        <v>77286485</v>
      </c>
      <c r="N118" s="135">
        <v>1495</v>
      </c>
      <c r="O118" s="135">
        <v>201</v>
      </c>
      <c r="P118" s="135">
        <v>3296600</v>
      </c>
      <c r="Q118" s="135">
        <v>808300</v>
      </c>
      <c r="R118" s="135">
        <v>163400</v>
      </c>
      <c r="S118" s="135">
        <v>213950</v>
      </c>
      <c r="T118" s="135">
        <v>37600</v>
      </c>
      <c r="U118" s="135">
        <v>0</v>
      </c>
      <c r="V118" s="135">
        <v>3296600</v>
      </c>
      <c r="W118" s="135">
        <v>808300</v>
      </c>
      <c r="X118" s="135">
        <v>163400</v>
      </c>
      <c r="Y118" s="135">
        <v>213950</v>
      </c>
      <c r="Z118" s="135">
        <v>37600</v>
      </c>
      <c r="AA118" s="135">
        <v>0</v>
      </c>
      <c r="AB118" s="135">
        <v>-847924</v>
      </c>
      <c r="AC118" s="135">
        <v>0</v>
      </c>
      <c r="AD118" s="135">
        <v>59634</v>
      </c>
      <c r="AE118" s="135">
        <v>12053</v>
      </c>
      <c r="AF118" s="135">
        <v>6064561</v>
      </c>
      <c r="AG118" s="135">
        <v>198486</v>
      </c>
      <c r="AH118" s="135">
        <v>12500000</v>
      </c>
      <c r="AI118" s="135">
        <v>0</v>
      </c>
      <c r="AJ118" s="135">
        <v>685000</v>
      </c>
      <c r="AK118" s="135">
        <v>124874745</v>
      </c>
      <c r="AL118" s="135">
        <v>4956086</v>
      </c>
      <c r="AM118" s="135"/>
      <c r="AN118" s="135">
        <v>16926924</v>
      </c>
      <c r="AO118" s="135">
        <v>1376117</v>
      </c>
      <c r="AP118" s="135">
        <v>8175145</v>
      </c>
      <c r="AQ118" s="135">
        <v>14142118</v>
      </c>
      <c r="AR118" s="135">
        <v>9539564</v>
      </c>
      <c r="AS118" s="135">
        <v>1671</v>
      </c>
      <c r="AT118" s="135">
        <v>7717194</v>
      </c>
      <c r="AU118" s="135"/>
      <c r="AV118" s="135"/>
      <c r="AW118" s="135">
        <v>2868815</v>
      </c>
      <c r="AX118" s="135">
        <v>1773883</v>
      </c>
      <c r="AY118" s="135"/>
      <c r="AZ118" s="135">
        <v>6685641.3300000001</v>
      </c>
      <c r="BA118" s="135">
        <v>3476533</v>
      </c>
      <c r="BB118" s="135">
        <v>3625283.2136269435</v>
      </c>
      <c r="BC118" s="135">
        <v>1620235</v>
      </c>
      <c r="BD118" s="135">
        <v>3115836</v>
      </c>
      <c r="BE118" s="135">
        <v>28985232</v>
      </c>
      <c r="BF118" s="135">
        <v>28728432</v>
      </c>
      <c r="BG118" s="135">
        <v>87588940</v>
      </c>
      <c r="BH118" s="135">
        <v>85266871</v>
      </c>
      <c r="BI118" s="135">
        <v>0</v>
      </c>
      <c r="BJ118" s="135">
        <v>0</v>
      </c>
      <c r="BK118" s="135"/>
      <c r="BL118" s="135">
        <v>803406850</v>
      </c>
      <c r="BM118" s="135">
        <v>554483948</v>
      </c>
      <c r="BN118" s="135">
        <v>1862229</v>
      </c>
      <c r="BO118" s="135"/>
      <c r="BP118" s="135">
        <v>508853789</v>
      </c>
      <c r="BQ118" s="135">
        <v>124874745</v>
      </c>
      <c r="BR118" s="135">
        <v>4956086</v>
      </c>
      <c r="BS118" s="135">
        <v>32446830</v>
      </c>
      <c r="BT118" s="135">
        <v>671131450</v>
      </c>
    </row>
    <row r="119" spans="1:72" x14ac:dyDescent="0.25">
      <c r="A119" s="149" t="s">
        <v>173</v>
      </c>
      <c r="B119" s="135">
        <v>912582320</v>
      </c>
      <c r="C119" s="135">
        <v>166144503</v>
      </c>
      <c r="D119" s="135">
        <v>252560114</v>
      </c>
      <c r="E119" s="135">
        <v>2100000</v>
      </c>
      <c r="F119" s="135">
        <v>97413106</v>
      </c>
      <c r="G119" s="135">
        <v>36983185</v>
      </c>
      <c r="H119" s="135">
        <v>16429190</v>
      </c>
      <c r="I119" s="135">
        <v>3539337</v>
      </c>
      <c r="J119" s="135">
        <v>162000</v>
      </c>
      <c r="K119" s="135">
        <v>40500</v>
      </c>
      <c r="L119" s="135">
        <v>621640281</v>
      </c>
      <c r="M119" s="135">
        <v>80283015</v>
      </c>
      <c r="N119" s="135">
        <v>3302</v>
      </c>
      <c r="O119" s="135">
        <v>1264</v>
      </c>
      <c r="P119" s="135">
        <v>2039432</v>
      </c>
      <c r="Q119" s="135">
        <v>191750</v>
      </c>
      <c r="R119" s="135">
        <v>0</v>
      </c>
      <c r="S119" s="135">
        <v>7261160</v>
      </c>
      <c r="T119" s="135">
        <v>2175260</v>
      </c>
      <c r="U119" s="135">
        <v>2526400</v>
      </c>
      <c r="V119" s="135">
        <v>2039432</v>
      </c>
      <c r="W119" s="135">
        <v>5000</v>
      </c>
      <c r="X119" s="135">
        <v>0</v>
      </c>
      <c r="Y119" s="135">
        <v>7261160</v>
      </c>
      <c r="Z119" s="135">
        <v>9006101</v>
      </c>
      <c r="AA119" s="135">
        <v>2526400</v>
      </c>
      <c r="AB119" s="135">
        <v>-9233784</v>
      </c>
      <c r="AC119" s="135">
        <v>3386882</v>
      </c>
      <c r="AD119" s="135"/>
      <c r="AE119" s="135"/>
      <c r="AF119" s="135"/>
      <c r="AG119" s="135"/>
      <c r="AH119" s="135">
        <v>1100000</v>
      </c>
      <c r="AI119" s="135">
        <v>3500000</v>
      </c>
      <c r="AJ119" s="135">
        <v>1055508.1967213117</v>
      </c>
      <c r="AK119" s="135">
        <v>277271991</v>
      </c>
      <c r="AL119" s="135">
        <v>9045215</v>
      </c>
      <c r="AM119" s="135">
        <v>2821087</v>
      </c>
      <c r="AN119" s="135">
        <v>55955125</v>
      </c>
      <c r="AO119" s="135">
        <v>2638396</v>
      </c>
      <c r="AP119" s="135">
        <v>83939081</v>
      </c>
      <c r="AQ119" s="135">
        <v>64378442</v>
      </c>
      <c r="AR119" s="135">
        <v>37847477</v>
      </c>
      <c r="AS119" s="135">
        <v>7284566</v>
      </c>
      <c r="AT119" s="135">
        <v>163347</v>
      </c>
      <c r="AU119" s="135"/>
      <c r="AV119" s="135"/>
      <c r="AW119" s="135"/>
      <c r="AX119" s="135">
        <v>29358</v>
      </c>
      <c r="AY119" s="135">
        <v>51873</v>
      </c>
      <c r="AZ119" s="135">
        <v>14844803.74</v>
      </c>
      <c r="BA119" s="135">
        <v>7719298</v>
      </c>
      <c r="BB119" s="135">
        <v>0</v>
      </c>
      <c r="BC119" s="135">
        <v>14757712</v>
      </c>
      <c r="BD119" s="135">
        <v>28380215</v>
      </c>
      <c r="BE119" s="135">
        <v>64198587</v>
      </c>
      <c r="BF119" s="135">
        <v>64198587</v>
      </c>
      <c r="BG119" s="135">
        <v>88601856</v>
      </c>
      <c r="BH119" s="135">
        <v>79113061</v>
      </c>
      <c r="BI119" s="135">
        <v>0</v>
      </c>
      <c r="BJ119" s="135">
        <v>0</v>
      </c>
      <c r="BK119" s="135"/>
      <c r="BL119" s="135">
        <v>1912020272.1967213</v>
      </c>
      <c r="BM119" s="135">
        <v>1459914408.1967213</v>
      </c>
      <c r="BN119" s="135">
        <v>1362180</v>
      </c>
      <c r="BO119" s="135"/>
      <c r="BP119" s="135">
        <v>1331286937</v>
      </c>
      <c r="BQ119" s="135">
        <v>277271991</v>
      </c>
      <c r="BR119" s="135">
        <v>9045215</v>
      </c>
      <c r="BS119" s="135">
        <v>130256529</v>
      </c>
      <c r="BT119" s="135">
        <v>1747860672</v>
      </c>
    </row>
    <row r="120" spans="1:72" x14ac:dyDescent="0.25">
      <c r="A120" s="149" t="s">
        <v>174</v>
      </c>
      <c r="B120" s="135">
        <v>80856400</v>
      </c>
      <c r="C120" s="135">
        <v>70482350</v>
      </c>
      <c r="D120" s="135">
        <v>38712500</v>
      </c>
      <c r="E120" s="135">
        <v>0</v>
      </c>
      <c r="F120" s="135">
        <v>13642400</v>
      </c>
      <c r="G120" s="135">
        <v>7918100</v>
      </c>
      <c r="H120" s="135">
        <v>11172400</v>
      </c>
      <c r="I120" s="135">
        <v>3538900</v>
      </c>
      <c r="J120" s="135">
        <v>40500</v>
      </c>
      <c r="K120" s="135">
        <v>0</v>
      </c>
      <c r="L120" s="135">
        <v>79174407</v>
      </c>
      <c r="M120" s="135">
        <v>0</v>
      </c>
      <c r="N120" s="135">
        <v>729</v>
      </c>
      <c r="O120" s="135">
        <v>384</v>
      </c>
      <c r="P120" s="135">
        <v>3574500</v>
      </c>
      <c r="Q120" s="135">
        <v>1279000</v>
      </c>
      <c r="R120" s="135">
        <v>70000</v>
      </c>
      <c r="S120" s="135">
        <v>799000</v>
      </c>
      <c r="T120" s="135">
        <v>203000</v>
      </c>
      <c r="U120" s="135">
        <v>30000</v>
      </c>
      <c r="V120" s="135">
        <v>3574500</v>
      </c>
      <c r="W120" s="135">
        <v>30000</v>
      </c>
      <c r="X120" s="135">
        <v>70000</v>
      </c>
      <c r="Y120" s="135">
        <v>799000</v>
      </c>
      <c r="Z120" s="135">
        <v>0</v>
      </c>
      <c r="AA120" s="135">
        <v>30000</v>
      </c>
      <c r="AB120" s="135">
        <v>-976000</v>
      </c>
      <c r="AC120" s="135"/>
      <c r="AD120" s="135">
        <v>86927</v>
      </c>
      <c r="AE120" s="135">
        <v>0</v>
      </c>
      <c r="AF120" s="135">
        <v>0</v>
      </c>
      <c r="AG120" s="135">
        <v>115634</v>
      </c>
      <c r="AH120" s="135">
        <v>7500000</v>
      </c>
      <c r="AI120" s="135">
        <v>86000</v>
      </c>
      <c r="AJ120" s="135"/>
      <c r="AK120" s="135">
        <v>55256720</v>
      </c>
      <c r="AL120" s="135">
        <v>855804</v>
      </c>
      <c r="AM120" s="135"/>
      <c r="AN120" s="135">
        <v>4135657</v>
      </c>
      <c r="AO120" s="135">
        <v>63803</v>
      </c>
      <c r="AP120" s="135">
        <v>900892</v>
      </c>
      <c r="AQ120" s="135">
        <v>8883603</v>
      </c>
      <c r="AR120" s="135">
        <v>5937270</v>
      </c>
      <c r="AS120" s="135"/>
      <c r="AT120" s="135"/>
      <c r="AU120" s="135"/>
      <c r="AV120" s="135"/>
      <c r="AW120" s="135"/>
      <c r="AX120" s="135">
        <v>10303</v>
      </c>
      <c r="AY120" s="135"/>
      <c r="AZ120" s="135">
        <v>2958377.3</v>
      </c>
      <c r="BA120" s="135">
        <v>1538356</v>
      </c>
      <c r="BB120" s="135">
        <v>0</v>
      </c>
      <c r="BC120" s="135">
        <v>0</v>
      </c>
      <c r="BD120" s="135">
        <v>0</v>
      </c>
      <c r="BE120" s="135">
        <v>522685</v>
      </c>
      <c r="BF120" s="135">
        <v>522685</v>
      </c>
      <c r="BG120" s="135">
        <v>27692339</v>
      </c>
      <c r="BH120" s="135">
        <v>27692339</v>
      </c>
      <c r="BI120" s="135">
        <v>0</v>
      </c>
      <c r="BJ120" s="135">
        <v>0</v>
      </c>
      <c r="BK120" s="135"/>
      <c r="BL120" s="135">
        <v>296586217</v>
      </c>
      <c r="BM120" s="135">
        <v>210720313</v>
      </c>
      <c r="BN120" s="135">
        <v>362000</v>
      </c>
      <c r="BO120" s="135"/>
      <c r="BP120" s="135">
        <v>190051250</v>
      </c>
      <c r="BQ120" s="135">
        <v>55256720</v>
      </c>
      <c r="BR120" s="135">
        <v>855804</v>
      </c>
      <c r="BS120" s="135">
        <v>13083063</v>
      </c>
      <c r="BT120" s="135">
        <v>259246837</v>
      </c>
    </row>
    <row r="121" spans="1:72" ht="15.75" thickBot="1" x14ac:dyDescent="0.3">
      <c r="A121" s="151" t="s">
        <v>175</v>
      </c>
      <c r="B121" s="142">
        <v>1780211345</v>
      </c>
      <c r="C121" s="142">
        <v>567349830</v>
      </c>
      <c r="D121" s="142">
        <v>366576745</v>
      </c>
      <c r="E121" s="142">
        <v>20345500</v>
      </c>
      <c r="F121" s="142">
        <v>98030800</v>
      </c>
      <c r="G121" s="142">
        <v>8354200</v>
      </c>
      <c r="H121" s="142">
        <v>11702100</v>
      </c>
      <c r="I121" s="142">
        <v>283500</v>
      </c>
      <c r="J121" s="142">
        <v>81000</v>
      </c>
      <c r="K121" s="142">
        <v>40500</v>
      </c>
      <c r="L121" s="142">
        <v>869925580</v>
      </c>
      <c r="M121" s="142">
        <v>298356500</v>
      </c>
      <c r="N121" s="142">
        <v>2729</v>
      </c>
      <c r="O121" s="142">
        <v>217</v>
      </c>
      <c r="P121" s="142">
        <v>16753200</v>
      </c>
      <c r="Q121" s="142">
        <v>9766100</v>
      </c>
      <c r="R121" s="142">
        <v>13491300</v>
      </c>
      <c r="S121" s="142">
        <v>0</v>
      </c>
      <c r="T121" s="142">
        <v>776000</v>
      </c>
      <c r="U121" s="142">
        <v>0</v>
      </c>
      <c r="V121" s="142">
        <v>16753200</v>
      </c>
      <c r="W121" s="142">
        <v>9766100</v>
      </c>
      <c r="X121" s="142">
        <v>13491300</v>
      </c>
      <c r="Y121" s="142">
        <v>0</v>
      </c>
      <c r="Z121" s="142">
        <v>776000</v>
      </c>
      <c r="AA121" s="142">
        <v>0</v>
      </c>
      <c r="AB121" s="142">
        <v>-2052500</v>
      </c>
      <c r="AC121" s="142">
        <v>0</v>
      </c>
      <c r="AD121" s="142">
        <v>0</v>
      </c>
      <c r="AE121" s="142">
        <v>0</v>
      </c>
      <c r="AF121" s="142">
        <v>0</v>
      </c>
      <c r="AG121" s="142">
        <v>105549</v>
      </c>
      <c r="AH121" s="142">
        <v>0</v>
      </c>
      <c r="AI121" s="142">
        <v>0</v>
      </c>
      <c r="AJ121" s="142">
        <v>0</v>
      </c>
      <c r="AK121" s="142">
        <v>268601614</v>
      </c>
      <c r="AL121" s="142">
        <v>7260873</v>
      </c>
      <c r="AM121" s="142"/>
      <c r="AN121" s="142">
        <v>53001225</v>
      </c>
      <c r="AO121" s="142">
        <v>9152968</v>
      </c>
      <c r="AP121" s="142">
        <v>210195690</v>
      </c>
      <c r="AQ121" s="142">
        <v>54077435</v>
      </c>
      <c r="AR121" s="142">
        <v>50903017</v>
      </c>
      <c r="AS121" s="142">
        <v>111841066</v>
      </c>
      <c r="AT121" s="142">
        <v>160934473</v>
      </c>
      <c r="AU121" s="142"/>
      <c r="AV121" s="142"/>
      <c r="AW121" s="142">
        <v>5960895</v>
      </c>
      <c r="AX121" s="142">
        <v>603082</v>
      </c>
      <c r="AY121" s="142">
        <v>3000</v>
      </c>
      <c r="AZ121" s="142">
        <v>14380602.35</v>
      </c>
      <c r="BA121" s="142">
        <v>7477913</v>
      </c>
      <c r="BB121" s="142">
        <v>0</v>
      </c>
      <c r="BC121" s="142">
        <v>1381184</v>
      </c>
      <c r="BD121" s="142">
        <v>2656123</v>
      </c>
      <c r="BE121" s="142">
        <v>15021841</v>
      </c>
      <c r="BF121" s="142">
        <v>14630314</v>
      </c>
      <c r="BG121" s="142">
        <v>67110479</v>
      </c>
      <c r="BH121" s="142">
        <v>65674801</v>
      </c>
      <c r="BI121" s="142">
        <v>196987958</v>
      </c>
      <c r="BJ121" s="142">
        <v>0</v>
      </c>
      <c r="BK121" s="142"/>
      <c r="BL121" s="142">
        <v>3392384205</v>
      </c>
      <c r="BM121" s="142">
        <v>2830369548</v>
      </c>
      <c r="BN121" s="142">
        <v>1934445</v>
      </c>
      <c r="BO121" s="142"/>
      <c r="BP121" s="142">
        <v>2714137920</v>
      </c>
      <c r="BQ121" s="142">
        <v>268601614</v>
      </c>
      <c r="BR121" s="142">
        <v>7260873</v>
      </c>
      <c r="BS121" s="142">
        <v>228072694</v>
      </c>
      <c r="BT121" s="142">
        <v>3218073101</v>
      </c>
    </row>
    <row r="122" spans="1:72" ht="15.75" thickTop="1" x14ac:dyDescent="0.25">
      <c r="A122" s="149"/>
    </row>
    <row r="123" spans="1:72" x14ac:dyDescent="0.25">
      <c r="A123" s="149" t="s">
        <v>332</v>
      </c>
      <c r="B123" s="150">
        <f>SUM(B2:B121)</f>
        <v>208677636520</v>
      </c>
      <c r="C123" s="150">
        <v>24388631081</v>
      </c>
      <c r="D123" s="150">
        <v>85885975664</v>
      </c>
      <c r="E123" s="150">
        <v>1668251343</v>
      </c>
      <c r="F123" s="150">
        <v>13395266954</v>
      </c>
      <c r="G123" s="150">
        <v>2338691553</v>
      </c>
      <c r="H123" s="150">
        <v>1811176947</v>
      </c>
      <c r="I123" s="150">
        <v>307024391</v>
      </c>
      <c r="J123" s="150">
        <v>25907265</v>
      </c>
      <c r="K123" s="150">
        <v>3737930</v>
      </c>
      <c r="L123" s="150">
        <v>46376876417</v>
      </c>
      <c r="M123" s="150">
        <v>16148730716</v>
      </c>
      <c r="N123" s="150">
        <v>7568500</v>
      </c>
      <c r="O123" s="150">
        <v>76713</v>
      </c>
      <c r="P123" s="150">
        <v>3664140643</v>
      </c>
      <c r="Q123" s="150">
        <v>566965540</v>
      </c>
      <c r="R123" s="150">
        <v>2452816719</v>
      </c>
      <c r="S123" s="150">
        <v>937711251</v>
      </c>
      <c r="T123" s="150">
        <v>256722463</v>
      </c>
      <c r="U123" s="150">
        <v>830752496</v>
      </c>
      <c r="V123" s="150">
        <v>3664140643</v>
      </c>
      <c r="W123" s="150">
        <v>690141451</v>
      </c>
      <c r="X123" s="150">
        <v>2829268573</v>
      </c>
      <c r="Y123" s="150">
        <v>937753851</v>
      </c>
      <c r="Z123" s="150">
        <v>506997122</v>
      </c>
      <c r="AA123" s="150">
        <v>829603282</v>
      </c>
      <c r="AB123" s="150">
        <v>-562294906</v>
      </c>
      <c r="AC123" s="150">
        <v>-493623346</v>
      </c>
      <c r="AD123" s="150">
        <v>8771670.4600000009</v>
      </c>
      <c r="AE123" s="150">
        <v>5175447.0410000002</v>
      </c>
      <c r="AF123" s="150">
        <v>2761120439</v>
      </c>
      <c r="AG123" s="150">
        <v>141567882.71159998</v>
      </c>
      <c r="AH123" s="150">
        <v>286447360</v>
      </c>
      <c r="AI123" s="150">
        <v>287871017</v>
      </c>
      <c r="AJ123" s="150">
        <v>243618267.20934427</v>
      </c>
      <c r="AK123" s="150">
        <v>38068048678</v>
      </c>
      <c r="AL123" s="150">
        <v>1249975248</v>
      </c>
      <c r="AM123" s="150">
        <v>92127810</v>
      </c>
      <c r="AN123" s="150">
        <v>12460421381</v>
      </c>
      <c r="AO123" s="150">
        <v>1347607876</v>
      </c>
      <c r="AP123" s="150">
        <v>25065678714</v>
      </c>
      <c r="AQ123" s="150">
        <v>11355127950</v>
      </c>
      <c r="AR123" s="150">
        <v>10456807880</v>
      </c>
      <c r="AS123" s="150">
        <v>20419421600</v>
      </c>
      <c r="AT123" s="150">
        <v>10270947535</v>
      </c>
      <c r="AU123" s="150">
        <v>48317807</v>
      </c>
      <c r="AV123" s="150">
        <v>17067561</v>
      </c>
      <c r="AW123" s="150">
        <v>1122295525</v>
      </c>
      <c r="AX123" s="150">
        <v>178589110</v>
      </c>
      <c r="AY123" s="150">
        <v>379932272</v>
      </c>
      <c r="AZ123" s="150">
        <v>2038116830.7899992</v>
      </c>
      <c r="BA123" s="150">
        <v>1059820749</v>
      </c>
      <c r="BB123" s="150">
        <v>1358601282.0000002</v>
      </c>
      <c r="BC123" s="150">
        <v>328997516</v>
      </c>
      <c r="BD123" s="150">
        <v>632687527</v>
      </c>
      <c r="BE123" s="150">
        <v>7334505186</v>
      </c>
      <c r="BF123" s="150">
        <v>7260457814</v>
      </c>
      <c r="BG123" s="150">
        <v>14085270970</v>
      </c>
      <c r="BH123" s="150">
        <v>13028637097</v>
      </c>
      <c r="BI123" s="150">
        <v>2941553360</v>
      </c>
      <c r="BJ123" s="150">
        <v>220466815</v>
      </c>
      <c r="BK123" s="150">
        <v>0</v>
      </c>
      <c r="BL123" s="150">
        <v>409091294393</v>
      </c>
      <c r="BM123" s="150">
        <v>344933337116.20929</v>
      </c>
      <c r="BN123" s="150">
        <v>416381875</v>
      </c>
    </row>
    <row r="124" spans="1:72" x14ac:dyDescent="0.25"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  <c r="BI124" s="150"/>
      <c r="BJ124" s="150"/>
      <c r="BK124" s="150"/>
      <c r="BL124" s="150"/>
      <c r="BM124" s="150"/>
      <c r="BN124" s="150"/>
    </row>
    <row r="129" spans="16:16" x14ac:dyDescent="0.25">
      <c r="P129">
        <v>4658736692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15613-EE69-4436-B6E7-1400E5F3EC56}">
  <dimension ref="A1:BT144"/>
  <sheetViews>
    <sheetView tabSelected="1" zoomScaleNormal="10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E13" sqref="E13"/>
    </sheetView>
  </sheetViews>
  <sheetFormatPr defaultRowHeight="15" x14ac:dyDescent="0.25"/>
  <cols>
    <col min="1" max="1" width="15.42578125" style="196" customWidth="1"/>
    <col min="2" max="2" width="17.42578125" style="135" customWidth="1"/>
    <col min="3" max="3" width="16" style="135" customWidth="1"/>
    <col min="4" max="4" width="16.42578125" style="135" customWidth="1"/>
    <col min="5" max="5" width="14.85546875" style="135" customWidth="1"/>
    <col min="6" max="6" width="16.42578125" style="171" customWidth="1"/>
    <col min="7" max="8" width="13.85546875" style="171" customWidth="1"/>
    <col min="9" max="9" width="12.85546875" style="171" customWidth="1"/>
    <col min="10" max="11" width="14.42578125" style="171" customWidth="1"/>
    <col min="12" max="12" width="15.42578125" style="171" bestFit="1" customWidth="1"/>
    <col min="13" max="13" width="19.42578125" style="171" customWidth="1"/>
    <col min="14" max="14" width="14.5703125" style="171" customWidth="1"/>
    <col min="15" max="15" width="13.5703125" style="171" customWidth="1"/>
    <col min="16" max="16" width="14.85546875" style="171" customWidth="1"/>
    <col min="17" max="17" width="13.85546875" style="171" customWidth="1"/>
    <col min="18" max="18" width="14.85546875" style="171" customWidth="1"/>
    <col min="19" max="20" width="13.85546875" style="171" customWidth="1"/>
    <col min="21" max="22" width="14.85546875" style="171" customWidth="1"/>
    <col min="23" max="23" width="13.85546875" style="171" customWidth="1"/>
    <col min="24" max="24" width="14.85546875" style="171" customWidth="1"/>
    <col min="25" max="25" width="19.5703125" style="171" bestFit="1" customWidth="1"/>
    <col min="26" max="26" width="13.85546875" style="171" customWidth="1"/>
    <col min="27" max="27" width="14.85546875" style="171" customWidth="1"/>
    <col min="28" max="28" width="16.5703125" style="171" customWidth="1"/>
    <col min="29" max="29" width="16.42578125" style="171" customWidth="1"/>
    <col min="30" max="30" width="11.42578125" style="171" customWidth="1"/>
    <col min="31" max="32" width="13.85546875" style="171" customWidth="1"/>
    <col min="33" max="33" width="15.140625" style="171" customWidth="1"/>
    <col min="34" max="34" width="13.85546875" style="171" customWidth="1"/>
    <col min="35" max="36" width="14.85546875" style="171" customWidth="1"/>
    <col min="37" max="37" width="16.42578125" style="171" customWidth="1"/>
    <col min="38" max="38" width="15.42578125" style="171" customWidth="1"/>
    <col min="39" max="39" width="15.140625" style="171" customWidth="1"/>
    <col min="40" max="40" width="16.42578125" style="171" customWidth="1"/>
    <col min="41" max="41" width="13.85546875" style="171" customWidth="1"/>
    <col min="42" max="42" width="16.85546875" style="171" customWidth="1"/>
    <col min="43" max="43" width="16.42578125" style="171" customWidth="1"/>
    <col min="44" max="44" width="15.5703125" style="171" customWidth="1"/>
    <col min="45" max="45" width="16.42578125" style="171" customWidth="1"/>
    <col min="46" max="46" width="15.85546875" style="171" customWidth="1"/>
    <col min="47" max="47" width="13.85546875" style="171" customWidth="1"/>
    <col min="48" max="48" width="12.85546875" style="171" customWidth="1"/>
    <col min="49" max="49" width="14.85546875" style="171" customWidth="1"/>
    <col min="50" max="50" width="13.85546875" style="171" customWidth="1"/>
    <col min="51" max="51" width="16.5703125" style="171" customWidth="1"/>
    <col min="52" max="52" width="16.85546875" style="171" customWidth="1"/>
    <col min="53" max="53" width="14.85546875" style="171" customWidth="1"/>
    <col min="54" max="54" width="14.42578125" style="171" customWidth="1"/>
    <col min="55" max="55" width="15.5703125" style="171" customWidth="1"/>
    <col min="56" max="56" width="15.42578125" style="171" customWidth="1"/>
    <col min="57" max="57" width="17.85546875" style="171" customWidth="1"/>
    <col min="58" max="59" width="18.42578125" style="171" customWidth="1"/>
    <col min="60" max="60" width="17.42578125" style="171" customWidth="1"/>
    <col min="61" max="61" width="14.85546875" style="171" customWidth="1"/>
    <col min="62" max="63" width="13.85546875" style="171" customWidth="1"/>
    <col min="64" max="64" width="16.42578125" style="165" customWidth="1"/>
    <col min="65" max="65" width="16.5703125" style="165" customWidth="1"/>
    <col min="66" max="66" width="12.5703125" style="165" bestFit="1" customWidth="1"/>
    <col min="67" max="67" width="9.140625" style="165"/>
    <col min="68" max="68" width="15" style="192" bestFit="1" customWidth="1"/>
    <col min="69" max="69" width="14.42578125" style="192" bestFit="1" customWidth="1"/>
    <col min="70" max="70" width="11.5703125" style="192" bestFit="1" customWidth="1"/>
    <col min="71" max="72" width="15" style="192" bestFit="1" customWidth="1"/>
    <col min="73" max="16384" width="9.140625" style="165"/>
  </cols>
  <sheetData>
    <row r="1" spans="1:72" s="158" customFormat="1" ht="64.5" thickBot="1" x14ac:dyDescent="0.25">
      <c r="A1" s="152" t="str">
        <f>'[9]CO CODE'!E1&amp;" "&amp;"COUNTY"</f>
        <v>2023 COUNTY</v>
      </c>
      <c r="B1" s="136" t="s">
        <v>0</v>
      </c>
      <c r="C1" s="136" t="s">
        <v>1</v>
      </c>
      <c r="D1" s="136" t="s">
        <v>2</v>
      </c>
      <c r="E1" s="136" t="s">
        <v>3</v>
      </c>
      <c r="F1" s="153" t="s">
        <v>4</v>
      </c>
      <c r="G1" s="153" t="s">
        <v>5</v>
      </c>
      <c r="H1" s="153" t="s">
        <v>6</v>
      </c>
      <c r="I1" s="154" t="s">
        <v>7</v>
      </c>
      <c r="J1" s="153" t="s">
        <v>8</v>
      </c>
      <c r="K1" s="153" t="s">
        <v>9</v>
      </c>
      <c r="L1" s="153" t="s">
        <v>10</v>
      </c>
      <c r="M1" s="153" t="s">
        <v>11</v>
      </c>
      <c r="N1" s="153" t="s">
        <v>12</v>
      </c>
      <c r="O1" s="153" t="s">
        <v>13</v>
      </c>
      <c r="P1" s="153" t="str">
        <f>'[9]CO CODE'!$E$1&amp;" "&amp;"RES ADD TAX"</f>
        <v>2023 RES ADD TAX</v>
      </c>
      <c r="Q1" s="153" t="str">
        <f>'[9]CO CODE'!$E$1&amp;" "&amp;"FARM ADD TAX"</f>
        <v>2023 FARM ADD TAX</v>
      </c>
      <c r="R1" s="153" t="str">
        <f>'[9]CO CODE'!$E$1&amp;" "&amp;"COMM ADD TAX"</f>
        <v>2023 COMM ADD TAX</v>
      </c>
      <c r="S1" s="153" t="str">
        <f>'[9]CO CODE'!$E$1-1&amp;" "&amp;"RES.DEL TAX"</f>
        <v>2022 RES.DEL TAX</v>
      </c>
      <c r="T1" s="153" t="str">
        <f>'[9]CO CODE'!$E$1-1&amp;" "&amp;"FARM DEL TAX"</f>
        <v>2022 FARM DEL TAX</v>
      </c>
      <c r="U1" s="153" t="str">
        <f>'[9]CO CODE'!$E$1-1&amp;" "&amp;"COMM.DEL. TAX"</f>
        <v>2022 COMM.DEL. TAX</v>
      </c>
      <c r="V1" s="153" t="str">
        <f>'[9]CO CODE'!$E$1&amp;" "&amp;"RES ADD FAIR CASH"</f>
        <v>2023 RES ADD FAIR CASH</v>
      </c>
      <c r="W1" s="153" t="str">
        <f>'[9]CO CODE'!$E$1&amp;" "&amp;"FARM ADD FAIR CASH"</f>
        <v>2023 FARM ADD FAIR CASH</v>
      </c>
      <c r="X1" s="153" t="str">
        <f>'[9]CO CODE'!$E$1&amp;" "&amp;"COMM ADD FAIR CASH"</f>
        <v>2023 COMM ADD FAIR CASH</v>
      </c>
      <c r="Y1" s="153" t="str">
        <f>'[9]CO CODE'!$E$1-1&amp;" "&amp;"RES DEL FAIR CASH"</f>
        <v>2022 RES DEL FAIR CASH</v>
      </c>
      <c r="Z1" s="153" t="str">
        <f>'[9]CO CODE'!$E$1-1&amp;" "&amp;"FARM DEL FAIR CASH"</f>
        <v>2022 FARM DEL FAIR CASH</v>
      </c>
      <c r="AA1" s="153" t="str">
        <f>'[9]CO CODE'!$E$1-1&amp;" "&amp;"COMM DEL FAIR CASH"</f>
        <v>2022 COMM DEL FAIR CASH</v>
      </c>
      <c r="AB1" s="153" t="str">
        <f>'[9]CO CODE'!$E$1-1&amp;" "&amp;"AMT. REAL EXONERATIONS"</f>
        <v>2022 AMT. REAL EXONERATIONS</v>
      </c>
      <c r="AC1" s="153" t="str">
        <f>'[9]CO CODE'!$E$1-1&amp;" "&amp;"AMT. TANG. EXONERATIONS"</f>
        <v>2022 AMT. TANG. EXONERATIONS</v>
      </c>
      <c r="AD1" s="153" t="s">
        <v>14</v>
      </c>
      <c r="AE1" s="153" t="s">
        <v>15</v>
      </c>
      <c r="AF1" s="153" t="s">
        <v>16</v>
      </c>
      <c r="AG1" s="153" t="s">
        <v>17</v>
      </c>
      <c r="AH1" s="153" t="s">
        <v>18</v>
      </c>
      <c r="AI1" s="153" t="s">
        <v>19</v>
      </c>
      <c r="AJ1" s="153" t="str">
        <f>'[9]CO CODE'!$E$1&amp;" "&amp;"TOTAL UNMINED C0AL"</f>
        <v>2023 TOTAL UNMINED C0AL</v>
      </c>
      <c r="AK1" s="153" t="s">
        <v>21</v>
      </c>
      <c r="AL1" s="153" t="s">
        <v>22</v>
      </c>
      <c r="AM1" s="153" t="s">
        <v>23</v>
      </c>
      <c r="AN1" s="153" t="s">
        <v>24</v>
      </c>
      <c r="AO1" s="153" t="s">
        <v>25</v>
      </c>
      <c r="AP1" s="153" t="s">
        <v>26</v>
      </c>
      <c r="AQ1" s="153" t="s">
        <v>27</v>
      </c>
      <c r="AR1" s="153" t="s">
        <v>28</v>
      </c>
      <c r="AS1" s="153" t="s">
        <v>29</v>
      </c>
      <c r="AT1" s="153" t="s">
        <v>30</v>
      </c>
      <c r="AU1" s="153" t="s">
        <v>31</v>
      </c>
      <c r="AV1" s="153" t="s">
        <v>32</v>
      </c>
      <c r="AW1" s="153" t="s">
        <v>33</v>
      </c>
      <c r="AX1" s="153" t="s">
        <v>34</v>
      </c>
      <c r="AY1" s="153" t="s">
        <v>35</v>
      </c>
      <c r="AZ1" s="153" t="s">
        <v>40</v>
      </c>
      <c r="BA1" s="153" t="s">
        <v>41</v>
      </c>
      <c r="BB1" s="153" t="s">
        <v>42</v>
      </c>
      <c r="BC1" s="136" t="s">
        <v>342</v>
      </c>
      <c r="BD1" s="136" t="s">
        <v>43</v>
      </c>
      <c r="BE1" s="153" t="s">
        <v>44</v>
      </c>
      <c r="BF1" s="153" t="s">
        <v>343</v>
      </c>
      <c r="BG1" s="153" t="s">
        <v>45</v>
      </c>
      <c r="BH1" s="153" t="s">
        <v>344</v>
      </c>
      <c r="BI1" s="136" t="s">
        <v>46</v>
      </c>
      <c r="BJ1" s="153" t="s">
        <v>47</v>
      </c>
      <c r="BK1" s="153" t="s">
        <v>48</v>
      </c>
      <c r="BL1" s="155" t="s">
        <v>49</v>
      </c>
      <c r="BM1" s="155" t="s">
        <v>50</v>
      </c>
      <c r="BN1" s="155" t="s">
        <v>51</v>
      </c>
      <c r="BO1" s="155"/>
      <c r="BP1" s="156" t="s">
        <v>326</v>
      </c>
      <c r="BQ1" s="157" t="s">
        <v>327</v>
      </c>
      <c r="BR1" s="157" t="s">
        <v>328</v>
      </c>
      <c r="BS1" s="157" t="s">
        <v>329</v>
      </c>
      <c r="BT1" s="157" t="s">
        <v>330</v>
      </c>
    </row>
    <row r="2" spans="1:72" x14ac:dyDescent="0.25">
      <c r="A2" s="159" t="s">
        <v>56</v>
      </c>
      <c r="B2" s="135">
        <v>377083650</v>
      </c>
      <c r="C2" s="135">
        <v>178655800</v>
      </c>
      <c r="D2" s="135">
        <v>146447400</v>
      </c>
      <c r="E2" s="135">
        <v>0</v>
      </c>
      <c r="F2" s="135">
        <v>61086600</v>
      </c>
      <c r="G2" s="135">
        <v>13124650</v>
      </c>
      <c r="H2" s="135">
        <v>27857650</v>
      </c>
      <c r="I2" s="135">
        <v>3534050</v>
      </c>
      <c r="J2" s="135">
        <v>256750</v>
      </c>
      <c r="K2" s="135">
        <v>71350</v>
      </c>
      <c r="L2" s="135">
        <v>401161300</v>
      </c>
      <c r="M2" s="135">
        <v>105881900</v>
      </c>
      <c r="N2" s="135">
        <v>2106</v>
      </c>
      <c r="O2" s="135">
        <v>457</v>
      </c>
      <c r="P2" s="135">
        <v>6015000</v>
      </c>
      <c r="Q2" s="135">
        <v>1835000</v>
      </c>
      <c r="R2" s="135">
        <v>366500</v>
      </c>
      <c r="S2" s="135">
        <v>823400</v>
      </c>
      <c r="T2" s="135">
        <v>105000</v>
      </c>
      <c r="U2" s="135">
        <v>1130000</v>
      </c>
      <c r="V2" s="135">
        <v>6015000</v>
      </c>
      <c r="W2" s="135">
        <v>1685000</v>
      </c>
      <c r="X2" s="135">
        <v>366500</v>
      </c>
      <c r="Y2" s="135">
        <v>823400</v>
      </c>
      <c r="Z2" s="135">
        <v>105000</v>
      </c>
      <c r="AA2" s="135">
        <v>1130000</v>
      </c>
      <c r="AB2" s="135">
        <v>-1705450</v>
      </c>
      <c r="AC2" s="135">
        <v>-16552</v>
      </c>
      <c r="AD2" s="135">
        <v>109064</v>
      </c>
      <c r="AE2" s="135">
        <v>0</v>
      </c>
      <c r="AF2" s="135">
        <v>0</v>
      </c>
      <c r="AG2" s="135">
        <v>222955</v>
      </c>
      <c r="AH2" s="135">
        <v>3036958</v>
      </c>
      <c r="AI2" s="135">
        <v>490144</v>
      </c>
      <c r="AJ2" s="135"/>
      <c r="AK2" s="160">
        <v>152632877</v>
      </c>
      <c r="AL2" s="161">
        <v>6920021</v>
      </c>
      <c r="AM2" s="135">
        <v>393248</v>
      </c>
      <c r="AN2" s="135">
        <v>20291238</v>
      </c>
      <c r="AO2" s="135">
        <v>726417</v>
      </c>
      <c r="AP2" s="135">
        <v>14059641</v>
      </c>
      <c r="AQ2" s="135">
        <v>26035378</v>
      </c>
      <c r="AR2" s="135">
        <v>88414649</v>
      </c>
      <c r="AS2" s="135">
        <v>248825</v>
      </c>
      <c r="AT2" s="135">
        <v>766133</v>
      </c>
      <c r="AU2" s="135"/>
      <c r="AV2" s="135"/>
      <c r="AW2" s="135"/>
      <c r="AX2" s="135">
        <v>712378</v>
      </c>
      <c r="AY2" s="135">
        <v>85000</v>
      </c>
      <c r="AZ2" s="160">
        <v>9447038.2400000002</v>
      </c>
      <c r="BA2" s="160">
        <v>5101401</v>
      </c>
      <c r="BB2" s="162">
        <v>0</v>
      </c>
      <c r="BC2" s="162">
        <v>0</v>
      </c>
      <c r="BD2" s="162">
        <v>0</v>
      </c>
      <c r="BE2" s="117">
        <v>32914905</v>
      </c>
      <c r="BF2" s="117">
        <v>32914905</v>
      </c>
      <c r="BG2" s="117">
        <v>45969364</v>
      </c>
      <c r="BH2" s="117">
        <v>45956715</v>
      </c>
      <c r="BI2" s="117">
        <v>0</v>
      </c>
      <c r="BJ2" s="117">
        <v>0</v>
      </c>
      <c r="BK2" s="138"/>
      <c r="BL2" s="163">
        <v>996292904</v>
      </c>
      <c r="BM2" s="163">
        <v>752766985</v>
      </c>
      <c r="BN2" s="164">
        <v>275500</v>
      </c>
      <c r="BP2" s="166">
        <f>B2+C2+D2</f>
        <v>702186850</v>
      </c>
      <c r="BQ2" s="167">
        <f>AK2</f>
        <v>152632877</v>
      </c>
      <c r="BR2" s="167">
        <f>AL2</f>
        <v>6920021</v>
      </c>
      <c r="BS2" s="166">
        <f>AN2+AO2+AQ2+AS2</f>
        <v>47301858</v>
      </c>
      <c r="BT2" s="166">
        <f>SUM(BP2:BS2)</f>
        <v>909041606</v>
      </c>
    </row>
    <row r="3" spans="1:72" x14ac:dyDescent="0.25">
      <c r="A3" s="168" t="s">
        <v>57</v>
      </c>
      <c r="B3" s="135">
        <v>728996449</v>
      </c>
      <c r="C3" s="135">
        <v>264422140</v>
      </c>
      <c r="D3" s="135">
        <v>144670235</v>
      </c>
      <c r="E3" s="135">
        <v>0</v>
      </c>
      <c r="F3" s="135">
        <v>61957784</v>
      </c>
      <c r="G3" s="135">
        <v>18436757</v>
      </c>
      <c r="H3" s="135">
        <v>22293889</v>
      </c>
      <c r="I3" s="135">
        <v>3437678</v>
      </c>
      <c r="J3" s="135">
        <v>92700</v>
      </c>
      <c r="K3" s="135">
        <v>0</v>
      </c>
      <c r="L3" s="135">
        <v>418283680</v>
      </c>
      <c r="M3" s="135">
        <v>163865881</v>
      </c>
      <c r="N3" s="135">
        <v>1895</v>
      </c>
      <c r="O3" s="135">
        <v>525</v>
      </c>
      <c r="P3" s="135">
        <v>18658215</v>
      </c>
      <c r="Q3" s="135">
        <v>5929989</v>
      </c>
      <c r="R3" s="135">
        <v>2793287</v>
      </c>
      <c r="S3" s="135">
        <v>5816404</v>
      </c>
      <c r="T3" s="135">
        <v>4352448</v>
      </c>
      <c r="U3" s="135">
        <v>2875116</v>
      </c>
      <c r="V3" s="135">
        <v>18658215</v>
      </c>
      <c r="W3" s="135">
        <v>5725850</v>
      </c>
      <c r="X3" s="135">
        <v>2793287</v>
      </c>
      <c r="Y3" s="135">
        <v>5816404</v>
      </c>
      <c r="Z3" s="135">
        <v>7820344</v>
      </c>
      <c r="AA3" s="135">
        <v>2875116</v>
      </c>
      <c r="AB3" s="135">
        <v>-2869335</v>
      </c>
      <c r="AC3" s="135"/>
      <c r="AD3" s="135">
        <v>59238</v>
      </c>
      <c r="AE3" s="135">
        <v>0</v>
      </c>
      <c r="AF3" s="135">
        <v>0</v>
      </c>
      <c r="AG3" s="135">
        <v>45754</v>
      </c>
      <c r="AH3" s="135">
        <v>721628</v>
      </c>
      <c r="AI3" s="135">
        <v>290500</v>
      </c>
      <c r="AJ3" s="169"/>
      <c r="AK3" s="160">
        <v>188527084</v>
      </c>
      <c r="AL3" s="161">
        <v>11244446</v>
      </c>
      <c r="AM3" s="135">
        <v>120000</v>
      </c>
      <c r="AN3" s="135">
        <v>36354200</v>
      </c>
      <c r="AO3" s="135">
        <v>3271550</v>
      </c>
      <c r="AP3" s="135">
        <v>120603907</v>
      </c>
      <c r="AQ3" s="135">
        <v>89663983</v>
      </c>
      <c r="AR3" s="135">
        <v>38978426</v>
      </c>
      <c r="AS3" s="135">
        <v>66193851</v>
      </c>
      <c r="AT3" s="135"/>
      <c r="AU3" s="135"/>
      <c r="AV3" s="135"/>
      <c r="AW3" s="135"/>
      <c r="AX3" s="135">
        <v>103826</v>
      </c>
      <c r="AY3" s="135"/>
      <c r="AZ3" s="160">
        <v>11668669.34</v>
      </c>
      <c r="BA3" s="160">
        <v>6301081</v>
      </c>
      <c r="BB3" s="162">
        <v>0</v>
      </c>
      <c r="BC3" s="162">
        <v>0</v>
      </c>
      <c r="BD3" s="162">
        <v>0</v>
      </c>
      <c r="BE3" s="117">
        <v>20806504</v>
      </c>
      <c r="BF3" s="117">
        <v>20806504</v>
      </c>
      <c r="BG3" s="117">
        <v>65086476</v>
      </c>
      <c r="BH3" s="117">
        <v>65071139</v>
      </c>
      <c r="BI3" s="117">
        <v>0</v>
      </c>
      <c r="BJ3" s="117">
        <v>0</v>
      </c>
      <c r="BK3" s="138"/>
      <c r="BL3" s="163">
        <v>1560340939</v>
      </c>
      <c r="BM3" s="163">
        <v>1268390685</v>
      </c>
      <c r="BN3" s="164">
        <v>1681692</v>
      </c>
      <c r="BP3" s="166">
        <f t="shared" ref="BP3:BP66" si="0">B3+C3+D3</f>
        <v>1138088824</v>
      </c>
      <c r="BQ3" s="167">
        <f>AK3</f>
        <v>188527084</v>
      </c>
      <c r="BR3" s="167">
        <f>AL3</f>
        <v>11244446</v>
      </c>
      <c r="BS3" s="166">
        <f>AN3+AO3+AQ3+AS3</f>
        <v>195483584</v>
      </c>
      <c r="BT3" s="166">
        <f t="shared" ref="BT3:BT66" si="1">SUM(BP3:BS3)</f>
        <v>1533343938</v>
      </c>
    </row>
    <row r="4" spans="1:72" x14ac:dyDescent="0.25">
      <c r="A4" s="168" t="s">
        <v>58</v>
      </c>
      <c r="B4" s="135">
        <v>1248129144</v>
      </c>
      <c r="C4" s="135">
        <v>205738855</v>
      </c>
      <c r="D4" s="135">
        <v>288361291</v>
      </c>
      <c r="E4" s="135">
        <v>0</v>
      </c>
      <c r="F4" s="135">
        <v>92238949</v>
      </c>
      <c r="G4" s="135">
        <v>9905700</v>
      </c>
      <c r="H4" s="135">
        <v>17942750</v>
      </c>
      <c r="I4" s="135">
        <v>1344150</v>
      </c>
      <c r="J4" s="135">
        <v>185400</v>
      </c>
      <c r="K4" s="135">
        <v>0</v>
      </c>
      <c r="L4" s="135">
        <v>273318458</v>
      </c>
      <c r="M4" s="135">
        <v>147984410</v>
      </c>
      <c r="N4" s="135">
        <v>2417</v>
      </c>
      <c r="O4" s="135">
        <v>254</v>
      </c>
      <c r="P4" s="135">
        <v>23742730</v>
      </c>
      <c r="Q4" s="135">
        <v>3479401</v>
      </c>
      <c r="R4" s="135">
        <v>2355000</v>
      </c>
      <c r="S4" s="135">
        <v>699400</v>
      </c>
      <c r="T4" s="135">
        <v>0</v>
      </c>
      <c r="U4" s="135">
        <v>920600</v>
      </c>
      <c r="V4" s="135">
        <v>23742730</v>
      </c>
      <c r="W4" s="135">
        <v>4345001</v>
      </c>
      <c r="X4" s="135">
        <v>2355000</v>
      </c>
      <c r="Y4" s="135">
        <v>699400</v>
      </c>
      <c r="Z4" s="135">
        <v>0</v>
      </c>
      <c r="AA4" s="135">
        <v>920600</v>
      </c>
      <c r="AB4" s="135">
        <v>-3844500</v>
      </c>
      <c r="AC4" s="135">
        <v>-18923</v>
      </c>
      <c r="AD4" s="135">
        <v>0</v>
      </c>
      <c r="AE4" s="135">
        <v>0</v>
      </c>
      <c r="AF4" s="135">
        <v>0</v>
      </c>
      <c r="AG4" s="135">
        <v>105245</v>
      </c>
      <c r="AH4" s="135">
        <v>0</v>
      </c>
      <c r="AI4" s="135">
        <v>219630</v>
      </c>
      <c r="AJ4" s="169"/>
      <c r="AK4" s="160">
        <v>250424376</v>
      </c>
      <c r="AL4" s="161">
        <v>7887895</v>
      </c>
      <c r="AM4" s="135"/>
      <c r="AN4" s="135">
        <v>42159508</v>
      </c>
      <c r="AO4" s="135">
        <v>7385064</v>
      </c>
      <c r="AP4" s="135">
        <v>134810841</v>
      </c>
      <c r="AQ4" s="135">
        <v>60816792</v>
      </c>
      <c r="AR4" s="135">
        <v>33195692</v>
      </c>
      <c r="AS4" s="135">
        <v>32147737</v>
      </c>
      <c r="AT4" s="135">
        <v>422365</v>
      </c>
      <c r="AU4" s="135"/>
      <c r="AV4" s="135"/>
      <c r="AW4" s="135">
        <v>7631167</v>
      </c>
      <c r="AX4" s="135">
        <v>7592</v>
      </c>
      <c r="AY4" s="135">
        <v>32500</v>
      </c>
      <c r="AZ4" s="160">
        <v>15499731.789999999</v>
      </c>
      <c r="BA4" s="160">
        <v>8369855</v>
      </c>
      <c r="BB4" s="162">
        <v>0</v>
      </c>
      <c r="BC4" s="162">
        <v>2332046</v>
      </c>
      <c r="BD4" s="162">
        <v>3480665</v>
      </c>
      <c r="BE4" s="117">
        <v>18369378</v>
      </c>
      <c r="BF4" s="117">
        <v>18369378</v>
      </c>
      <c r="BG4" s="117">
        <v>47800872</v>
      </c>
      <c r="BH4" s="117">
        <v>46618549</v>
      </c>
      <c r="BI4" s="117">
        <v>213207747</v>
      </c>
      <c r="BJ4" s="117">
        <v>0</v>
      </c>
      <c r="BK4" s="138"/>
      <c r="BL4" s="163">
        <v>2400020130</v>
      </c>
      <c r="BM4" s="163">
        <v>1852810284</v>
      </c>
      <c r="BN4" s="164"/>
      <c r="BP4" s="166">
        <f t="shared" si="0"/>
        <v>1742229290</v>
      </c>
      <c r="BQ4" s="167">
        <f>AK4</f>
        <v>250424376</v>
      </c>
      <c r="BR4" s="167">
        <f>AL4</f>
        <v>7887895</v>
      </c>
      <c r="BS4" s="166">
        <f>AN4+AO4+AQ4+AS4</f>
        <v>142509101</v>
      </c>
      <c r="BT4" s="166">
        <f t="shared" si="1"/>
        <v>2143050662</v>
      </c>
    </row>
    <row r="5" spans="1:72" x14ac:dyDescent="0.25">
      <c r="A5" s="168" t="s">
        <v>59</v>
      </c>
      <c r="B5" s="135">
        <v>204480875</v>
      </c>
      <c r="C5" s="135">
        <v>177390857</v>
      </c>
      <c r="D5" s="135">
        <v>75461779</v>
      </c>
      <c r="E5" s="135">
        <v>0</v>
      </c>
      <c r="F5" s="135">
        <v>33153350</v>
      </c>
      <c r="G5" s="135">
        <v>7062866</v>
      </c>
      <c r="H5" s="135">
        <v>8850164</v>
      </c>
      <c r="I5" s="135">
        <v>1158750</v>
      </c>
      <c r="J5" s="135">
        <v>0</v>
      </c>
      <c r="K5" s="135">
        <v>46350</v>
      </c>
      <c r="L5" s="135">
        <v>405139506</v>
      </c>
      <c r="M5" s="135">
        <v>53191453</v>
      </c>
      <c r="N5" s="135">
        <v>961</v>
      </c>
      <c r="O5" s="135">
        <v>201</v>
      </c>
      <c r="P5" s="135">
        <v>3344295</v>
      </c>
      <c r="Q5" s="135">
        <v>0</v>
      </c>
      <c r="R5" s="135">
        <v>1419990</v>
      </c>
      <c r="S5" s="135">
        <v>761200</v>
      </c>
      <c r="T5" s="135"/>
      <c r="U5" s="135">
        <v>1328500</v>
      </c>
      <c r="V5" s="135">
        <v>3344295</v>
      </c>
      <c r="W5" s="135"/>
      <c r="X5" s="135">
        <v>1419990</v>
      </c>
      <c r="Y5" s="135">
        <v>761200</v>
      </c>
      <c r="Z5" s="135"/>
      <c r="AA5" s="135">
        <v>1328500</v>
      </c>
      <c r="AB5" s="135">
        <v>-1556345</v>
      </c>
      <c r="AC5" s="135">
        <v>5635906</v>
      </c>
      <c r="AD5" s="135"/>
      <c r="AE5" s="135"/>
      <c r="AF5" s="135"/>
      <c r="AG5" s="135"/>
      <c r="AH5" s="135">
        <v>0</v>
      </c>
      <c r="AI5" s="135">
        <v>330000</v>
      </c>
      <c r="AJ5" s="169"/>
      <c r="AK5" s="160">
        <v>91529510</v>
      </c>
      <c r="AL5" s="161">
        <v>3627694</v>
      </c>
      <c r="AM5" s="165"/>
      <c r="AN5" s="135">
        <v>30901345</v>
      </c>
      <c r="AO5" s="135">
        <v>7550925</v>
      </c>
      <c r="AP5" s="135">
        <v>136470124</v>
      </c>
      <c r="AQ5" s="135">
        <v>24036959</v>
      </c>
      <c r="AR5" s="135">
        <v>22329220</v>
      </c>
      <c r="AS5" s="135">
        <v>1672034</v>
      </c>
      <c r="AT5" s="135">
        <v>575520</v>
      </c>
      <c r="AU5" s="165"/>
      <c r="AV5" s="165"/>
      <c r="AW5" s="135">
        <v>12814438</v>
      </c>
      <c r="AX5" s="165"/>
      <c r="AY5" s="165"/>
      <c r="AZ5" s="160">
        <v>5665114.8700000001</v>
      </c>
      <c r="BA5" s="160">
        <v>3059162</v>
      </c>
      <c r="BB5" s="170">
        <v>31505876.666113988</v>
      </c>
      <c r="BC5" s="162">
        <v>1527588</v>
      </c>
      <c r="BD5" s="162">
        <v>2279982</v>
      </c>
      <c r="BE5" s="117">
        <v>27920131</v>
      </c>
      <c r="BF5" s="117">
        <v>27920131</v>
      </c>
      <c r="BG5" s="117">
        <v>76045015</v>
      </c>
      <c r="BH5" s="117">
        <v>64583237</v>
      </c>
      <c r="BI5" s="117">
        <v>289801</v>
      </c>
      <c r="BJ5" s="117">
        <v>0</v>
      </c>
      <c r="BK5" s="138"/>
      <c r="BL5" s="163">
        <v>1824212953</v>
      </c>
      <c r="BM5" s="163">
        <v>1631675830</v>
      </c>
      <c r="BN5" s="164"/>
      <c r="BP5" s="166">
        <f t="shared" si="0"/>
        <v>457333511</v>
      </c>
      <c r="BQ5" s="167">
        <f>AK5</f>
        <v>91529510</v>
      </c>
      <c r="BR5" s="167">
        <f>AL5</f>
        <v>3627694</v>
      </c>
      <c r="BS5" s="166">
        <f>AN115+AO115+AQ115+AS115</f>
        <v>1583696702</v>
      </c>
      <c r="BT5" s="166">
        <f t="shared" si="1"/>
        <v>2136187417</v>
      </c>
    </row>
    <row r="6" spans="1:72" x14ac:dyDescent="0.25">
      <c r="A6" s="168" t="s">
        <v>60</v>
      </c>
      <c r="B6" s="135">
        <v>1565332000</v>
      </c>
      <c r="C6" s="135">
        <v>353398633</v>
      </c>
      <c r="D6" s="135">
        <v>586153983</v>
      </c>
      <c r="E6" s="135">
        <v>48500</v>
      </c>
      <c r="F6" s="135">
        <v>161145969</v>
      </c>
      <c r="G6" s="135">
        <v>18805880</v>
      </c>
      <c r="H6" s="135">
        <v>33578563</v>
      </c>
      <c r="I6" s="135">
        <v>2030400</v>
      </c>
      <c r="J6" s="135">
        <v>324450</v>
      </c>
      <c r="K6" s="135">
        <v>0</v>
      </c>
      <c r="L6" s="135">
        <v>725501973</v>
      </c>
      <c r="M6" s="135">
        <v>277448075</v>
      </c>
      <c r="N6" s="135">
        <v>4273</v>
      </c>
      <c r="O6" s="135">
        <v>471</v>
      </c>
      <c r="P6" s="135">
        <v>42792900</v>
      </c>
      <c r="Q6" s="135">
        <v>11829700</v>
      </c>
      <c r="R6" s="135">
        <v>18375350</v>
      </c>
      <c r="S6" s="135">
        <v>6440700</v>
      </c>
      <c r="T6" s="135">
        <v>3288750</v>
      </c>
      <c r="U6" s="135">
        <v>3236400</v>
      </c>
      <c r="V6" s="135">
        <v>42792900</v>
      </c>
      <c r="W6" s="135">
        <v>15091866</v>
      </c>
      <c r="X6" s="135">
        <v>18375350</v>
      </c>
      <c r="Y6" s="135">
        <v>6440700</v>
      </c>
      <c r="Z6" s="135">
        <v>6688100</v>
      </c>
      <c r="AA6" s="135">
        <v>3236400</v>
      </c>
      <c r="AB6" s="135">
        <v>-1114695</v>
      </c>
      <c r="AC6" s="135">
        <v>-7631012</v>
      </c>
      <c r="AD6" s="135"/>
      <c r="AE6" s="135"/>
      <c r="AF6" s="135"/>
      <c r="AG6" s="135">
        <v>265378</v>
      </c>
      <c r="AH6" s="135">
        <v>329658</v>
      </c>
      <c r="AI6" s="139">
        <v>374138</v>
      </c>
      <c r="AJ6" s="169"/>
      <c r="AK6" s="160">
        <v>404804985</v>
      </c>
      <c r="AL6" s="161">
        <v>23021820</v>
      </c>
      <c r="AM6" s="135">
        <v>2493218</v>
      </c>
      <c r="AN6" s="135">
        <v>91047295</v>
      </c>
      <c r="AO6" s="135">
        <v>17714258</v>
      </c>
      <c r="AP6" s="135">
        <v>230429286</v>
      </c>
      <c r="AQ6" s="135">
        <v>158380358</v>
      </c>
      <c r="AR6" s="135">
        <v>102486198</v>
      </c>
      <c r="AS6" s="135">
        <v>420562699</v>
      </c>
      <c r="AT6" s="135">
        <v>10335019</v>
      </c>
      <c r="AU6" s="135"/>
      <c r="AV6" s="135">
        <v>15525</v>
      </c>
      <c r="AW6" s="135">
        <v>24502</v>
      </c>
      <c r="AX6" s="135">
        <v>13834666</v>
      </c>
      <c r="AY6" s="135">
        <v>365375</v>
      </c>
      <c r="AZ6" s="160">
        <v>25054943.91</v>
      </c>
      <c r="BA6" s="160">
        <v>13529670</v>
      </c>
      <c r="BB6" s="162">
        <v>0</v>
      </c>
      <c r="BC6" s="162">
        <v>1895816</v>
      </c>
      <c r="BD6" s="162">
        <v>2829576</v>
      </c>
      <c r="BE6" s="117">
        <v>48472142</v>
      </c>
      <c r="BF6" s="117">
        <v>48413232</v>
      </c>
      <c r="BG6" s="117">
        <v>107045506</v>
      </c>
      <c r="BH6" s="117">
        <v>104255240</v>
      </c>
      <c r="BI6" s="117">
        <v>0</v>
      </c>
      <c r="BJ6" s="117">
        <v>20104629</v>
      </c>
      <c r="BK6" s="138"/>
      <c r="BL6" s="163">
        <v>3388755715</v>
      </c>
      <c r="BM6" s="163">
        <v>2772730323</v>
      </c>
      <c r="BN6" s="164">
        <v>4203700</v>
      </c>
      <c r="BP6" s="166">
        <f t="shared" si="0"/>
        <v>2504884616</v>
      </c>
      <c r="BQ6" s="167">
        <f>AK6</f>
        <v>404804985</v>
      </c>
      <c r="BR6" s="167">
        <f>AL6</f>
        <v>23021820</v>
      </c>
      <c r="BS6" s="166">
        <f>AN6+AO6+AQ6+AS6</f>
        <v>687704610</v>
      </c>
      <c r="BT6" s="166">
        <f t="shared" si="1"/>
        <v>3620416031</v>
      </c>
    </row>
    <row r="7" spans="1:72" x14ac:dyDescent="0.25">
      <c r="A7" s="168" t="s">
        <v>61</v>
      </c>
      <c r="B7" s="135">
        <v>217132503</v>
      </c>
      <c r="C7" s="135">
        <v>107893400</v>
      </c>
      <c r="D7" s="135">
        <v>55048482</v>
      </c>
      <c r="E7" s="135">
        <v>17400006</v>
      </c>
      <c r="F7" s="135">
        <v>37639072</v>
      </c>
      <c r="G7" s="135">
        <v>16329992</v>
      </c>
      <c r="H7" s="135">
        <v>12291521</v>
      </c>
      <c r="I7" s="135">
        <v>2982021</v>
      </c>
      <c r="J7" s="135">
        <v>0</v>
      </c>
      <c r="K7" s="135">
        <v>46350</v>
      </c>
      <c r="L7" s="135">
        <v>162868906</v>
      </c>
      <c r="M7" s="135">
        <v>68802445</v>
      </c>
      <c r="N7" s="135">
        <v>1180</v>
      </c>
      <c r="O7" s="135">
        <v>508</v>
      </c>
      <c r="P7" s="135">
        <v>1336841</v>
      </c>
      <c r="Q7" s="135">
        <v>699761</v>
      </c>
      <c r="R7" s="135">
        <v>5610254</v>
      </c>
      <c r="S7" s="135">
        <v>886291</v>
      </c>
      <c r="T7" s="135">
        <v>248907</v>
      </c>
      <c r="U7" s="135">
        <v>327699</v>
      </c>
      <c r="V7" s="135">
        <v>1336841</v>
      </c>
      <c r="W7" s="135">
        <v>758436</v>
      </c>
      <c r="X7" s="135">
        <v>5610254</v>
      </c>
      <c r="Y7" s="135">
        <v>886291</v>
      </c>
      <c r="Z7" s="135">
        <v>261671</v>
      </c>
      <c r="AA7" s="135">
        <v>327699</v>
      </c>
      <c r="AB7" s="135">
        <v>-3015103</v>
      </c>
      <c r="AC7" s="135">
        <v>0</v>
      </c>
      <c r="AD7" s="135">
        <v>133</v>
      </c>
      <c r="AE7" s="135">
        <v>10166</v>
      </c>
      <c r="AF7" s="135">
        <v>27522278</v>
      </c>
      <c r="AG7" s="135">
        <v>229504</v>
      </c>
      <c r="AH7" s="135">
        <v>0</v>
      </c>
      <c r="AI7" s="139">
        <v>0</v>
      </c>
      <c r="AJ7" s="169"/>
      <c r="AK7" s="160">
        <v>106351069</v>
      </c>
      <c r="AL7" s="161">
        <v>2545354</v>
      </c>
      <c r="AM7" s="135"/>
      <c r="AN7" s="135">
        <v>19568250</v>
      </c>
      <c r="AO7" s="135">
        <v>2429829</v>
      </c>
      <c r="AP7" s="135">
        <v>13902827</v>
      </c>
      <c r="AQ7" s="135">
        <v>6318016</v>
      </c>
      <c r="AR7" s="135">
        <v>7093128</v>
      </c>
      <c r="AS7" s="135">
        <v>8024862</v>
      </c>
      <c r="AT7" s="135">
        <v>166421</v>
      </c>
      <c r="AU7" s="135"/>
      <c r="AV7" s="135"/>
      <c r="AW7" s="135">
        <v>1136186</v>
      </c>
      <c r="AX7" s="135">
        <v>132881</v>
      </c>
      <c r="AY7" s="135">
        <v>92500</v>
      </c>
      <c r="AZ7" s="160">
        <v>6582478.4000000004</v>
      </c>
      <c r="BA7" s="160">
        <v>3554538</v>
      </c>
      <c r="BB7" s="162">
        <v>0</v>
      </c>
      <c r="BC7" s="162">
        <v>0</v>
      </c>
      <c r="BD7" s="162">
        <v>0</v>
      </c>
      <c r="BE7" s="117">
        <v>39906277</v>
      </c>
      <c r="BF7" s="117">
        <v>39906277</v>
      </c>
      <c r="BG7" s="117">
        <v>164349798</v>
      </c>
      <c r="BH7" s="117">
        <v>164310808</v>
      </c>
      <c r="BI7" s="117">
        <v>0</v>
      </c>
      <c r="BJ7" s="117">
        <v>0</v>
      </c>
      <c r="BK7" s="138"/>
      <c r="BL7" s="163">
        <v>725058526</v>
      </c>
      <c r="BM7" s="163">
        <v>408390480</v>
      </c>
      <c r="BN7" s="164">
        <v>893000</v>
      </c>
      <c r="BP7" s="166">
        <f t="shared" si="0"/>
        <v>380074385</v>
      </c>
      <c r="BQ7" s="167">
        <f>AK7</f>
        <v>106351069</v>
      </c>
      <c r="BR7" s="167">
        <f>AL7</f>
        <v>2545354</v>
      </c>
      <c r="BS7" s="166">
        <f>AN7+AO7+AQ7+AS7</f>
        <v>36340957</v>
      </c>
      <c r="BT7" s="166">
        <f t="shared" si="1"/>
        <v>525311765</v>
      </c>
    </row>
    <row r="8" spans="1:72" x14ac:dyDescent="0.25">
      <c r="A8" s="168" t="s">
        <v>62</v>
      </c>
      <c r="B8" s="135">
        <v>469266460</v>
      </c>
      <c r="C8" s="135">
        <v>29704600</v>
      </c>
      <c r="D8" s="135">
        <v>200475554</v>
      </c>
      <c r="E8" s="135">
        <v>0</v>
      </c>
      <c r="F8" s="135">
        <v>93585530</v>
      </c>
      <c r="G8" s="135">
        <v>20345980</v>
      </c>
      <c r="H8" s="135">
        <v>5180450</v>
      </c>
      <c r="I8" s="135">
        <v>587350</v>
      </c>
      <c r="J8" s="135">
        <v>139050</v>
      </c>
      <c r="K8" s="135">
        <v>0</v>
      </c>
      <c r="L8" s="135">
        <v>33450830</v>
      </c>
      <c r="M8" s="135">
        <v>156616</v>
      </c>
      <c r="N8" s="135">
        <v>2574</v>
      </c>
      <c r="O8" s="135">
        <v>618</v>
      </c>
      <c r="P8" s="135">
        <v>737500</v>
      </c>
      <c r="Q8" s="135">
        <v>0</v>
      </c>
      <c r="R8" s="135">
        <v>26193600</v>
      </c>
      <c r="S8" s="135">
        <v>28119700</v>
      </c>
      <c r="T8" s="135">
        <v>26000</v>
      </c>
      <c r="U8" s="135">
        <v>583600</v>
      </c>
      <c r="V8" s="135">
        <v>737500</v>
      </c>
      <c r="W8" s="135">
        <v>0</v>
      </c>
      <c r="X8" s="135">
        <v>26193600</v>
      </c>
      <c r="Y8" s="135">
        <v>28119700</v>
      </c>
      <c r="Z8" s="135">
        <v>55000</v>
      </c>
      <c r="AA8" s="135">
        <v>583600</v>
      </c>
      <c r="AB8" s="135">
        <v>-5577900</v>
      </c>
      <c r="AC8" s="135">
        <v>25608</v>
      </c>
      <c r="AD8" s="135">
        <v>156616</v>
      </c>
      <c r="AE8" s="135"/>
      <c r="AF8" s="135"/>
      <c r="AG8" s="135"/>
      <c r="AH8" s="135">
        <v>6173431</v>
      </c>
      <c r="AI8" s="139">
        <v>799575</v>
      </c>
      <c r="AJ8" s="169">
        <v>6030500</v>
      </c>
      <c r="AK8" s="160">
        <v>158502657</v>
      </c>
      <c r="AL8" s="161">
        <v>1269415</v>
      </c>
      <c r="AM8" s="135"/>
      <c r="AN8" s="135">
        <v>50739156</v>
      </c>
      <c r="AO8" s="135">
        <v>4636180</v>
      </c>
      <c r="AP8" s="135">
        <v>36494641</v>
      </c>
      <c r="AQ8" s="135">
        <v>47910115</v>
      </c>
      <c r="AR8" s="135">
        <v>27905777</v>
      </c>
      <c r="AS8" s="135">
        <v>11705</v>
      </c>
      <c r="AT8" s="135"/>
      <c r="AU8" s="135"/>
      <c r="AV8" s="135"/>
      <c r="AW8" s="135"/>
      <c r="AX8" s="135">
        <v>32732</v>
      </c>
      <c r="AY8" s="135">
        <v>2004000</v>
      </c>
      <c r="AZ8" s="160">
        <v>9810341.5899999999</v>
      </c>
      <c r="BA8" s="160">
        <v>5297584</v>
      </c>
      <c r="BB8" s="162">
        <v>0</v>
      </c>
      <c r="BC8" s="162">
        <v>10999809</v>
      </c>
      <c r="BD8" s="162">
        <v>16417625</v>
      </c>
      <c r="BE8" s="117">
        <v>62313549</v>
      </c>
      <c r="BF8" s="117">
        <v>62313549</v>
      </c>
      <c r="BG8" s="117">
        <v>120167406</v>
      </c>
      <c r="BH8" s="117">
        <v>114881964</v>
      </c>
      <c r="BI8" s="117">
        <v>0</v>
      </c>
      <c r="BJ8" s="117">
        <v>0</v>
      </c>
      <c r="BK8" s="138"/>
      <c r="BL8" s="163">
        <v>1169000549</v>
      </c>
      <c r="BM8" s="163">
        <v>815735571</v>
      </c>
      <c r="BN8" s="164">
        <v>2481300</v>
      </c>
      <c r="BP8" s="166">
        <f t="shared" si="0"/>
        <v>699446614</v>
      </c>
      <c r="BQ8" s="167">
        <f>AK8</f>
        <v>158502657</v>
      </c>
      <c r="BR8" s="167">
        <f>AL8</f>
        <v>1269415</v>
      </c>
      <c r="BS8" s="166">
        <f>AN8+AO8+AQ8+AS8</f>
        <v>103297156</v>
      </c>
      <c r="BT8" s="166">
        <f t="shared" si="1"/>
        <v>962515842</v>
      </c>
    </row>
    <row r="9" spans="1:72" x14ac:dyDescent="0.25">
      <c r="A9" s="168" t="s">
        <v>63</v>
      </c>
      <c r="B9" s="135">
        <v>9405020754</v>
      </c>
      <c r="C9" s="135">
        <v>345700222</v>
      </c>
      <c r="D9" s="135">
        <v>6123568900</v>
      </c>
      <c r="E9" s="135">
        <v>317928030</v>
      </c>
      <c r="F9" s="135">
        <v>449486120</v>
      </c>
      <c r="G9" s="135">
        <v>29789770</v>
      </c>
      <c r="H9" s="135">
        <v>21969070</v>
      </c>
      <c r="I9" s="135">
        <v>556200</v>
      </c>
      <c r="J9" s="135">
        <v>602550</v>
      </c>
      <c r="K9" s="135">
        <v>0</v>
      </c>
      <c r="L9" s="135">
        <v>890578508</v>
      </c>
      <c r="M9" s="135"/>
      <c r="N9" s="135">
        <v>9451</v>
      </c>
      <c r="O9" s="135">
        <v>594</v>
      </c>
      <c r="P9" s="135">
        <v>198806623</v>
      </c>
      <c r="Q9" s="135">
        <v>8856450</v>
      </c>
      <c r="R9" s="135">
        <v>9281000</v>
      </c>
      <c r="S9" s="135">
        <v>8263730</v>
      </c>
      <c r="T9" s="135">
        <v>609300</v>
      </c>
      <c r="U9" s="135">
        <v>71001545</v>
      </c>
      <c r="V9" s="135">
        <v>198806623</v>
      </c>
      <c r="W9" s="135">
        <v>8856450</v>
      </c>
      <c r="X9" s="135">
        <v>9281000</v>
      </c>
      <c r="Y9" s="135">
        <v>8263730</v>
      </c>
      <c r="Z9" s="135">
        <v>609300</v>
      </c>
      <c r="AA9" s="135">
        <v>71001545</v>
      </c>
      <c r="AB9" s="135">
        <v>-12878520</v>
      </c>
      <c r="AC9" s="135">
        <v>30566065</v>
      </c>
      <c r="AD9" s="135"/>
      <c r="AE9" s="135"/>
      <c r="AF9" s="135"/>
      <c r="AG9" s="135"/>
      <c r="AH9" s="135">
        <v>0</v>
      </c>
      <c r="AI9" s="139">
        <v>700575</v>
      </c>
      <c r="AJ9" s="169"/>
      <c r="AK9" s="160">
        <v>1659533267</v>
      </c>
      <c r="AL9" s="161">
        <v>34580643</v>
      </c>
      <c r="AM9" s="135">
        <v>27500</v>
      </c>
      <c r="AN9" s="135">
        <v>1510849195</v>
      </c>
      <c r="AO9" s="135">
        <v>60043519</v>
      </c>
      <c r="AP9" s="135">
        <v>1230585690</v>
      </c>
      <c r="AQ9" s="135">
        <v>1178446179</v>
      </c>
      <c r="AR9" s="135">
        <v>835683479</v>
      </c>
      <c r="AS9" s="135">
        <v>2774379501</v>
      </c>
      <c r="AT9" s="135">
        <f>2720718+334067865</f>
        <v>336788583</v>
      </c>
      <c r="AU9" s="135"/>
      <c r="AV9" s="135"/>
      <c r="AW9" s="135">
        <v>5640574</v>
      </c>
      <c r="AX9" s="135">
        <v>12304821</v>
      </c>
      <c r="AY9" s="135">
        <v>7369952</v>
      </c>
      <c r="AZ9" s="160">
        <v>102714923.16</v>
      </c>
      <c r="BA9" s="160">
        <v>55466059</v>
      </c>
      <c r="BB9" s="162">
        <v>42007835.55481866</v>
      </c>
      <c r="BC9" s="162">
        <v>1794107</v>
      </c>
      <c r="BD9" s="162">
        <v>2677772</v>
      </c>
      <c r="BE9" s="117">
        <v>290987596</v>
      </c>
      <c r="BF9" s="117">
        <v>290987596</v>
      </c>
      <c r="BG9" s="117">
        <v>1002885251</v>
      </c>
      <c r="BH9" s="117">
        <v>666515163</v>
      </c>
      <c r="BI9" s="117">
        <v>728667</v>
      </c>
      <c r="BJ9" s="117">
        <v>0</v>
      </c>
      <c r="BK9" s="138"/>
      <c r="BL9" s="163">
        <v>21333934846</v>
      </c>
      <c r="BM9" s="163">
        <v>18624329344</v>
      </c>
      <c r="BN9" s="164">
        <v>4524670</v>
      </c>
      <c r="BP9" s="166">
        <f t="shared" si="0"/>
        <v>15874289876</v>
      </c>
      <c r="BQ9" s="167">
        <f>AK9</f>
        <v>1659533267</v>
      </c>
      <c r="BR9" s="167">
        <f>AL9</f>
        <v>34580643</v>
      </c>
      <c r="BS9" s="166">
        <f>AN9+AO9+AQ9+AS9</f>
        <v>5523718394</v>
      </c>
      <c r="BT9" s="166">
        <f t="shared" si="1"/>
        <v>23092122180</v>
      </c>
    </row>
    <row r="10" spans="1:72" x14ac:dyDescent="0.25">
      <c r="A10" s="168" t="s">
        <v>64</v>
      </c>
      <c r="B10" s="135">
        <v>925241406</v>
      </c>
      <c r="C10" s="135">
        <v>649953405</v>
      </c>
      <c r="D10" s="135">
        <v>247960509</v>
      </c>
      <c r="E10" s="135">
        <v>0</v>
      </c>
      <c r="F10" s="146">
        <v>73514641</v>
      </c>
      <c r="G10" s="135">
        <v>5252550</v>
      </c>
      <c r="H10" s="135">
        <v>19172740</v>
      </c>
      <c r="I10" s="135">
        <v>872000</v>
      </c>
      <c r="J10" s="135">
        <v>81350</v>
      </c>
      <c r="K10" s="135">
        <v>46350</v>
      </c>
      <c r="L10" s="135">
        <v>972080968</v>
      </c>
      <c r="M10" s="135">
        <v>330369918</v>
      </c>
      <c r="N10" s="135">
        <v>2030</v>
      </c>
      <c r="O10" s="135">
        <v>140</v>
      </c>
      <c r="P10" s="135">
        <v>5156759</v>
      </c>
      <c r="Q10" s="135">
        <v>6144200</v>
      </c>
      <c r="R10" s="135">
        <v>1693000</v>
      </c>
      <c r="S10" s="135">
        <v>1214700</v>
      </c>
      <c r="T10" s="135">
        <v>251305</v>
      </c>
      <c r="U10" s="135">
        <v>1861760</v>
      </c>
      <c r="V10" s="135">
        <v>5156759</v>
      </c>
      <c r="W10" s="135">
        <v>4310050</v>
      </c>
      <c r="X10" s="135">
        <v>1693000</v>
      </c>
      <c r="Y10" s="135">
        <v>1214700</v>
      </c>
      <c r="Z10" s="135">
        <v>76400</v>
      </c>
      <c r="AA10" s="135">
        <v>1861760</v>
      </c>
      <c r="AB10" s="135">
        <v>-4446848</v>
      </c>
      <c r="AC10" s="135">
        <v>-750</v>
      </c>
      <c r="AD10" s="135">
        <v>0</v>
      </c>
      <c r="AE10" s="135">
        <v>0</v>
      </c>
      <c r="AF10" s="135">
        <v>0</v>
      </c>
      <c r="AG10" s="135">
        <v>601866.97080000001</v>
      </c>
      <c r="AH10" s="135">
        <v>0</v>
      </c>
      <c r="AI10" s="135">
        <v>150000</v>
      </c>
      <c r="AJ10" s="169"/>
      <c r="AK10" s="160">
        <v>241206410</v>
      </c>
      <c r="AL10" s="161">
        <v>5092350</v>
      </c>
      <c r="AM10" s="135"/>
      <c r="AN10" s="135">
        <v>44785654</v>
      </c>
      <c r="AO10" s="135">
        <v>7932981</v>
      </c>
      <c r="AP10" s="135">
        <v>233519535</v>
      </c>
      <c r="AQ10" s="135">
        <v>44960965</v>
      </c>
      <c r="AR10" s="135">
        <v>122770689</v>
      </c>
      <c r="AS10" s="135">
        <v>29967358</v>
      </c>
      <c r="AT10" s="135">
        <v>149233627</v>
      </c>
      <c r="AU10" s="135"/>
      <c r="AV10" s="135">
        <v>102348</v>
      </c>
      <c r="AW10" s="135">
        <v>129907</v>
      </c>
      <c r="AX10" s="135">
        <v>3796</v>
      </c>
      <c r="AY10" s="135">
        <v>410075</v>
      </c>
      <c r="AZ10" s="160">
        <v>14929196.27</v>
      </c>
      <c r="BA10" s="160">
        <v>8061766</v>
      </c>
      <c r="BB10" s="162">
        <v>0</v>
      </c>
      <c r="BC10" s="162">
        <v>3290340</v>
      </c>
      <c r="BD10" s="162">
        <v>4910955</v>
      </c>
      <c r="BE10" s="117">
        <v>48076391</v>
      </c>
      <c r="BF10" s="117">
        <v>48076391</v>
      </c>
      <c r="BG10" s="117">
        <v>74211427</v>
      </c>
      <c r="BH10" s="117">
        <v>69734312</v>
      </c>
      <c r="BI10" s="117">
        <v>16006</v>
      </c>
      <c r="BJ10" s="117">
        <v>0</v>
      </c>
      <c r="BK10" s="138"/>
      <c r="BL10" s="163">
        <v>2296462495</v>
      </c>
      <c r="BM10" s="163">
        <v>1920984920</v>
      </c>
      <c r="BN10" s="164"/>
      <c r="BP10" s="166">
        <f t="shared" si="0"/>
        <v>1823155320</v>
      </c>
      <c r="BQ10" s="167">
        <f>AK10</f>
        <v>241206410</v>
      </c>
      <c r="BR10" s="167">
        <f>AL10</f>
        <v>5092350</v>
      </c>
      <c r="BS10" s="166">
        <f>AN10+AO10+AQ10+AS10</f>
        <v>127646958</v>
      </c>
      <c r="BT10" s="166">
        <f t="shared" si="1"/>
        <v>2197101038</v>
      </c>
    </row>
    <row r="11" spans="1:72" x14ac:dyDescent="0.25">
      <c r="A11" s="168" t="s">
        <v>65</v>
      </c>
      <c r="B11" s="135">
        <v>1331845688</v>
      </c>
      <c r="C11" s="135">
        <v>108293457</v>
      </c>
      <c r="D11" s="135">
        <v>809532944</v>
      </c>
      <c r="E11" s="135">
        <v>1000000</v>
      </c>
      <c r="F11" s="135">
        <v>170256480</v>
      </c>
      <c r="G11" s="135">
        <v>59470650</v>
      </c>
      <c r="H11" s="135">
        <v>10295649</v>
      </c>
      <c r="I11" s="135">
        <v>3042701</v>
      </c>
      <c r="J11" s="135">
        <v>508650</v>
      </c>
      <c r="K11" s="135">
        <v>231750</v>
      </c>
      <c r="L11" s="135">
        <v>67072277</v>
      </c>
      <c r="M11" s="135">
        <v>94048804</v>
      </c>
      <c r="N11" s="135">
        <v>4157</v>
      </c>
      <c r="O11" s="135">
        <v>1509</v>
      </c>
      <c r="P11" s="135">
        <v>6422948</v>
      </c>
      <c r="Q11" s="135">
        <v>1099815</v>
      </c>
      <c r="R11" s="135">
        <v>4169526</v>
      </c>
      <c r="S11" s="135">
        <v>5615030</v>
      </c>
      <c r="T11" s="135">
        <v>314212</v>
      </c>
      <c r="U11" s="135">
        <v>17027550</v>
      </c>
      <c r="V11" s="135">
        <v>6422948</v>
      </c>
      <c r="W11" s="135">
        <v>1381167</v>
      </c>
      <c r="X11" s="135">
        <v>4169526</v>
      </c>
      <c r="Y11" s="135">
        <v>5615030</v>
      </c>
      <c r="Z11" s="135">
        <v>857750</v>
      </c>
      <c r="AA11" s="135">
        <v>17027550</v>
      </c>
      <c r="AB11" s="135">
        <v>-13537506</v>
      </c>
      <c r="AC11" s="135">
        <v>-55593</v>
      </c>
      <c r="AD11" s="135">
        <v>46452</v>
      </c>
      <c r="AE11" s="135">
        <v>142.88</v>
      </c>
      <c r="AF11" s="135">
        <v>1</v>
      </c>
      <c r="AG11" s="135">
        <v>63412</v>
      </c>
      <c r="AH11" s="135">
        <v>278015</v>
      </c>
      <c r="AI11" s="139">
        <v>2397829</v>
      </c>
      <c r="AJ11" s="169">
        <v>301000</v>
      </c>
      <c r="AK11" s="160">
        <v>471330739</v>
      </c>
      <c r="AL11" s="161">
        <v>12894972</v>
      </c>
      <c r="AM11" s="135">
        <v>620680</v>
      </c>
      <c r="AN11" s="135">
        <v>108199740</v>
      </c>
      <c r="AO11" s="135">
        <v>13808634</v>
      </c>
      <c r="AP11" s="135">
        <v>186634261</v>
      </c>
      <c r="AQ11" s="135">
        <v>114746111</v>
      </c>
      <c r="AR11" s="135">
        <v>58445042</v>
      </c>
      <c r="AS11" s="135">
        <v>29622217</v>
      </c>
      <c r="AT11" s="135">
        <f>762258+1122281109</f>
        <v>1123043367</v>
      </c>
      <c r="AU11" s="135"/>
      <c r="AV11" s="135"/>
      <c r="AW11" s="135"/>
      <c r="AX11" s="135">
        <v>55420</v>
      </c>
      <c r="AY11" s="135"/>
      <c r="AZ11" s="160">
        <v>29172479.760000002</v>
      </c>
      <c r="BA11" s="160">
        <v>15753139</v>
      </c>
      <c r="BB11" s="162">
        <v>23575826.076683939</v>
      </c>
      <c r="BC11" s="162">
        <v>9262533</v>
      </c>
      <c r="BD11" s="162">
        <v>13824676</v>
      </c>
      <c r="BE11" s="117">
        <v>86730644</v>
      </c>
      <c r="BF11" s="117">
        <v>86730644</v>
      </c>
      <c r="BG11" s="117">
        <v>268328364</v>
      </c>
      <c r="BH11" s="117">
        <v>263929298</v>
      </c>
      <c r="BI11" s="117">
        <v>0</v>
      </c>
      <c r="BJ11" s="117">
        <v>0</v>
      </c>
      <c r="BK11" s="138"/>
      <c r="BL11" s="163">
        <v>3349304743</v>
      </c>
      <c r="BM11" s="163">
        <v>2489403418</v>
      </c>
      <c r="BN11" s="164">
        <v>6452843</v>
      </c>
      <c r="BP11" s="166">
        <f t="shared" si="0"/>
        <v>2249672089</v>
      </c>
      <c r="BQ11" s="167">
        <f>AK11</f>
        <v>471330739</v>
      </c>
      <c r="BR11" s="167">
        <f>AL11</f>
        <v>12894972</v>
      </c>
      <c r="BS11" s="166">
        <f>AN11+AO11+AQ11+AS11</f>
        <v>266376702</v>
      </c>
      <c r="BT11" s="166">
        <f t="shared" si="1"/>
        <v>3000274502</v>
      </c>
    </row>
    <row r="12" spans="1:72" x14ac:dyDescent="0.25">
      <c r="A12" s="168" t="s">
        <v>66</v>
      </c>
      <c r="B12" s="135">
        <v>1396787500</v>
      </c>
      <c r="C12" s="135">
        <v>223516200</v>
      </c>
      <c r="D12" s="135">
        <v>541731784</v>
      </c>
      <c r="E12" s="135">
        <v>0</v>
      </c>
      <c r="F12" s="135">
        <v>133563800</v>
      </c>
      <c r="G12" s="135">
        <v>9472200</v>
      </c>
      <c r="H12" s="135">
        <v>16632850</v>
      </c>
      <c r="I12" s="135">
        <v>928300</v>
      </c>
      <c r="J12" s="135">
        <v>137700</v>
      </c>
      <c r="K12" s="135">
        <v>0</v>
      </c>
      <c r="L12" s="135">
        <v>296414018</v>
      </c>
      <c r="M12" s="135">
        <v>190133000</v>
      </c>
      <c r="N12" s="135">
        <v>3322</v>
      </c>
      <c r="O12" s="135">
        <v>245</v>
      </c>
      <c r="P12" s="135">
        <v>9149000</v>
      </c>
      <c r="Q12" s="135">
        <v>6995000</v>
      </c>
      <c r="R12" s="135">
        <v>3938000</v>
      </c>
      <c r="S12" s="135">
        <v>1690467</v>
      </c>
      <c r="T12" s="135">
        <v>35000</v>
      </c>
      <c r="U12" s="135">
        <v>718500</v>
      </c>
      <c r="V12" s="135">
        <v>9149000</v>
      </c>
      <c r="W12" s="135">
        <v>8074300</v>
      </c>
      <c r="X12" s="135">
        <v>3938000</v>
      </c>
      <c r="Y12" s="135">
        <v>1690467</v>
      </c>
      <c r="Z12" s="135">
        <v>55000</v>
      </c>
      <c r="AA12" s="135">
        <v>718500</v>
      </c>
      <c r="AB12" s="135">
        <v>-2940200</v>
      </c>
      <c r="AC12" s="135">
        <v>-27583</v>
      </c>
      <c r="AD12" s="135">
        <v>14931</v>
      </c>
      <c r="AE12" s="135"/>
      <c r="AF12" s="135">
        <v>96027</v>
      </c>
      <c r="AG12" s="135"/>
      <c r="AH12" s="135">
        <v>0</v>
      </c>
      <c r="AI12" s="139">
        <v>500427</v>
      </c>
      <c r="AJ12" s="169"/>
      <c r="AK12" s="160">
        <v>273601054</v>
      </c>
      <c r="AL12" s="161">
        <v>9004928</v>
      </c>
      <c r="AM12" s="135"/>
      <c r="AN12" s="135">
        <v>77030505</v>
      </c>
      <c r="AO12" s="135">
        <v>12441376</v>
      </c>
      <c r="AP12" s="135">
        <v>181133984</v>
      </c>
      <c r="AQ12" s="135">
        <v>93904637</v>
      </c>
      <c r="AR12" s="135">
        <v>164393459</v>
      </c>
      <c r="AS12" s="135">
        <v>261122834</v>
      </c>
      <c r="AT12" s="135">
        <v>1400688</v>
      </c>
      <c r="AU12" s="135"/>
      <c r="AV12" s="135">
        <v>154363</v>
      </c>
      <c r="AW12" s="135">
        <v>927967</v>
      </c>
      <c r="AX12" s="135">
        <v>270105</v>
      </c>
      <c r="AY12" s="135">
        <v>23633020</v>
      </c>
      <c r="AZ12" s="160">
        <v>16934225.899999999</v>
      </c>
      <c r="BA12" s="160">
        <v>9144482</v>
      </c>
      <c r="BB12" s="162">
        <v>0</v>
      </c>
      <c r="BC12" s="162">
        <v>4731701</v>
      </c>
      <c r="BD12" s="162">
        <v>7062241</v>
      </c>
      <c r="BE12" s="117">
        <v>70910470</v>
      </c>
      <c r="BF12" s="117">
        <v>70910470</v>
      </c>
      <c r="BG12" s="117">
        <v>81824540</v>
      </c>
      <c r="BH12" s="117">
        <v>77803128</v>
      </c>
      <c r="BI12" s="117">
        <v>54668554</v>
      </c>
      <c r="BJ12" s="117">
        <v>0</v>
      </c>
      <c r="BK12" s="138"/>
      <c r="BL12" s="163">
        <v>2845776746</v>
      </c>
      <c r="BM12" s="163">
        <v>2345912429</v>
      </c>
      <c r="BN12" s="164">
        <v>2550000</v>
      </c>
      <c r="BP12" s="166">
        <f t="shared" si="0"/>
        <v>2162035484</v>
      </c>
      <c r="BQ12" s="167">
        <f>AK12</f>
        <v>273601054</v>
      </c>
      <c r="BR12" s="167">
        <f>AL12</f>
        <v>9004928</v>
      </c>
      <c r="BS12" s="166">
        <f>AN12+AO12+AQ12+AS12</f>
        <v>444499352</v>
      </c>
      <c r="BT12" s="166">
        <f t="shared" si="1"/>
        <v>2889140818</v>
      </c>
    </row>
    <row r="13" spans="1:72" x14ac:dyDescent="0.25">
      <c r="A13" s="168" t="s">
        <v>67</v>
      </c>
      <c r="B13" s="135">
        <v>169090725</v>
      </c>
      <c r="C13" s="135">
        <v>113707835</v>
      </c>
      <c r="D13" s="135">
        <v>30849590</v>
      </c>
      <c r="E13" s="135">
        <v>0</v>
      </c>
      <c r="F13" s="135">
        <v>29524450</v>
      </c>
      <c r="G13" s="135">
        <v>4086840</v>
      </c>
      <c r="H13" s="135">
        <v>12624120</v>
      </c>
      <c r="I13" s="135">
        <v>1064900</v>
      </c>
      <c r="J13" s="135">
        <v>0</v>
      </c>
      <c r="K13" s="135">
        <v>0</v>
      </c>
      <c r="L13" s="135">
        <v>154354125</v>
      </c>
      <c r="M13" s="135">
        <v>79110290</v>
      </c>
      <c r="N13" s="135">
        <v>997</v>
      </c>
      <c r="O13" s="135">
        <v>132</v>
      </c>
      <c r="P13" s="135">
        <v>3675690</v>
      </c>
      <c r="Q13" s="135">
        <v>1831430</v>
      </c>
      <c r="R13" s="135">
        <v>0</v>
      </c>
      <c r="S13" s="135">
        <v>690650</v>
      </c>
      <c r="T13" s="135">
        <v>767850</v>
      </c>
      <c r="U13" s="135">
        <v>235000</v>
      </c>
      <c r="V13" s="135">
        <v>3675690</v>
      </c>
      <c r="W13" s="135">
        <v>1860430</v>
      </c>
      <c r="X13" s="135">
        <v>0</v>
      </c>
      <c r="Y13" s="135">
        <v>690650</v>
      </c>
      <c r="Z13" s="135">
        <v>59050</v>
      </c>
      <c r="AA13" s="135">
        <v>235000</v>
      </c>
      <c r="AB13" s="135">
        <v>-752820</v>
      </c>
      <c r="AC13" s="135"/>
      <c r="AD13" s="135"/>
      <c r="AE13" s="135"/>
      <c r="AF13" s="135"/>
      <c r="AG13" s="135">
        <v>118149</v>
      </c>
      <c r="AH13" s="135">
        <v>0</v>
      </c>
      <c r="AI13" s="135">
        <v>0</v>
      </c>
      <c r="AJ13" s="169"/>
      <c r="AK13" s="160">
        <v>83450459</v>
      </c>
      <c r="AL13" s="161">
        <v>1688021</v>
      </c>
      <c r="AM13" s="135"/>
      <c r="AN13" s="135">
        <v>3465125</v>
      </c>
      <c r="AO13" s="135">
        <v>37819</v>
      </c>
      <c r="AP13" s="135">
        <v>25172653</v>
      </c>
      <c r="AQ13" s="135">
        <v>2849519</v>
      </c>
      <c r="AR13" s="135">
        <v>11531699</v>
      </c>
      <c r="AS13" s="135">
        <v>8366839</v>
      </c>
      <c r="AT13" s="135">
        <v>431457</v>
      </c>
      <c r="AU13" s="135"/>
      <c r="AV13" s="135"/>
      <c r="AW13" s="135"/>
      <c r="AX13" s="135"/>
      <c r="AY13" s="135"/>
      <c r="AZ13" s="160">
        <v>5165071.2</v>
      </c>
      <c r="BA13" s="160">
        <v>2789138</v>
      </c>
      <c r="BB13" s="162">
        <v>20682429.240000002</v>
      </c>
      <c r="BC13" s="162">
        <v>2136075</v>
      </c>
      <c r="BD13" s="162">
        <v>3188172</v>
      </c>
      <c r="BE13" s="117">
        <v>128638724</v>
      </c>
      <c r="BF13" s="117">
        <v>128638724</v>
      </c>
      <c r="BG13" s="117">
        <v>83865919</v>
      </c>
      <c r="BH13" s="117">
        <v>77877544</v>
      </c>
      <c r="BI13" s="117">
        <v>171</v>
      </c>
      <c r="BJ13" s="117">
        <v>0</v>
      </c>
      <c r="BK13" s="138"/>
      <c r="BL13" s="163">
        <v>616580745</v>
      </c>
      <c r="BM13" s="163">
        <v>320000613</v>
      </c>
      <c r="BN13" s="164">
        <v>935040</v>
      </c>
      <c r="BP13" s="166">
        <f t="shared" si="0"/>
        <v>313648150</v>
      </c>
      <c r="BQ13" s="167">
        <f>AK13</f>
        <v>83450459</v>
      </c>
      <c r="BR13" s="167">
        <f>AL13</f>
        <v>1688021</v>
      </c>
      <c r="BS13" s="166">
        <f>AN13+AO13+AQ13+AS13</f>
        <v>14719302</v>
      </c>
      <c r="BT13" s="166">
        <f t="shared" si="1"/>
        <v>413505932</v>
      </c>
    </row>
    <row r="14" spans="1:72" x14ac:dyDescent="0.25">
      <c r="A14" s="168" t="s">
        <v>68</v>
      </c>
      <c r="B14" s="135">
        <v>136121389</v>
      </c>
      <c r="C14" s="135">
        <v>78344681</v>
      </c>
      <c r="D14" s="135">
        <v>79144849</v>
      </c>
      <c r="E14" s="135">
        <v>0</v>
      </c>
      <c r="F14" s="171">
        <v>26702620</v>
      </c>
      <c r="G14" s="171">
        <v>36453944</v>
      </c>
      <c r="H14" s="171">
        <v>13047080</v>
      </c>
      <c r="I14" s="171">
        <v>12977704</v>
      </c>
      <c r="J14" s="171">
        <v>231750</v>
      </c>
      <c r="K14" s="171">
        <v>139050</v>
      </c>
      <c r="L14" s="171">
        <v>97418919</v>
      </c>
      <c r="M14" s="171">
        <v>50570598</v>
      </c>
      <c r="N14" s="171">
        <v>1020</v>
      </c>
      <c r="O14" s="171">
        <v>1391</v>
      </c>
      <c r="P14" s="171">
        <v>3581100</v>
      </c>
      <c r="Q14" s="171">
        <v>225600</v>
      </c>
      <c r="R14" s="171">
        <v>0</v>
      </c>
      <c r="S14" s="171">
        <v>14424279</v>
      </c>
      <c r="T14" s="171">
        <v>1286479</v>
      </c>
      <c r="U14" s="171">
        <v>2213000</v>
      </c>
      <c r="V14" s="171">
        <v>3581100</v>
      </c>
      <c r="W14" s="171">
        <v>258200</v>
      </c>
      <c r="X14" s="171">
        <v>0</v>
      </c>
      <c r="Y14" s="171">
        <v>14424279</v>
      </c>
      <c r="Z14" s="171">
        <v>607663</v>
      </c>
      <c r="AA14" s="171">
        <v>2213000</v>
      </c>
      <c r="AB14" s="171">
        <v>-2234781</v>
      </c>
      <c r="AD14" s="171">
        <v>262571</v>
      </c>
      <c r="AF14" s="171">
        <v>0</v>
      </c>
      <c r="AG14" s="171">
        <v>279407</v>
      </c>
      <c r="AH14" s="135">
        <v>738685</v>
      </c>
      <c r="AI14" s="171">
        <v>1064378</v>
      </c>
      <c r="AJ14" s="169">
        <v>1020000</v>
      </c>
      <c r="AK14" s="160">
        <v>83851775</v>
      </c>
      <c r="AL14" s="161">
        <v>1820345</v>
      </c>
      <c r="AN14" s="171">
        <v>13659780</v>
      </c>
      <c r="AO14" s="171">
        <v>273749</v>
      </c>
      <c r="AP14" s="171">
        <v>718040</v>
      </c>
      <c r="AQ14" s="171">
        <v>11427551</v>
      </c>
      <c r="AR14" s="171">
        <v>1596033</v>
      </c>
      <c r="AT14" s="171">
        <v>193963</v>
      </c>
      <c r="AY14" s="171">
        <v>5000</v>
      </c>
      <c r="AZ14" s="160">
        <v>5189910.2</v>
      </c>
      <c r="BA14" s="160">
        <v>2802552</v>
      </c>
      <c r="BB14" s="162">
        <v>0</v>
      </c>
      <c r="BC14" s="162">
        <v>3561759</v>
      </c>
      <c r="BD14" s="162">
        <v>5316058</v>
      </c>
      <c r="BE14" s="117">
        <v>19968544</v>
      </c>
      <c r="BF14" s="117">
        <v>19968544</v>
      </c>
      <c r="BG14" s="117">
        <v>69417267</v>
      </c>
      <c r="BH14" s="117">
        <v>61709354</v>
      </c>
      <c r="BI14" s="117">
        <v>0</v>
      </c>
      <c r="BJ14" s="117">
        <v>0</v>
      </c>
      <c r="BK14" s="172"/>
      <c r="BL14" s="163">
        <v>495509391</v>
      </c>
      <c r="BM14" s="163">
        <v>321795062</v>
      </c>
      <c r="BN14" s="164"/>
      <c r="BP14" s="166">
        <f t="shared" si="0"/>
        <v>293610919</v>
      </c>
      <c r="BQ14" s="167">
        <f>AK14</f>
        <v>83851775</v>
      </c>
      <c r="BR14" s="167">
        <f>AL14</f>
        <v>1820345</v>
      </c>
      <c r="BS14" s="166">
        <f>AN14+AO14+AQ14+AS14</f>
        <v>25361080</v>
      </c>
      <c r="BT14" s="166">
        <f t="shared" si="1"/>
        <v>404644119</v>
      </c>
    </row>
    <row r="15" spans="1:72" x14ac:dyDescent="0.25">
      <c r="A15" s="168" t="s">
        <v>69</v>
      </c>
      <c r="B15" s="135">
        <v>806063328</v>
      </c>
      <c r="C15" s="135">
        <v>286918042</v>
      </c>
      <c r="D15" s="135">
        <v>123102296</v>
      </c>
      <c r="E15" s="135">
        <v>0</v>
      </c>
      <c r="F15" s="135">
        <v>77016345</v>
      </c>
      <c r="G15" s="135">
        <v>10843800</v>
      </c>
      <c r="H15" s="135">
        <v>28980207</v>
      </c>
      <c r="I15" s="135">
        <v>2269669</v>
      </c>
      <c r="J15" s="135">
        <v>122700</v>
      </c>
      <c r="K15" s="135">
        <v>0</v>
      </c>
      <c r="L15" s="135">
        <v>571515014</v>
      </c>
      <c r="M15" s="135">
        <v>175368040</v>
      </c>
      <c r="N15" s="135">
        <v>2464</v>
      </c>
      <c r="O15" s="135">
        <v>336</v>
      </c>
      <c r="P15" s="135">
        <v>14683400</v>
      </c>
      <c r="Q15" s="135">
        <v>5584250</v>
      </c>
      <c r="R15" s="135">
        <v>4088500</v>
      </c>
      <c r="S15" s="135">
        <v>2893087</v>
      </c>
      <c r="T15" s="135">
        <v>198000</v>
      </c>
      <c r="U15" s="135">
        <v>487144</v>
      </c>
      <c r="V15" s="135">
        <v>14683400</v>
      </c>
      <c r="W15" s="135">
        <v>5808500</v>
      </c>
      <c r="X15" s="135">
        <v>4088500</v>
      </c>
      <c r="Y15" s="135">
        <v>2893087</v>
      </c>
      <c r="Z15" s="135">
        <v>198000</v>
      </c>
      <c r="AA15" s="135">
        <v>487144</v>
      </c>
      <c r="AB15" s="135">
        <v>-2234900</v>
      </c>
      <c r="AC15" s="135">
        <v>-290128</v>
      </c>
      <c r="AD15" s="135">
        <v>148091</v>
      </c>
      <c r="AE15" s="135"/>
      <c r="AF15" s="135"/>
      <c r="AG15" s="135">
        <v>346162</v>
      </c>
      <c r="AH15" s="135">
        <v>1134240</v>
      </c>
      <c r="AI15" s="135">
        <v>615420</v>
      </c>
      <c r="AJ15" s="169"/>
      <c r="AK15" s="160">
        <v>197779615</v>
      </c>
      <c r="AL15" s="161">
        <v>26721857</v>
      </c>
      <c r="AM15" s="135">
        <v>261000</v>
      </c>
      <c r="AN15" s="135">
        <v>26424520</v>
      </c>
      <c r="AO15" s="135">
        <v>287207</v>
      </c>
      <c r="AP15" s="135">
        <v>22094710</v>
      </c>
      <c r="AQ15" s="135">
        <v>26191373</v>
      </c>
      <c r="AR15" s="135">
        <v>15646883</v>
      </c>
      <c r="AS15" s="135">
        <v>12653</v>
      </c>
      <c r="AT15" s="135">
        <v>1373806</v>
      </c>
      <c r="AU15" s="135"/>
      <c r="AV15" s="135">
        <v>217655</v>
      </c>
      <c r="AW15" s="135">
        <v>1093433</v>
      </c>
      <c r="AX15" s="135"/>
      <c r="AY15" s="135">
        <v>202490</v>
      </c>
      <c r="AZ15" s="160">
        <v>12241344.210000001</v>
      </c>
      <c r="BA15" s="160">
        <v>6610326</v>
      </c>
      <c r="BB15" s="162">
        <v>24218803.151502594</v>
      </c>
      <c r="BC15" s="162">
        <v>2909178</v>
      </c>
      <c r="BD15" s="162">
        <v>4342057</v>
      </c>
      <c r="BE15" s="117">
        <v>28183284</v>
      </c>
      <c r="BF15" s="117">
        <v>28183284</v>
      </c>
      <c r="BG15" s="117">
        <v>119035327</v>
      </c>
      <c r="BH15" s="117">
        <v>114734507</v>
      </c>
      <c r="BI15" s="117">
        <v>0</v>
      </c>
      <c r="BJ15" s="117">
        <v>0</v>
      </c>
      <c r="BK15" s="138"/>
      <c r="BL15" s="163">
        <v>1647675193</v>
      </c>
      <c r="BM15" s="163">
        <v>1270736426</v>
      </c>
      <c r="BN15" s="164">
        <v>1844721</v>
      </c>
      <c r="BP15" s="166">
        <f t="shared" si="0"/>
        <v>1216083666</v>
      </c>
      <c r="BQ15" s="167">
        <f>AK15</f>
        <v>197779615</v>
      </c>
      <c r="BR15" s="167">
        <f>AL15</f>
        <v>26721857</v>
      </c>
      <c r="BS15" s="166">
        <f>AN15+AO15+AQ15+AS15</f>
        <v>52915753</v>
      </c>
      <c r="BT15" s="166">
        <f t="shared" si="1"/>
        <v>1493500891</v>
      </c>
    </row>
    <row r="16" spans="1:72" x14ac:dyDescent="0.25">
      <c r="A16" s="168" t="s">
        <v>70</v>
      </c>
      <c r="B16" s="135">
        <v>5270090518</v>
      </c>
      <c r="C16" s="135">
        <v>304829988</v>
      </c>
      <c r="D16" s="135">
        <v>2591481802</v>
      </c>
      <c r="E16" s="135">
        <v>29974897</v>
      </c>
      <c r="F16" s="135">
        <v>319830566</v>
      </c>
      <c r="G16" s="135">
        <v>53669510</v>
      </c>
      <c r="H16" s="135">
        <v>24342664</v>
      </c>
      <c r="I16" s="135">
        <v>3052222</v>
      </c>
      <c r="J16" s="135">
        <v>217900</v>
      </c>
      <c r="K16" s="135">
        <v>0</v>
      </c>
      <c r="L16" s="135">
        <v>317448597</v>
      </c>
      <c r="M16" s="135">
        <v>196885575</v>
      </c>
      <c r="N16" s="135">
        <v>7565</v>
      </c>
      <c r="O16" s="135">
        <v>1300</v>
      </c>
      <c r="P16" s="135">
        <v>142047308</v>
      </c>
      <c r="Q16" s="135">
        <v>3404715</v>
      </c>
      <c r="R16" s="135">
        <v>603574119</v>
      </c>
      <c r="S16" s="135">
        <v>12004578</v>
      </c>
      <c r="T16" s="135">
        <v>3894367</v>
      </c>
      <c r="U16" s="135">
        <v>8758628</v>
      </c>
      <c r="V16" s="135">
        <v>142047308</v>
      </c>
      <c r="W16" s="135">
        <v>4831254</v>
      </c>
      <c r="X16" s="135">
        <v>603574119</v>
      </c>
      <c r="Y16" s="135">
        <v>12004578</v>
      </c>
      <c r="Z16" s="135">
        <v>7141130</v>
      </c>
      <c r="AA16" s="135">
        <v>8758628</v>
      </c>
      <c r="AB16" s="135">
        <v>43384658</v>
      </c>
      <c r="AC16" s="135">
        <v>26203374</v>
      </c>
      <c r="AD16" s="135">
        <v>22376</v>
      </c>
      <c r="AE16" s="135">
        <v>542.9</v>
      </c>
      <c r="AF16" s="135">
        <v>16973162</v>
      </c>
      <c r="AG16" s="135">
        <v>83933.179600000003</v>
      </c>
      <c r="AH16" s="135">
        <v>0</v>
      </c>
      <c r="AI16" s="135">
        <v>1593063</v>
      </c>
      <c r="AJ16" s="169"/>
      <c r="AK16" s="160">
        <v>899036594</v>
      </c>
      <c r="AL16" s="161">
        <v>32012419</v>
      </c>
      <c r="AM16" s="135">
        <v>6500</v>
      </c>
      <c r="AN16" s="135">
        <v>320700860</v>
      </c>
      <c r="AO16" s="135">
        <v>8580490</v>
      </c>
      <c r="AP16" s="135">
        <v>237670031</v>
      </c>
      <c r="AQ16" s="135">
        <v>539658232</v>
      </c>
      <c r="AR16" s="135">
        <v>1340306929</v>
      </c>
      <c r="AS16" s="135">
        <v>9199344926</v>
      </c>
      <c r="AT16" s="135">
        <f>747966+14661102</f>
        <v>15409068</v>
      </c>
      <c r="AU16" s="135"/>
      <c r="AV16" s="135"/>
      <c r="AW16" s="135">
        <v>4789455</v>
      </c>
      <c r="AX16" s="135">
        <v>1581974</v>
      </c>
      <c r="AY16" s="135">
        <v>89352</v>
      </c>
      <c r="AZ16" s="160">
        <v>55644846.960000001</v>
      </c>
      <c r="BA16" s="160">
        <v>30048217</v>
      </c>
      <c r="BB16" s="162">
        <v>0</v>
      </c>
      <c r="BC16" s="162">
        <v>4518094</v>
      </c>
      <c r="BD16" s="162">
        <v>6743423</v>
      </c>
      <c r="BE16" s="117">
        <v>43318269</v>
      </c>
      <c r="BF16" s="117">
        <v>43040891</v>
      </c>
      <c r="BG16" s="117">
        <v>99425574</v>
      </c>
      <c r="BH16" s="117">
        <v>94490281</v>
      </c>
      <c r="BI16" s="117">
        <v>424015792</v>
      </c>
      <c r="BJ16" s="117">
        <v>0</v>
      </c>
      <c r="BK16" s="138"/>
      <c r="BL16" s="163">
        <v>10564097241</v>
      </c>
      <c r="BM16" s="163">
        <v>9036934953</v>
      </c>
      <c r="BN16" s="164">
        <v>3332633</v>
      </c>
      <c r="BP16" s="166">
        <f t="shared" si="0"/>
        <v>8166402308</v>
      </c>
      <c r="BQ16" s="167">
        <f>AK16</f>
        <v>899036594</v>
      </c>
      <c r="BR16" s="167">
        <f>AL16</f>
        <v>32012419</v>
      </c>
      <c r="BS16" s="166">
        <f>AN16+AO16+AQ16+AS16</f>
        <v>10068284508</v>
      </c>
      <c r="BT16" s="166">
        <f t="shared" si="1"/>
        <v>19165735829</v>
      </c>
    </row>
    <row r="17" spans="1:72" x14ac:dyDescent="0.25">
      <c r="A17" s="168" t="s">
        <v>71</v>
      </c>
      <c r="B17" s="135">
        <v>256047780</v>
      </c>
      <c r="C17" s="135">
        <v>179458450</v>
      </c>
      <c r="D17" s="135">
        <v>82402963</v>
      </c>
      <c r="E17" s="135">
        <v>0</v>
      </c>
      <c r="F17" s="135">
        <v>31076350</v>
      </c>
      <c r="G17" s="135">
        <v>11128650</v>
      </c>
      <c r="H17" s="135">
        <v>17282900</v>
      </c>
      <c r="I17" s="135">
        <v>4092200</v>
      </c>
      <c r="J17" s="135">
        <v>0</v>
      </c>
      <c r="K17" s="135">
        <v>0</v>
      </c>
      <c r="L17" s="135">
        <v>561462341</v>
      </c>
      <c r="M17" s="135">
        <v>113168900</v>
      </c>
      <c r="N17" s="135">
        <v>1136</v>
      </c>
      <c r="O17" s="135">
        <v>389</v>
      </c>
      <c r="P17" s="135">
        <v>2058400</v>
      </c>
      <c r="Q17" s="135">
        <v>1496700</v>
      </c>
      <c r="R17" s="135">
        <v>100000</v>
      </c>
      <c r="S17" s="135">
        <v>212800</v>
      </c>
      <c r="T17" s="135">
        <v>127700</v>
      </c>
      <c r="U17" s="135">
        <v>20000</v>
      </c>
      <c r="V17" s="135">
        <v>2058400</v>
      </c>
      <c r="W17" s="135">
        <v>1897100</v>
      </c>
      <c r="X17" s="135">
        <v>100000</v>
      </c>
      <c r="Y17" s="135">
        <v>212800</v>
      </c>
      <c r="Z17" s="135">
        <v>49300</v>
      </c>
      <c r="AA17" s="135">
        <v>20000</v>
      </c>
      <c r="AB17" s="135">
        <v>-1002000</v>
      </c>
      <c r="AC17" s="135">
        <v>-211501</v>
      </c>
      <c r="AD17" s="135"/>
      <c r="AE17" s="135"/>
      <c r="AF17" s="135"/>
      <c r="AG17" s="135"/>
      <c r="AH17" s="135">
        <v>217022</v>
      </c>
      <c r="AI17" s="135">
        <v>75000</v>
      </c>
      <c r="AJ17" s="169"/>
      <c r="AK17" s="160">
        <v>128558726</v>
      </c>
      <c r="AL17" s="161">
        <v>3924240</v>
      </c>
      <c r="AM17" s="135"/>
      <c r="AN17" s="135">
        <v>19873665</v>
      </c>
      <c r="AO17" s="135">
        <v>775055</v>
      </c>
      <c r="AP17" s="135">
        <v>54518338</v>
      </c>
      <c r="AQ17" s="135">
        <v>16548690</v>
      </c>
      <c r="AR17" s="135">
        <v>35569057</v>
      </c>
      <c r="AS17" s="135">
        <v>38077632</v>
      </c>
      <c r="AT17" s="135">
        <v>1750528</v>
      </c>
      <c r="AU17" s="135"/>
      <c r="AV17" s="135"/>
      <c r="AW17" s="135"/>
      <c r="AX17" s="135">
        <v>658281</v>
      </c>
      <c r="AY17" s="135"/>
      <c r="AZ17" s="160">
        <v>7956996.0599999996</v>
      </c>
      <c r="BA17" s="160">
        <v>4296778</v>
      </c>
      <c r="BB17" s="162">
        <v>0</v>
      </c>
      <c r="BC17" s="162">
        <v>0</v>
      </c>
      <c r="BD17" s="162">
        <v>0</v>
      </c>
      <c r="BE17" s="117">
        <v>6340467</v>
      </c>
      <c r="BF17" s="117">
        <v>6340467</v>
      </c>
      <c r="BG17" s="117">
        <v>31425050</v>
      </c>
      <c r="BH17" s="117">
        <v>31423792</v>
      </c>
      <c r="BI17" s="117">
        <v>0</v>
      </c>
      <c r="BJ17" s="117">
        <v>0</v>
      </c>
      <c r="BK17" s="138"/>
      <c r="BL17" s="163">
        <v>729942628</v>
      </c>
      <c r="BM17" s="163">
        <v>555398625</v>
      </c>
      <c r="BN17" s="164">
        <v>1582400</v>
      </c>
      <c r="BP17" s="166">
        <f t="shared" si="0"/>
        <v>517909193</v>
      </c>
      <c r="BQ17" s="167">
        <f>AK17</f>
        <v>128558726</v>
      </c>
      <c r="BR17" s="167">
        <f>AL17</f>
        <v>3924240</v>
      </c>
      <c r="BS17" s="166">
        <f>AN17+AO17+AQ17+AS17</f>
        <v>75275042</v>
      </c>
      <c r="BT17" s="166">
        <f t="shared" si="1"/>
        <v>725667201</v>
      </c>
    </row>
    <row r="18" spans="1:72" x14ac:dyDescent="0.25">
      <c r="A18" s="168" t="s">
        <v>72</v>
      </c>
      <c r="B18" s="135">
        <v>284148887</v>
      </c>
      <c r="C18" s="135">
        <v>142912132</v>
      </c>
      <c r="D18" s="135">
        <v>116642554</v>
      </c>
      <c r="E18" s="135">
        <v>3700000</v>
      </c>
      <c r="F18" s="135">
        <v>44994663</v>
      </c>
      <c r="G18" s="135">
        <v>12446625</v>
      </c>
      <c r="H18" s="135">
        <v>12579759</v>
      </c>
      <c r="I18" s="135">
        <v>2230092</v>
      </c>
      <c r="J18" s="135">
        <v>185000</v>
      </c>
      <c r="K18" s="135">
        <v>37000</v>
      </c>
      <c r="L18" s="135">
        <v>410728574</v>
      </c>
      <c r="M18" s="135">
        <v>78810445</v>
      </c>
      <c r="N18" s="135">
        <v>1355</v>
      </c>
      <c r="O18" s="135">
        <v>371</v>
      </c>
      <c r="P18" s="135">
        <v>11419895</v>
      </c>
      <c r="Q18" s="135">
        <v>4004093</v>
      </c>
      <c r="R18" s="135">
        <v>263500</v>
      </c>
      <c r="S18" s="135">
        <v>1432782</v>
      </c>
      <c r="T18" s="135">
        <v>352096</v>
      </c>
      <c r="U18" s="135">
        <v>328480</v>
      </c>
      <c r="V18" s="135">
        <v>11419895</v>
      </c>
      <c r="W18" s="135">
        <v>3923774</v>
      </c>
      <c r="X18" s="135">
        <v>263500</v>
      </c>
      <c r="Y18" s="135">
        <v>1432782</v>
      </c>
      <c r="Z18" s="135">
        <v>565315</v>
      </c>
      <c r="AA18" s="135">
        <v>328480</v>
      </c>
      <c r="AB18" s="135">
        <v>-2398475</v>
      </c>
      <c r="AC18" s="135">
        <v>0</v>
      </c>
      <c r="AD18" s="135">
        <v>24718</v>
      </c>
      <c r="AE18" s="135">
        <v>46724</v>
      </c>
      <c r="AF18" s="135">
        <v>33597298</v>
      </c>
      <c r="AG18" s="135">
        <v>198851</v>
      </c>
      <c r="AH18" s="135">
        <v>0</v>
      </c>
      <c r="AI18" s="135">
        <v>1260072</v>
      </c>
      <c r="AJ18" s="169"/>
      <c r="AK18" s="160">
        <v>131295370</v>
      </c>
      <c r="AL18" s="161">
        <v>4590159</v>
      </c>
      <c r="AM18" s="135"/>
      <c r="AN18" s="135">
        <v>33165041</v>
      </c>
      <c r="AO18" s="135">
        <v>10530760</v>
      </c>
      <c r="AP18" s="135">
        <v>111688752</v>
      </c>
      <c r="AQ18" s="135">
        <v>30993745</v>
      </c>
      <c r="AR18" s="135">
        <v>32739966</v>
      </c>
      <c r="AS18" s="135">
        <v>17572417</v>
      </c>
      <c r="AT18" s="135">
        <v>1399075</v>
      </c>
      <c r="AU18" s="135"/>
      <c r="AV18" s="135"/>
      <c r="AW18" s="135"/>
      <c r="AX18" s="135">
        <v>32491</v>
      </c>
      <c r="AY18" s="135">
        <v>1003000</v>
      </c>
      <c r="AZ18" s="160">
        <v>8126377.5199999996</v>
      </c>
      <c r="BA18" s="160">
        <v>4388244</v>
      </c>
      <c r="BB18" s="162">
        <v>0</v>
      </c>
      <c r="BC18" s="162">
        <v>2163511</v>
      </c>
      <c r="BD18" s="162">
        <v>3229121</v>
      </c>
      <c r="BE18" s="117">
        <v>31069996</v>
      </c>
      <c r="BF18" s="117">
        <v>26767579</v>
      </c>
      <c r="BG18" s="117">
        <v>34803960</v>
      </c>
      <c r="BH18" s="117">
        <v>33188474</v>
      </c>
      <c r="BI18" s="117">
        <v>0</v>
      </c>
      <c r="BJ18" s="117">
        <v>13066377</v>
      </c>
      <c r="BK18" s="138"/>
      <c r="BL18" s="163">
        <v>835112905</v>
      </c>
      <c r="BM18" s="163">
        <v>619653191</v>
      </c>
      <c r="BN18" s="164">
        <v>439000</v>
      </c>
      <c r="BP18" s="166">
        <f t="shared" si="0"/>
        <v>543703573</v>
      </c>
      <c r="BQ18" s="167">
        <f>AK18</f>
        <v>131295370</v>
      </c>
      <c r="BR18" s="167">
        <f>AL18</f>
        <v>4590159</v>
      </c>
      <c r="BS18" s="166">
        <f>AN18+AO18+AQ18+AS18</f>
        <v>92261963</v>
      </c>
      <c r="BT18" s="166">
        <f t="shared" si="1"/>
        <v>771851065</v>
      </c>
    </row>
    <row r="19" spans="1:72" ht="12.75" customHeight="1" x14ac:dyDescent="0.25">
      <c r="A19" s="168" t="s">
        <v>73</v>
      </c>
      <c r="B19" s="135">
        <v>1624329726</v>
      </c>
      <c r="C19" s="135">
        <v>336734217</v>
      </c>
      <c r="D19" s="135">
        <v>582607653</v>
      </c>
      <c r="E19" s="135">
        <v>0</v>
      </c>
      <c r="F19" s="135">
        <v>144414840</v>
      </c>
      <c r="G19" s="135">
        <v>11378161</v>
      </c>
      <c r="H19" s="135">
        <v>23674100</v>
      </c>
      <c r="I19" s="135">
        <v>1024850</v>
      </c>
      <c r="J19" s="135">
        <v>185400</v>
      </c>
      <c r="K19" s="135">
        <v>46350</v>
      </c>
      <c r="L19" s="135">
        <v>892108674</v>
      </c>
      <c r="M19" s="135">
        <v>187895886</v>
      </c>
      <c r="N19" s="135">
        <v>3799</v>
      </c>
      <c r="O19" s="135">
        <v>309</v>
      </c>
      <c r="P19" s="135">
        <v>17816060</v>
      </c>
      <c r="Q19" s="135">
        <v>2230000</v>
      </c>
      <c r="R19" s="135">
        <v>44650617</v>
      </c>
      <c r="S19" s="135">
        <v>45449018</v>
      </c>
      <c r="T19" s="135">
        <v>110000</v>
      </c>
      <c r="U19" s="135">
        <v>11255571</v>
      </c>
      <c r="V19" s="135">
        <v>17816060</v>
      </c>
      <c r="W19" s="135">
        <v>2230000</v>
      </c>
      <c r="X19" s="135">
        <v>44650617</v>
      </c>
      <c r="Y19" s="135">
        <v>45449018</v>
      </c>
      <c r="Z19" s="135">
        <v>110000</v>
      </c>
      <c r="AA19" s="135">
        <v>11255571</v>
      </c>
      <c r="AB19" s="135">
        <v>-5350729</v>
      </c>
      <c r="AC19" s="135">
        <v>-4659135</v>
      </c>
      <c r="AD19" s="135">
        <v>64704</v>
      </c>
      <c r="AE19" s="135">
        <v>4681</v>
      </c>
      <c r="AF19" s="135">
        <v>0</v>
      </c>
      <c r="AG19" s="135">
        <v>206087</v>
      </c>
      <c r="AH19" s="135">
        <v>0</v>
      </c>
      <c r="AI19" s="135">
        <v>491390</v>
      </c>
      <c r="AJ19" s="169"/>
      <c r="AK19" s="160">
        <v>364157250</v>
      </c>
      <c r="AL19" s="161">
        <v>21344345</v>
      </c>
      <c r="AM19" s="135">
        <v>630706</v>
      </c>
      <c r="AN19" s="135">
        <v>79027096</v>
      </c>
      <c r="AO19" s="135">
        <v>4987524</v>
      </c>
      <c r="AP19" s="135">
        <v>95073534</v>
      </c>
      <c r="AQ19" s="135">
        <v>75122797</v>
      </c>
      <c r="AR19" s="135">
        <v>89078870</v>
      </c>
      <c r="AS19" s="135">
        <v>81308212</v>
      </c>
      <c r="AT19" s="135">
        <v>8904861</v>
      </c>
      <c r="AU19" s="135"/>
      <c r="AV19" s="135"/>
      <c r="AW19" s="135">
        <v>2077696</v>
      </c>
      <c r="AX19" s="135">
        <v>1370842</v>
      </c>
      <c r="AY19" s="135">
        <v>1599500</v>
      </c>
      <c r="AZ19" s="160">
        <v>22539098.609999999</v>
      </c>
      <c r="BA19" s="160">
        <v>12171113</v>
      </c>
      <c r="BB19" s="162">
        <v>10019726.082590673</v>
      </c>
      <c r="BC19" s="162">
        <v>1077836</v>
      </c>
      <c r="BD19" s="162">
        <v>1608711</v>
      </c>
      <c r="BE19" s="117">
        <v>5058760</v>
      </c>
      <c r="BF19" s="117">
        <v>5058760</v>
      </c>
      <c r="BG19" s="117">
        <v>49718864</v>
      </c>
      <c r="BH19" s="117">
        <v>49361596</v>
      </c>
      <c r="BI19" s="117">
        <v>0</v>
      </c>
      <c r="BJ19" s="117">
        <v>9238557</v>
      </c>
      <c r="BK19" s="138"/>
      <c r="BL19" s="163">
        <v>3165709860</v>
      </c>
      <c r="BM19" s="163">
        <v>2703300403</v>
      </c>
      <c r="BN19" s="164">
        <v>3707201</v>
      </c>
      <c r="BP19" s="166">
        <f t="shared" si="0"/>
        <v>2543671596</v>
      </c>
      <c r="BQ19" s="167">
        <f>AK19</f>
        <v>364157250</v>
      </c>
      <c r="BR19" s="167">
        <f>AL19</f>
        <v>21344345</v>
      </c>
      <c r="BS19" s="166">
        <f>AN19+AO19+AQ19+AS19</f>
        <v>240445629</v>
      </c>
      <c r="BT19" s="166">
        <f t="shared" si="1"/>
        <v>3169618820</v>
      </c>
    </row>
    <row r="20" spans="1:72" x14ac:dyDescent="0.25">
      <c r="A20" s="168" t="s">
        <v>74</v>
      </c>
      <c r="B20" s="135">
        <v>6280309570</v>
      </c>
      <c r="C20" s="135">
        <v>242876550</v>
      </c>
      <c r="D20" s="135">
        <v>1566671192</v>
      </c>
      <c r="E20" s="135">
        <v>0</v>
      </c>
      <c r="F20" s="135">
        <v>363796425</v>
      </c>
      <c r="G20" s="135">
        <v>40879491</v>
      </c>
      <c r="H20" s="135">
        <v>19968200</v>
      </c>
      <c r="I20" s="135">
        <v>1807650</v>
      </c>
      <c r="J20" s="135">
        <v>927000</v>
      </c>
      <c r="K20" s="135">
        <v>92700</v>
      </c>
      <c r="L20" s="135">
        <v>252830160</v>
      </c>
      <c r="M20" s="135">
        <v>495706710</v>
      </c>
      <c r="N20" s="135">
        <v>8352</v>
      </c>
      <c r="O20" s="135">
        <v>943</v>
      </c>
      <c r="P20" s="135">
        <v>62232899</v>
      </c>
      <c r="Q20" s="135">
        <v>8437600</v>
      </c>
      <c r="R20" s="135">
        <v>28726473</v>
      </c>
      <c r="S20" s="135">
        <v>24208361</v>
      </c>
      <c r="T20" s="135">
        <v>2623800</v>
      </c>
      <c r="U20" s="135">
        <v>18380344</v>
      </c>
      <c r="V20" s="135">
        <v>62232899</v>
      </c>
      <c r="W20" s="135">
        <v>8437600</v>
      </c>
      <c r="X20" s="135">
        <v>28726473</v>
      </c>
      <c r="Y20" s="135">
        <v>24208361</v>
      </c>
      <c r="Z20" s="135">
        <v>2623800</v>
      </c>
      <c r="AA20" s="135">
        <v>18380344</v>
      </c>
      <c r="AB20" s="135">
        <v>-18067282</v>
      </c>
      <c r="AC20" s="135">
        <v>-40021243</v>
      </c>
      <c r="AD20" s="135"/>
      <c r="AE20" s="135"/>
      <c r="AF20" s="135"/>
      <c r="AG20" s="135"/>
      <c r="AH20" s="135">
        <v>0</v>
      </c>
      <c r="AI20" s="135">
        <v>0</v>
      </c>
      <c r="AJ20" s="169"/>
      <c r="AK20" s="160">
        <v>887672639</v>
      </c>
      <c r="AL20" s="161">
        <v>18948060</v>
      </c>
      <c r="AM20" s="135">
        <v>10000</v>
      </c>
      <c r="AN20" s="135">
        <v>161668219</v>
      </c>
      <c r="AO20" s="135">
        <v>17848556</v>
      </c>
      <c r="AP20" s="135">
        <v>217340315</v>
      </c>
      <c r="AQ20" s="135">
        <v>134998555</v>
      </c>
      <c r="AR20" s="135">
        <v>61699474</v>
      </c>
      <c r="AS20" s="135">
        <v>5634191</v>
      </c>
      <c r="AT20" s="135">
        <f>275015+391</f>
        <v>275406</v>
      </c>
      <c r="AU20" s="135"/>
      <c r="AV20" s="135"/>
      <c r="AW20" s="135">
        <v>219701</v>
      </c>
      <c r="AX20" s="135">
        <v>502084</v>
      </c>
      <c r="AY20" s="135">
        <v>0</v>
      </c>
      <c r="AZ20" s="160">
        <v>54941487.899999999</v>
      </c>
      <c r="BA20" s="160">
        <v>29668403</v>
      </c>
      <c r="BB20" s="162">
        <v>32041690.895129532</v>
      </c>
      <c r="BC20" s="162">
        <v>3468673</v>
      </c>
      <c r="BD20" s="162">
        <v>5177124</v>
      </c>
      <c r="BE20" s="117">
        <v>118728782</v>
      </c>
      <c r="BF20" s="117">
        <v>118728782</v>
      </c>
      <c r="BG20" s="117">
        <v>207411753</v>
      </c>
      <c r="BH20" s="117">
        <v>199407350</v>
      </c>
      <c r="BI20" s="117">
        <v>6769077</v>
      </c>
      <c r="BJ20" s="117">
        <v>0</v>
      </c>
      <c r="BK20" s="138"/>
      <c r="BL20" s="163">
        <v>9669035626</v>
      </c>
      <c r="BM20" s="163">
        <v>8404372642</v>
      </c>
      <c r="BN20" s="164">
        <v>7263426</v>
      </c>
      <c r="BP20" s="166">
        <f t="shared" si="0"/>
        <v>8089857312</v>
      </c>
      <c r="BQ20" s="167">
        <f>AK20</f>
        <v>887672639</v>
      </c>
      <c r="BR20" s="167">
        <f>AL20</f>
        <v>18948060</v>
      </c>
      <c r="BS20" s="166">
        <f>AN20+AO20+AQ20+AS20</f>
        <v>320149521</v>
      </c>
      <c r="BT20" s="166">
        <f t="shared" si="1"/>
        <v>9316627532</v>
      </c>
    </row>
    <row r="21" spans="1:72" x14ac:dyDescent="0.25">
      <c r="A21" s="168" t="s">
        <v>75</v>
      </c>
      <c r="B21" s="135">
        <v>92887216</v>
      </c>
      <c r="C21" s="135">
        <v>100404348</v>
      </c>
      <c r="D21" s="135">
        <v>20114613</v>
      </c>
      <c r="E21" s="135">
        <v>0</v>
      </c>
      <c r="F21" s="135">
        <v>16541479</v>
      </c>
      <c r="G21" s="135">
        <v>6451450</v>
      </c>
      <c r="H21" s="135">
        <v>7691088</v>
      </c>
      <c r="I21" s="135">
        <v>1218224</v>
      </c>
      <c r="J21" s="135">
        <v>0</v>
      </c>
      <c r="K21" s="135">
        <v>0</v>
      </c>
      <c r="L21" s="135">
        <v>403954720</v>
      </c>
      <c r="M21" s="135">
        <v>37070589</v>
      </c>
      <c r="N21" s="135">
        <v>601</v>
      </c>
      <c r="O21" s="135">
        <v>207</v>
      </c>
      <c r="P21" s="135">
        <v>1914540</v>
      </c>
      <c r="Q21" s="135">
        <v>3128389</v>
      </c>
      <c r="R21" s="135">
        <v>100000</v>
      </c>
      <c r="S21" s="135">
        <v>722389</v>
      </c>
      <c r="T21" s="135">
        <v>1804945</v>
      </c>
      <c r="U21" s="135">
        <v>175100</v>
      </c>
      <c r="V21" s="135">
        <v>1914540</v>
      </c>
      <c r="W21" s="135">
        <v>2291500</v>
      </c>
      <c r="X21" s="135">
        <v>100000</v>
      </c>
      <c r="Y21" s="135">
        <v>722389</v>
      </c>
      <c r="Z21" s="135">
        <v>2404300</v>
      </c>
      <c r="AA21" s="135">
        <v>175100</v>
      </c>
      <c r="AB21" s="135">
        <v>-644251</v>
      </c>
      <c r="AC21" s="135"/>
      <c r="AD21" s="135">
        <v>25792</v>
      </c>
      <c r="AE21" s="135">
        <v>92036</v>
      </c>
      <c r="AF21" s="135">
        <v>55405734</v>
      </c>
      <c r="AG21" s="135">
        <v>40838</v>
      </c>
      <c r="AH21" s="135">
        <v>0</v>
      </c>
      <c r="AI21" s="135">
        <v>44000</v>
      </c>
      <c r="AJ21" s="169"/>
      <c r="AK21" s="160">
        <v>64569882</v>
      </c>
      <c r="AL21" s="161">
        <v>2524283</v>
      </c>
      <c r="AM21" s="135"/>
      <c r="AN21" s="135">
        <v>10184850</v>
      </c>
      <c r="AO21" s="135">
        <v>17407</v>
      </c>
      <c r="AP21" s="135">
        <v>52096</v>
      </c>
      <c r="AQ21" s="135">
        <v>2655235</v>
      </c>
      <c r="AR21" s="135">
        <v>572056</v>
      </c>
      <c r="AS21" s="135"/>
      <c r="AT21" s="135">
        <v>942562</v>
      </c>
      <c r="AU21" s="135"/>
      <c r="AV21" s="135"/>
      <c r="AW21" s="135"/>
      <c r="AX21" s="135"/>
      <c r="AY21" s="135"/>
      <c r="AZ21" s="160">
        <v>3996479.37</v>
      </c>
      <c r="BA21" s="160">
        <v>2158099</v>
      </c>
      <c r="BB21" s="162">
        <v>13395355.7253886</v>
      </c>
      <c r="BC21" s="162">
        <v>1205217</v>
      </c>
      <c r="BD21" s="162">
        <v>1798831</v>
      </c>
      <c r="BE21" s="117">
        <v>16437467</v>
      </c>
      <c r="BF21" s="117">
        <v>16437467</v>
      </c>
      <c r="BG21" s="117">
        <v>43400096</v>
      </c>
      <c r="BH21" s="117">
        <v>35133263</v>
      </c>
      <c r="BI21" s="117">
        <v>0</v>
      </c>
      <c r="BJ21" s="117">
        <v>0</v>
      </c>
      <c r="BK21" s="138"/>
      <c r="BL21" s="163">
        <v>348335880</v>
      </c>
      <c r="BM21" s="163">
        <v>226307669</v>
      </c>
      <c r="BN21" s="164">
        <v>277450</v>
      </c>
      <c r="BP21" s="166">
        <f t="shared" si="0"/>
        <v>213406177</v>
      </c>
      <c r="BQ21" s="167">
        <f>AK21</f>
        <v>64569882</v>
      </c>
      <c r="BR21" s="167">
        <f>AL21</f>
        <v>2524283</v>
      </c>
      <c r="BS21" s="166">
        <f>AN21+AO21+AQ21+AS21</f>
        <v>12857492</v>
      </c>
      <c r="BT21" s="166">
        <f t="shared" si="1"/>
        <v>293357834</v>
      </c>
    </row>
    <row r="22" spans="1:72" x14ac:dyDescent="0.25">
      <c r="A22" s="168" t="s">
        <v>76</v>
      </c>
      <c r="B22" s="135">
        <v>271508390</v>
      </c>
      <c r="C22" s="135">
        <v>75605550</v>
      </c>
      <c r="D22" s="135">
        <v>255692163</v>
      </c>
      <c r="E22" s="135">
        <v>264399724</v>
      </c>
      <c r="F22" s="135">
        <v>33239350</v>
      </c>
      <c r="G22" s="135">
        <v>3205500</v>
      </c>
      <c r="H22" s="135">
        <v>6673200</v>
      </c>
      <c r="I22" s="135">
        <v>303000</v>
      </c>
      <c r="J22" s="135">
        <v>256750</v>
      </c>
      <c r="K22" s="135">
        <v>0</v>
      </c>
      <c r="L22" s="135">
        <v>146946990</v>
      </c>
      <c r="M22" s="135">
        <v>53726300</v>
      </c>
      <c r="N22" s="135">
        <v>919</v>
      </c>
      <c r="O22" s="135">
        <v>95</v>
      </c>
      <c r="P22" s="135">
        <v>4679700</v>
      </c>
      <c r="Q22" s="135">
        <v>1691600</v>
      </c>
      <c r="R22" s="135">
        <v>3314500</v>
      </c>
      <c r="S22" s="135">
        <v>1288700</v>
      </c>
      <c r="T22" s="135">
        <v>283100</v>
      </c>
      <c r="U22" s="135">
        <v>788800</v>
      </c>
      <c r="V22" s="135">
        <v>4679700</v>
      </c>
      <c r="W22" s="135">
        <v>1917000</v>
      </c>
      <c r="X22" s="135">
        <v>3314500</v>
      </c>
      <c r="Y22" s="135">
        <v>1276300</v>
      </c>
      <c r="Z22" s="135">
        <v>934400</v>
      </c>
      <c r="AA22" s="135">
        <v>688800</v>
      </c>
      <c r="AB22" s="135">
        <v>-1011200</v>
      </c>
      <c r="AC22" s="135">
        <v>10622398</v>
      </c>
      <c r="AD22" s="135">
        <v>21977</v>
      </c>
      <c r="AE22" s="135"/>
      <c r="AF22" s="135">
        <v>15456</v>
      </c>
      <c r="AG22" s="135">
        <v>66469</v>
      </c>
      <c r="AH22" s="135">
        <v>0</v>
      </c>
      <c r="AI22" s="135">
        <v>530674</v>
      </c>
      <c r="AJ22" s="169"/>
      <c r="AK22" s="160">
        <v>105937902</v>
      </c>
      <c r="AL22" s="161">
        <v>1928900</v>
      </c>
      <c r="AM22" s="135"/>
      <c r="AN22" s="135">
        <v>49319425</v>
      </c>
      <c r="AO22" s="135">
        <v>9934864</v>
      </c>
      <c r="AP22" s="135">
        <v>172765285</v>
      </c>
      <c r="AQ22" s="135">
        <v>28353176</v>
      </c>
      <c r="AR22" s="135">
        <v>86000821</v>
      </c>
      <c r="AS22" s="135">
        <v>24255278</v>
      </c>
      <c r="AT22" s="135">
        <v>1538203984</v>
      </c>
      <c r="AU22" s="135"/>
      <c r="AV22" s="135"/>
      <c r="AW22" s="135"/>
      <c r="AX22" s="135">
        <v>14236726</v>
      </c>
      <c r="AY22" s="135"/>
      <c r="AZ22" s="160">
        <v>6556905.9000000004</v>
      </c>
      <c r="BA22" s="160">
        <v>3540729</v>
      </c>
      <c r="BB22" s="162">
        <v>24406338.131658029</v>
      </c>
      <c r="BC22" s="162">
        <v>3045377</v>
      </c>
      <c r="BD22" s="162">
        <v>4545339</v>
      </c>
      <c r="BE22" s="117">
        <v>96520050</v>
      </c>
      <c r="BF22" s="117">
        <v>96520050</v>
      </c>
      <c r="BG22" s="117">
        <v>73113773</v>
      </c>
      <c r="BH22" s="117">
        <v>70594559</v>
      </c>
      <c r="BI22" s="117">
        <v>0</v>
      </c>
      <c r="BJ22" s="117">
        <v>0</v>
      </c>
      <c r="BK22" s="138"/>
      <c r="BL22" s="163">
        <v>972511759</v>
      </c>
      <c r="BM22" s="163">
        <v>690944242</v>
      </c>
      <c r="BN22" s="164">
        <v>880500</v>
      </c>
      <c r="BP22" s="166">
        <f t="shared" si="0"/>
        <v>602806103</v>
      </c>
      <c r="BQ22" s="167">
        <f>AK22</f>
        <v>105937902</v>
      </c>
      <c r="BR22" s="167">
        <f>AL22</f>
        <v>1928900</v>
      </c>
      <c r="BS22" s="166">
        <f>AN22+AO22+AQ22+AS22</f>
        <v>111862743</v>
      </c>
      <c r="BT22" s="166">
        <f t="shared" si="1"/>
        <v>822535648</v>
      </c>
    </row>
    <row r="23" spans="1:72" x14ac:dyDescent="0.25">
      <c r="A23" s="168" t="s">
        <v>77</v>
      </c>
      <c r="B23" s="135">
        <v>511738032</v>
      </c>
      <c r="C23" s="135">
        <v>184330622</v>
      </c>
      <c r="D23" s="135">
        <v>210480926</v>
      </c>
      <c r="E23" s="135">
        <v>0</v>
      </c>
      <c r="F23" s="171">
        <v>68635470</v>
      </c>
      <c r="G23" s="171">
        <v>41010370</v>
      </c>
      <c r="H23" s="171">
        <v>22814210</v>
      </c>
      <c r="I23" s="171">
        <v>9887560</v>
      </c>
      <c r="J23" s="171">
        <v>139050</v>
      </c>
      <c r="K23" s="171">
        <v>92700</v>
      </c>
      <c r="L23" s="171">
        <v>144406401</v>
      </c>
      <c r="M23" s="171">
        <v>140992977</v>
      </c>
      <c r="N23" s="171">
        <v>2233</v>
      </c>
      <c r="O23" s="171">
        <v>1308</v>
      </c>
      <c r="P23" s="171">
        <v>8058128</v>
      </c>
      <c r="Q23" s="171">
        <v>1971040</v>
      </c>
      <c r="R23" s="171">
        <v>4380825</v>
      </c>
      <c r="S23" s="171">
        <v>3619070</v>
      </c>
      <c r="T23" s="171">
        <v>713110</v>
      </c>
      <c r="U23" s="171">
        <v>3432480</v>
      </c>
      <c r="V23" s="171">
        <v>8058128</v>
      </c>
      <c r="W23" s="171">
        <v>1971040</v>
      </c>
      <c r="X23" s="171">
        <v>4380825</v>
      </c>
      <c r="Y23" s="171">
        <v>3619070</v>
      </c>
      <c r="Z23" s="171">
        <v>829610</v>
      </c>
      <c r="AA23" s="171">
        <v>3432480</v>
      </c>
      <c r="AB23" s="171">
        <v>-14026000</v>
      </c>
      <c r="AC23" s="171">
        <v>-710687</v>
      </c>
      <c r="AD23" s="171">
        <v>143175</v>
      </c>
      <c r="AG23" s="171">
        <v>215880</v>
      </c>
      <c r="AH23" s="135"/>
      <c r="AI23" s="171">
        <v>1580076</v>
      </c>
      <c r="AJ23" s="169">
        <v>56000</v>
      </c>
      <c r="AK23" s="160">
        <v>237522024</v>
      </c>
      <c r="AL23" s="161">
        <v>7031011</v>
      </c>
      <c r="AM23" s="171">
        <v>125000</v>
      </c>
      <c r="AN23" s="171">
        <v>26850790</v>
      </c>
      <c r="AO23" s="171">
        <v>3927577</v>
      </c>
      <c r="AP23" s="171">
        <v>32570723</v>
      </c>
      <c r="AQ23" s="171">
        <v>36732519</v>
      </c>
      <c r="AR23" s="171">
        <v>14919550</v>
      </c>
      <c r="AT23" s="171">
        <v>1304970</v>
      </c>
      <c r="AW23" s="171">
        <v>108291</v>
      </c>
      <c r="AX23" s="171">
        <v>836987</v>
      </c>
      <c r="AZ23" s="160">
        <v>14701155.4</v>
      </c>
      <c r="BA23" s="160">
        <v>7938624</v>
      </c>
      <c r="BB23" s="162">
        <v>0</v>
      </c>
      <c r="BC23" s="162">
        <v>0</v>
      </c>
      <c r="BD23" s="162">
        <v>0</v>
      </c>
      <c r="BE23" s="117">
        <v>31290597</v>
      </c>
      <c r="BF23" s="117">
        <v>31290597</v>
      </c>
      <c r="BG23" s="117">
        <v>136206215</v>
      </c>
      <c r="BH23" s="117">
        <v>136206070</v>
      </c>
      <c r="BI23" s="117">
        <v>0</v>
      </c>
      <c r="BJ23" s="117">
        <v>0</v>
      </c>
      <c r="BK23" s="172"/>
      <c r="BL23" s="163">
        <v>1395684868</v>
      </c>
      <c r="BM23" s="163">
        <v>975696542</v>
      </c>
      <c r="BN23" s="164">
        <v>14002830</v>
      </c>
      <c r="BP23" s="166">
        <f t="shared" si="0"/>
        <v>906549580</v>
      </c>
      <c r="BQ23" s="167">
        <f>AK23</f>
        <v>237522024</v>
      </c>
      <c r="BR23" s="167">
        <f>AL23</f>
        <v>7031011</v>
      </c>
      <c r="BS23" s="166">
        <f>AN23+AO23+AQ23+AS23</f>
        <v>67510886</v>
      </c>
      <c r="BT23" s="166">
        <f t="shared" si="1"/>
        <v>1218613501</v>
      </c>
    </row>
    <row r="24" spans="1:72" x14ac:dyDescent="0.25">
      <c r="A24" s="168" t="s">
        <v>78</v>
      </c>
      <c r="B24" s="135">
        <v>281003125</v>
      </c>
      <c r="C24" s="135">
        <v>215696900</v>
      </c>
      <c r="D24" s="135">
        <v>83944500</v>
      </c>
      <c r="E24" s="135">
        <v>0</v>
      </c>
      <c r="F24" s="135">
        <v>52538350</v>
      </c>
      <c r="G24" s="135">
        <v>7770200</v>
      </c>
      <c r="H24" s="135">
        <v>27241200</v>
      </c>
      <c r="I24" s="135">
        <v>2446750</v>
      </c>
      <c r="J24" s="135">
        <v>0</v>
      </c>
      <c r="K24" s="135">
        <v>0</v>
      </c>
      <c r="L24" s="135">
        <v>379669925</v>
      </c>
      <c r="M24" s="135">
        <v>140131600</v>
      </c>
      <c r="N24" s="135">
        <v>1918</v>
      </c>
      <c r="O24" s="135">
        <v>285</v>
      </c>
      <c r="P24" s="135">
        <v>4374400</v>
      </c>
      <c r="Q24" s="135">
        <v>5375500</v>
      </c>
      <c r="R24" s="135">
        <v>1280000</v>
      </c>
      <c r="S24" s="135">
        <v>42500</v>
      </c>
      <c r="T24" s="135">
        <v>0</v>
      </c>
      <c r="U24" s="135">
        <v>0</v>
      </c>
      <c r="V24" s="135">
        <v>4374000</v>
      </c>
      <c r="W24" s="135">
        <v>5440000</v>
      </c>
      <c r="X24" s="135">
        <v>1280000</v>
      </c>
      <c r="Y24" s="135">
        <v>42500</v>
      </c>
      <c r="Z24" s="135">
        <v>0</v>
      </c>
      <c r="AA24" s="135">
        <v>0</v>
      </c>
      <c r="AB24" s="135">
        <v>-2126900</v>
      </c>
      <c r="AC24" s="135">
        <v>-208724</v>
      </c>
      <c r="AD24" s="135">
        <v>146854</v>
      </c>
      <c r="AE24" s="135"/>
      <c r="AF24" s="135"/>
      <c r="AG24" s="135">
        <v>275712</v>
      </c>
      <c r="AH24" s="135">
        <v>23226</v>
      </c>
      <c r="AI24" s="135">
        <v>100000</v>
      </c>
      <c r="AJ24" s="169"/>
      <c r="AK24" s="160">
        <v>125601949</v>
      </c>
      <c r="AL24" s="161">
        <v>4029249</v>
      </c>
      <c r="AM24" s="135"/>
      <c r="AN24" s="135">
        <v>13704754</v>
      </c>
      <c r="AO24" s="135">
        <v>405880</v>
      </c>
      <c r="AP24" s="135">
        <v>32094621</v>
      </c>
      <c r="AQ24" s="135">
        <v>16302474</v>
      </c>
      <c r="AR24" s="135">
        <v>43772362</v>
      </c>
      <c r="AS24" s="135">
        <v>22414519</v>
      </c>
      <c r="AT24" s="135"/>
      <c r="AU24" s="135"/>
      <c r="AV24" s="135"/>
      <c r="AW24" s="135"/>
      <c r="AX24" s="135">
        <v>7728</v>
      </c>
      <c r="AY24" s="135"/>
      <c r="AZ24" s="160">
        <v>7773989.71</v>
      </c>
      <c r="BA24" s="160">
        <v>4197954</v>
      </c>
      <c r="BB24" s="162">
        <v>0</v>
      </c>
      <c r="BC24" s="162">
        <v>0</v>
      </c>
      <c r="BD24" s="162">
        <v>0</v>
      </c>
      <c r="BE24" s="117">
        <v>28856604</v>
      </c>
      <c r="BF24" s="117">
        <v>28856604</v>
      </c>
      <c r="BG24" s="117">
        <v>66137243</v>
      </c>
      <c r="BH24" s="117">
        <v>66109501</v>
      </c>
      <c r="BI24" s="117">
        <v>0</v>
      </c>
      <c r="BJ24" s="117">
        <v>0</v>
      </c>
      <c r="BK24" s="138"/>
      <c r="BL24" s="163">
        <v>839976116</v>
      </c>
      <c r="BM24" s="163">
        <v>611180859</v>
      </c>
      <c r="BN24" s="164">
        <v>704500</v>
      </c>
      <c r="BP24" s="166">
        <f t="shared" si="0"/>
        <v>580644525</v>
      </c>
      <c r="BQ24" s="167">
        <f>AK24</f>
        <v>125601949</v>
      </c>
      <c r="BR24" s="167">
        <f>AL24</f>
        <v>4029249</v>
      </c>
      <c r="BS24" s="166">
        <f>AN24+AO24+AQ24+AS24</f>
        <v>52827627</v>
      </c>
      <c r="BT24" s="166">
        <f t="shared" si="1"/>
        <v>763103350</v>
      </c>
    </row>
    <row r="25" spans="1:72" x14ac:dyDescent="0.25">
      <c r="A25" s="168" t="s">
        <v>79</v>
      </c>
      <c r="B25" s="135">
        <v>2329940990</v>
      </c>
      <c r="C25" s="135">
        <v>478678669</v>
      </c>
      <c r="D25" s="135">
        <v>1274585905</v>
      </c>
      <c r="E25" s="135">
        <v>45444785</v>
      </c>
      <c r="F25" s="135">
        <v>159449620</v>
      </c>
      <c r="G25" s="135">
        <v>30363165</v>
      </c>
      <c r="H25" s="135">
        <v>19911949</v>
      </c>
      <c r="I25" s="135">
        <v>1889298</v>
      </c>
      <c r="J25" s="135">
        <v>231750</v>
      </c>
      <c r="K25" s="135">
        <v>0</v>
      </c>
      <c r="L25" s="135">
        <v>1854827632</v>
      </c>
      <c r="M25" s="135">
        <v>234353804</v>
      </c>
      <c r="N25" s="135">
        <v>4002</v>
      </c>
      <c r="O25" s="135">
        <v>744</v>
      </c>
      <c r="P25" s="135">
        <v>45195181</v>
      </c>
      <c r="Q25" s="135">
        <v>17590331</v>
      </c>
      <c r="R25" s="135">
        <v>27179215</v>
      </c>
      <c r="S25" s="135">
        <v>6665855</v>
      </c>
      <c r="T25" s="135">
        <v>2862928</v>
      </c>
      <c r="U25" s="135">
        <v>5372976</v>
      </c>
      <c r="V25" s="135">
        <v>45195181</v>
      </c>
      <c r="W25" s="135">
        <v>18756033</v>
      </c>
      <c r="X25" s="135">
        <v>27179215</v>
      </c>
      <c r="Y25" s="135">
        <v>6665855</v>
      </c>
      <c r="Z25" s="135">
        <v>20154490</v>
      </c>
      <c r="AA25" s="135">
        <v>5372976</v>
      </c>
      <c r="AB25" s="135">
        <v>-4997517</v>
      </c>
      <c r="AC25" s="135">
        <v>-55758</v>
      </c>
      <c r="AD25" s="135">
        <v>43948</v>
      </c>
      <c r="AE25" s="135">
        <v>2810</v>
      </c>
      <c r="AF25" s="135">
        <v>309608945</v>
      </c>
      <c r="AG25" s="135">
        <v>409641</v>
      </c>
      <c r="AH25" s="135">
        <v>820667</v>
      </c>
      <c r="AI25" s="135">
        <v>850333</v>
      </c>
      <c r="AJ25" s="169"/>
      <c r="AK25" s="160">
        <v>496812102</v>
      </c>
      <c r="AL25" s="161">
        <v>9731543</v>
      </c>
      <c r="AM25" s="135"/>
      <c r="AN25" s="135">
        <v>206723726</v>
      </c>
      <c r="AO25" s="135">
        <v>55978493</v>
      </c>
      <c r="AP25" s="135">
        <v>756384694</v>
      </c>
      <c r="AQ25" s="135">
        <v>257744617</v>
      </c>
      <c r="AR25" s="135">
        <v>251380934</v>
      </c>
      <c r="AS25" s="135">
        <v>95393711</v>
      </c>
      <c r="AT25" s="135">
        <v>6589443</v>
      </c>
      <c r="AU25" s="135">
        <v>23786763</v>
      </c>
      <c r="AV25" s="135">
        <v>17377</v>
      </c>
      <c r="AW25" s="135">
        <v>249790244</v>
      </c>
      <c r="AX25" s="135">
        <v>3197478</v>
      </c>
      <c r="AY25" s="135">
        <v>4630801</v>
      </c>
      <c r="AZ25" s="160">
        <v>30749619.719999999</v>
      </c>
      <c r="BA25" s="160">
        <v>16604795</v>
      </c>
      <c r="BB25" s="162">
        <v>0</v>
      </c>
      <c r="BC25" s="162">
        <v>3300139</v>
      </c>
      <c r="BD25" s="162">
        <v>4925580</v>
      </c>
      <c r="BE25" s="117">
        <v>85329731</v>
      </c>
      <c r="BF25" s="117">
        <v>85329731</v>
      </c>
      <c r="BG25" s="117">
        <v>108703648</v>
      </c>
      <c r="BH25" s="117">
        <v>101410386</v>
      </c>
      <c r="BI25" s="117">
        <v>372229</v>
      </c>
      <c r="BJ25" s="117">
        <v>17252024</v>
      </c>
      <c r="BK25" s="138"/>
      <c r="BL25" s="163">
        <v>5336136349</v>
      </c>
      <c r="BM25" s="163">
        <v>4605323400</v>
      </c>
      <c r="BN25" s="164">
        <v>4864005</v>
      </c>
      <c r="BP25" s="166">
        <f t="shared" si="0"/>
        <v>4083205564</v>
      </c>
      <c r="BQ25" s="167">
        <f>AK25</f>
        <v>496812102</v>
      </c>
      <c r="BR25" s="167">
        <f>AL25</f>
        <v>9731543</v>
      </c>
      <c r="BS25" s="166">
        <f>AN25+AO25+AQ25+AS25</f>
        <v>615840547</v>
      </c>
      <c r="BT25" s="166">
        <f t="shared" si="1"/>
        <v>5205589756</v>
      </c>
    </row>
    <row r="26" spans="1:72" x14ac:dyDescent="0.25">
      <c r="A26" s="168" t="s">
        <v>80</v>
      </c>
      <c r="B26" s="135">
        <v>1704696060</v>
      </c>
      <c r="C26" s="135">
        <v>299974088</v>
      </c>
      <c r="D26" s="135">
        <v>782163623</v>
      </c>
      <c r="E26" s="135">
        <v>0</v>
      </c>
      <c r="F26" s="135">
        <v>129234100</v>
      </c>
      <c r="G26" s="135">
        <v>21905250</v>
      </c>
      <c r="H26" s="135">
        <v>19697650</v>
      </c>
      <c r="I26" s="135">
        <v>1877400</v>
      </c>
      <c r="J26" s="135">
        <v>231750</v>
      </c>
      <c r="K26" s="135">
        <v>0</v>
      </c>
      <c r="L26" s="135">
        <v>481654710</v>
      </c>
      <c r="M26" s="135"/>
      <c r="N26" s="135">
        <v>3310</v>
      </c>
      <c r="O26" s="135">
        <v>551</v>
      </c>
      <c r="P26" s="140">
        <v>25157300</v>
      </c>
      <c r="Q26" s="135">
        <v>6237221</v>
      </c>
      <c r="R26" s="135">
        <v>7263000</v>
      </c>
      <c r="S26" s="135">
        <v>5951300</v>
      </c>
      <c r="T26" s="135">
        <v>1186400</v>
      </c>
      <c r="U26" s="135">
        <v>760900</v>
      </c>
      <c r="V26" s="135">
        <v>25157300</v>
      </c>
      <c r="W26" s="135">
        <v>8645900</v>
      </c>
      <c r="X26" s="135">
        <v>7263000</v>
      </c>
      <c r="Y26" s="135">
        <v>5951300</v>
      </c>
      <c r="Z26" s="135">
        <v>5021380</v>
      </c>
      <c r="AA26" s="135">
        <v>760900</v>
      </c>
      <c r="AB26" s="135">
        <v>-37406550</v>
      </c>
      <c r="AC26" s="135">
        <f>-2178413+-17484</f>
        <v>-2195897</v>
      </c>
      <c r="AD26" s="135">
        <v>0</v>
      </c>
      <c r="AE26" s="135">
        <v>751</v>
      </c>
      <c r="AF26" s="135">
        <v>0</v>
      </c>
      <c r="AG26" s="135">
        <v>135232</v>
      </c>
      <c r="AH26" s="135">
        <v>0</v>
      </c>
      <c r="AI26" s="135">
        <v>0</v>
      </c>
      <c r="AJ26" s="169"/>
      <c r="AK26" s="160">
        <v>388602516</v>
      </c>
      <c r="AL26" s="161">
        <v>8541563</v>
      </c>
      <c r="AM26" s="135"/>
      <c r="AN26" s="135">
        <v>114284234</v>
      </c>
      <c r="AO26" s="135">
        <v>25228615</v>
      </c>
      <c r="AP26" s="135">
        <v>491870888</v>
      </c>
      <c r="AQ26" s="135">
        <v>120161830</v>
      </c>
      <c r="AR26" s="135">
        <v>179072247</v>
      </c>
      <c r="AS26" s="135">
        <v>70179909</v>
      </c>
      <c r="AT26" s="135">
        <v>1594876</v>
      </c>
      <c r="AU26" s="135"/>
      <c r="AV26" s="135">
        <v>10208</v>
      </c>
      <c r="AW26" s="135">
        <v>27420012</v>
      </c>
      <c r="AX26" s="135">
        <v>8542613</v>
      </c>
      <c r="AY26" s="135"/>
      <c r="AZ26" s="160">
        <v>24052110.530000001</v>
      </c>
      <c r="BA26" s="160">
        <v>12988140</v>
      </c>
      <c r="BB26" s="162">
        <v>0</v>
      </c>
      <c r="BC26" s="162">
        <v>5055052</v>
      </c>
      <c r="BD26" s="162">
        <v>7544854</v>
      </c>
      <c r="BE26" s="117">
        <v>101861231</v>
      </c>
      <c r="BF26" s="117">
        <v>101703903</v>
      </c>
      <c r="BG26" s="117">
        <v>197112279</v>
      </c>
      <c r="BH26" s="117">
        <v>190482144</v>
      </c>
      <c r="BI26" s="117">
        <v>0</v>
      </c>
      <c r="BJ26" s="117">
        <v>0</v>
      </c>
      <c r="BK26" s="138"/>
      <c r="BL26" s="163">
        <v>3753881768</v>
      </c>
      <c r="BM26" s="163">
        <v>3046508450</v>
      </c>
      <c r="BN26" s="164">
        <v>1804200</v>
      </c>
      <c r="BP26" s="166">
        <f t="shared" si="0"/>
        <v>2786833771</v>
      </c>
      <c r="BQ26" s="167">
        <f>AK26</f>
        <v>388602516</v>
      </c>
      <c r="BR26" s="167">
        <f>AL26</f>
        <v>8541563</v>
      </c>
      <c r="BS26" s="166">
        <f>AN26+AO26+AQ26+AS26</f>
        <v>329854588</v>
      </c>
      <c r="BT26" s="166">
        <f t="shared" si="1"/>
        <v>3513832438</v>
      </c>
    </row>
    <row r="27" spans="1:72" x14ac:dyDescent="0.25">
      <c r="A27" s="168" t="s">
        <v>81</v>
      </c>
      <c r="B27" s="135">
        <v>218080050</v>
      </c>
      <c r="C27" s="135">
        <v>73828535</v>
      </c>
      <c r="D27" s="135">
        <v>85540800</v>
      </c>
      <c r="E27" s="135">
        <v>0</v>
      </c>
      <c r="F27" s="171">
        <v>56582050</v>
      </c>
      <c r="G27" s="171">
        <v>34536700</v>
      </c>
      <c r="H27" s="171">
        <v>14447500</v>
      </c>
      <c r="I27" s="171">
        <v>5739250</v>
      </c>
      <c r="J27" s="171">
        <v>46350</v>
      </c>
      <c r="K27" s="171">
        <v>46350</v>
      </c>
      <c r="L27" s="171">
        <v>84045950</v>
      </c>
      <c r="M27" s="171">
        <v>50901115</v>
      </c>
      <c r="N27" s="171">
        <v>1827</v>
      </c>
      <c r="O27" s="171">
        <v>1050</v>
      </c>
      <c r="P27" s="171">
        <v>3403500</v>
      </c>
      <c r="Q27" s="171">
        <v>1270500</v>
      </c>
      <c r="R27" s="171">
        <v>293400</v>
      </c>
      <c r="S27" s="171">
        <v>2210500</v>
      </c>
      <c r="T27" s="171">
        <v>469890</v>
      </c>
      <c r="U27" s="171">
        <v>192000</v>
      </c>
      <c r="V27" s="171">
        <v>3403500</v>
      </c>
      <c r="W27" s="171">
        <v>1316300</v>
      </c>
      <c r="X27" s="171">
        <v>293400</v>
      </c>
      <c r="Y27" s="171">
        <v>2210500</v>
      </c>
      <c r="Z27" s="171">
        <v>259500</v>
      </c>
      <c r="AA27" s="171">
        <v>192000</v>
      </c>
      <c r="AB27" s="171">
        <v>-2536500</v>
      </c>
      <c r="AC27" s="171">
        <v>-307339</v>
      </c>
      <c r="AD27" s="171">
        <v>187399</v>
      </c>
      <c r="AE27" s="171">
        <v>0</v>
      </c>
      <c r="AF27" s="173">
        <v>0</v>
      </c>
      <c r="AG27" s="171">
        <v>214267</v>
      </c>
      <c r="AH27" s="135">
        <v>2425506</v>
      </c>
      <c r="AI27" s="171">
        <v>10497887</v>
      </c>
      <c r="AJ27" s="169">
        <v>50000</v>
      </c>
      <c r="AK27" s="160">
        <v>127268715</v>
      </c>
      <c r="AL27" s="161">
        <v>3649894</v>
      </c>
      <c r="AN27" s="171">
        <v>15715095</v>
      </c>
      <c r="AO27" s="171">
        <v>159180</v>
      </c>
      <c r="AP27" s="171">
        <v>462940</v>
      </c>
      <c r="AQ27" s="171">
        <v>10431160</v>
      </c>
      <c r="AR27" s="171">
        <v>3700610</v>
      </c>
      <c r="AS27" s="171">
        <v>1273</v>
      </c>
      <c r="AT27" s="171">
        <v>393314</v>
      </c>
      <c r="AX27" s="171">
        <v>41366</v>
      </c>
      <c r="AZ27" s="160">
        <v>7877152.29</v>
      </c>
      <c r="BA27" s="160">
        <v>4253662</v>
      </c>
      <c r="BB27" s="162">
        <v>0</v>
      </c>
      <c r="BC27" s="162">
        <v>1045501</v>
      </c>
      <c r="BD27" s="162">
        <v>1560450</v>
      </c>
      <c r="BE27" s="117">
        <v>15215269</v>
      </c>
      <c r="BF27" s="117">
        <v>15215269</v>
      </c>
      <c r="BG27" s="117">
        <v>59469982</v>
      </c>
      <c r="BH27" s="117">
        <v>57910116</v>
      </c>
      <c r="BI27" s="117">
        <v>0</v>
      </c>
      <c r="BJ27" s="117">
        <v>0</v>
      </c>
      <c r="BK27" s="172"/>
      <c r="BL27" s="163">
        <v>626071370</v>
      </c>
      <c r="BM27" s="163">
        <v>416728213</v>
      </c>
      <c r="BN27" s="164">
        <v>504700</v>
      </c>
      <c r="BP27" s="166">
        <f t="shared" si="0"/>
        <v>377449385</v>
      </c>
      <c r="BQ27" s="167">
        <f>AK27</f>
        <v>127268715</v>
      </c>
      <c r="BR27" s="167">
        <f>AL27</f>
        <v>3649894</v>
      </c>
      <c r="BS27" s="166">
        <f>AN27+AO27+AQ27+AS27</f>
        <v>26306708</v>
      </c>
      <c r="BT27" s="166">
        <f t="shared" si="1"/>
        <v>534674702</v>
      </c>
    </row>
    <row r="28" spans="1:72" x14ac:dyDescent="0.25">
      <c r="A28" s="168" t="s">
        <v>82</v>
      </c>
      <c r="B28" s="135">
        <v>229300689</v>
      </c>
      <c r="C28" s="135">
        <v>74779136</v>
      </c>
      <c r="D28" s="135">
        <v>118211696</v>
      </c>
      <c r="E28" s="135">
        <v>0</v>
      </c>
      <c r="F28" s="135">
        <v>29936781</v>
      </c>
      <c r="G28" s="135">
        <v>12265250</v>
      </c>
      <c r="H28" s="135">
        <v>10112060</v>
      </c>
      <c r="I28" s="135">
        <v>1648950</v>
      </c>
      <c r="J28" s="135">
        <v>0</v>
      </c>
      <c r="K28" s="135">
        <v>46350</v>
      </c>
      <c r="L28" s="135">
        <v>146733588</v>
      </c>
      <c r="M28" s="135">
        <v>50367900</v>
      </c>
      <c r="N28" s="135">
        <v>1022</v>
      </c>
      <c r="O28" s="135">
        <v>407</v>
      </c>
      <c r="P28" s="135">
        <v>5920425</v>
      </c>
      <c r="Q28" s="135">
        <v>1110087</v>
      </c>
      <c r="R28" s="135">
        <v>1962000</v>
      </c>
      <c r="S28" s="135">
        <v>1570971</v>
      </c>
      <c r="T28" s="135">
        <v>719849</v>
      </c>
      <c r="U28" s="135">
        <v>300000</v>
      </c>
      <c r="V28" s="135">
        <v>5920425</v>
      </c>
      <c r="W28" s="135">
        <v>1264700</v>
      </c>
      <c r="X28" s="135">
        <v>1962000</v>
      </c>
      <c r="Y28" s="135">
        <v>1570971</v>
      </c>
      <c r="Z28" s="135">
        <v>827945</v>
      </c>
      <c r="AA28" s="135">
        <v>300000</v>
      </c>
      <c r="AB28" s="135">
        <v>-968400</v>
      </c>
      <c r="AC28" s="135"/>
      <c r="AD28" s="135">
        <v>47694</v>
      </c>
      <c r="AE28" s="135"/>
      <c r="AF28" s="135"/>
      <c r="AG28" s="135">
        <v>96443</v>
      </c>
      <c r="AH28" s="135">
        <v>1316138</v>
      </c>
      <c r="AI28" s="135">
        <v>385787</v>
      </c>
      <c r="AJ28" s="169"/>
      <c r="AK28" s="160">
        <v>75511042</v>
      </c>
      <c r="AL28" s="161">
        <v>12177146</v>
      </c>
      <c r="AM28" s="135">
        <v>5976235</v>
      </c>
      <c r="AN28" s="135">
        <v>12793623</v>
      </c>
      <c r="AO28" s="135">
        <v>6540434</v>
      </c>
      <c r="AP28" s="135">
        <v>46890105</v>
      </c>
      <c r="AQ28" s="135">
        <v>8540663</v>
      </c>
      <c r="AR28" s="135">
        <v>2682677</v>
      </c>
      <c r="AS28" s="135">
        <v>1759078</v>
      </c>
      <c r="AT28" s="135">
        <v>740853</v>
      </c>
      <c r="AU28" s="135"/>
      <c r="AV28" s="135"/>
      <c r="AW28" s="135">
        <v>1052821</v>
      </c>
      <c r="AX28" s="135"/>
      <c r="AY28" s="135"/>
      <c r="AZ28" s="160">
        <v>4673670.0199999996</v>
      </c>
      <c r="BA28" s="160">
        <v>2523782</v>
      </c>
      <c r="BB28" s="162">
        <v>0</v>
      </c>
      <c r="BC28" s="162">
        <v>0</v>
      </c>
      <c r="BD28" s="162">
        <v>0</v>
      </c>
      <c r="BE28" s="117">
        <v>4715947</v>
      </c>
      <c r="BF28" s="117">
        <v>4715947</v>
      </c>
      <c r="BG28" s="117">
        <v>32100291</v>
      </c>
      <c r="BH28" s="117">
        <v>31476655</v>
      </c>
      <c r="BI28" s="117">
        <v>0</v>
      </c>
      <c r="BJ28" s="117">
        <v>0</v>
      </c>
      <c r="BK28" s="138"/>
      <c r="BL28" s="163">
        <v>578272738</v>
      </c>
      <c r="BM28" s="163">
        <v>451868166</v>
      </c>
      <c r="BN28" s="164">
        <v>402056</v>
      </c>
      <c r="BP28" s="166">
        <f t="shared" si="0"/>
        <v>422291521</v>
      </c>
      <c r="BQ28" s="167">
        <f>AK28</f>
        <v>75511042</v>
      </c>
      <c r="BR28" s="167">
        <f>AL28</f>
        <v>12177146</v>
      </c>
      <c r="BS28" s="166">
        <f>AN28+AO28+AQ28+AS28</f>
        <v>29633798</v>
      </c>
      <c r="BT28" s="166">
        <f t="shared" si="1"/>
        <v>539613507</v>
      </c>
    </row>
    <row r="29" spans="1:72" x14ac:dyDescent="0.25">
      <c r="A29" s="168" t="s">
        <v>83</v>
      </c>
      <c r="B29" s="135">
        <v>178485536</v>
      </c>
      <c r="C29" s="135">
        <v>162021455</v>
      </c>
      <c r="D29" s="135">
        <v>54819194</v>
      </c>
      <c r="E29" s="135">
        <v>0</v>
      </c>
      <c r="F29" s="135">
        <v>33280302</v>
      </c>
      <c r="G29" s="135">
        <v>5675510</v>
      </c>
      <c r="H29" s="135">
        <v>12027485</v>
      </c>
      <c r="I29" s="135">
        <v>1488050</v>
      </c>
      <c r="J29" s="135">
        <v>17500</v>
      </c>
      <c r="K29" s="135">
        <v>0</v>
      </c>
      <c r="L29" s="135">
        <v>262092174</v>
      </c>
      <c r="M29" s="135">
        <v>65378037</v>
      </c>
      <c r="N29" s="135">
        <v>1102</v>
      </c>
      <c r="O29" s="135">
        <v>196</v>
      </c>
      <c r="P29" s="135">
        <v>4345313</v>
      </c>
      <c r="Q29" s="135">
        <v>2415107</v>
      </c>
      <c r="R29" s="135">
        <v>1521144</v>
      </c>
      <c r="S29" s="135">
        <v>2036641</v>
      </c>
      <c r="T29" s="135">
        <v>2020044</v>
      </c>
      <c r="U29" s="135">
        <v>1363307</v>
      </c>
      <c r="V29" s="135">
        <v>4345313</v>
      </c>
      <c r="W29" s="135">
        <v>4988923</v>
      </c>
      <c r="X29" s="135">
        <v>1521144</v>
      </c>
      <c r="Y29" s="135">
        <v>2036641</v>
      </c>
      <c r="Z29" s="135">
        <v>2334919</v>
      </c>
      <c r="AA29" s="135">
        <v>1363307</v>
      </c>
      <c r="AB29" s="135">
        <v>-6182160</v>
      </c>
      <c r="AC29" s="135">
        <v>-16137</v>
      </c>
      <c r="AD29" s="135">
        <v>95266</v>
      </c>
      <c r="AE29" s="135">
        <v>4571</v>
      </c>
      <c r="AF29" s="135">
        <v>780226</v>
      </c>
      <c r="AG29" s="135">
        <v>212847</v>
      </c>
      <c r="AH29" s="135">
        <v>0</v>
      </c>
      <c r="AI29" s="135">
        <v>200000</v>
      </c>
      <c r="AJ29" s="169"/>
      <c r="AK29" s="160">
        <v>82836688</v>
      </c>
      <c r="AL29" s="161">
        <v>3094647</v>
      </c>
      <c r="AM29" s="135">
        <v>10000</v>
      </c>
      <c r="AN29" s="135">
        <v>8976355</v>
      </c>
      <c r="AO29" s="135">
        <v>289611</v>
      </c>
      <c r="AP29" s="135">
        <v>6410274</v>
      </c>
      <c r="AQ29" s="135">
        <v>8821470</v>
      </c>
      <c r="AR29" s="135">
        <v>1528790</v>
      </c>
      <c r="AS29" s="135"/>
      <c r="AT29" s="135">
        <v>900001</v>
      </c>
      <c r="AU29" s="135"/>
      <c r="AV29" s="135"/>
      <c r="AW29" s="135"/>
      <c r="AX29" s="135">
        <v>1680263</v>
      </c>
      <c r="AY29" s="135">
        <v>2172100</v>
      </c>
      <c r="AZ29" s="160">
        <v>5127082.54</v>
      </c>
      <c r="BA29" s="160">
        <v>2768625</v>
      </c>
      <c r="BB29" s="162">
        <v>22879267.57896373</v>
      </c>
      <c r="BC29" s="162">
        <v>0</v>
      </c>
      <c r="BD29" s="162">
        <v>0</v>
      </c>
      <c r="BE29" s="117">
        <v>13297885</v>
      </c>
      <c r="BF29" s="117">
        <v>13297885</v>
      </c>
      <c r="BG29" s="117">
        <v>34161019</v>
      </c>
      <c r="BH29" s="117">
        <v>33631147</v>
      </c>
      <c r="BI29" s="117">
        <v>0</v>
      </c>
      <c r="BJ29" s="117">
        <v>0</v>
      </c>
      <c r="BK29" s="138"/>
      <c r="BL29" s="163">
        <v>549242613</v>
      </c>
      <c r="BM29" s="163">
        <v>413613621</v>
      </c>
      <c r="BN29" s="164">
        <v>424294</v>
      </c>
      <c r="BP29" s="166">
        <f t="shared" si="0"/>
        <v>395326185</v>
      </c>
      <c r="BQ29" s="167">
        <f>AK29</f>
        <v>82836688</v>
      </c>
      <c r="BR29" s="167">
        <f>AL29</f>
        <v>3094647</v>
      </c>
      <c r="BS29" s="166">
        <f>AN29+AO29+AQ29+AS29</f>
        <v>18087436</v>
      </c>
      <c r="BT29" s="166">
        <f t="shared" si="1"/>
        <v>499344956</v>
      </c>
    </row>
    <row r="30" spans="1:72" x14ac:dyDescent="0.25">
      <c r="A30" s="168" t="s">
        <v>84</v>
      </c>
      <c r="B30" s="135">
        <v>244045331</v>
      </c>
      <c r="C30" s="135">
        <v>161747700</v>
      </c>
      <c r="D30" s="135">
        <v>61497092</v>
      </c>
      <c r="E30" s="135">
        <v>0</v>
      </c>
      <c r="F30" s="135">
        <v>24258700</v>
      </c>
      <c r="G30" s="135">
        <v>5850750</v>
      </c>
      <c r="H30" s="135">
        <v>10044550</v>
      </c>
      <c r="I30" s="135">
        <v>1157900</v>
      </c>
      <c r="J30" s="135">
        <v>0</v>
      </c>
      <c r="K30" s="135">
        <v>0</v>
      </c>
      <c r="L30" s="135">
        <v>249180654</v>
      </c>
      <c r="M30" s="135">
        <v>79019430</v>
      </c>
      <c r="N30" s="135">
        <v>760</v>
      </c>
      <c r="O30" s="135">
        <v>158</v>
      </c>
      <c r="P30" s="135">
        <v>7710550</v>
      </c>
      <c r="Q30" s="135">
        <v>960000</v>
      </c>
      <c r="R30" s="135">
        <v>2473500</v>
      </c>
      <c r="S30" s="135">
        <v>2012661</v>
      </c>
      <c r="T30" s="140">
        <v>324000</v>
      </c>
      <c r="U30" s="135">
        <v>68000</v>
      </c>
      <c r="V30" s="135">
        <v>7710550</v>
      </c>
      <c r="W30" s="135">
        <v>1012000</v>
      </c>
      <c r="X30" s="135">
        <v>2473500</v>
      </c>
      <c r="Y30" s="135">
        <v>2012661</v>
      </c>
      <c r="Z30" s="135">
        <v>304000</v>
      </c>
      <c r="AA30" s="135">
        <v>68000</v>
      </c>
      <c r="AB30" s="135">
        <v>-1606000</v>
      </c>
      <c r="AC30" s="135">
        <v>692411</v>
      </c>
      <c r="AD30" s="135">
        <v>165553</v>
      </c>
      <c r="AE30" s="135"/>
      <c r="AF30" s="135"/>
      <c r="AG30" s="135"/>
      <c r="AH30" s="135">
        <v>1570148</v>
      </c>
      <c r="AI30" s="135">
        <v>0</v>
      </c>
      <c r="AJ30" s="169"/>
      <c r="AK30" s="160">
        <v>59057666</v>
      </c>
      <c r="AL30" s="161">
        <v>9253857</v>
      </c>
      <c r="AM30" s="135">
        <v>6591643</v>
      </c>
      <c r="AN30" s="135">
        <v>7953666</v>
      </c>
      <c r="AO30" s="135">
        <v>19640</v>
      </c>
      <c r="AP30" s="135">
        <v>2133515</v>
      </c>
      <c r="AQ30" s="135">
        <v>4954693</v>
      </c>
      <c r="AR30" s="135">
        <v>1672013</v>
      </c>
      <c r="AS30" s="135"/>
      <c r="AT30" s="135">
        <v>572935</v>
      </c>
      <c r="AU30" s="135"/>
      <c r="AV30" s="135"/>
      <c r="AW30" s="135"/>
      <c r="AX30" s="135"/>
      <c r="AY30" s="135">
        <v>45000</v>
      </c>
      <c r="AZ30" s="160">
        <v>3655307.03</v>
      </c>
      <c r="BA30" s="160">
        <v>1973866</v>
      </c>
      <c r="BB30" s="162">
        <v>0</v>
      </c>
      <c r="BC30" s="162">
        <v>0</v>
      </c>
      <c r="BD30" s="162">
        <v>0</v>
      </c>
      <c r="BE30" s="117">
        <v>2632173</v>
      </c>
      <c r="BF30" s="117">
        <v>2632173</v>
      </c>
      <c r="BG30" s="117">
        <v>34454282</v>
      </c>
      <c r="BH30" s="117">
        <v>34437860</v>
      </c>
      <c r="BI30" s="117">
        <v>0</v>
      </c>
      <c r="BJ30" s="117">
        <v>0</v>
      </c>
      <c r="BK30" s="138"/>
      <c r="BL30" s="163">
        <v>589143692</v>
      </c>
      <c r="BM30" s="163">
        <v>481788270</v>
      </c>
      <c r="BN30" s="164">
        <v>730000</v>
      </c>
      <c r="BP30" s="166">
        <f t="shared" si="0"/>
        <v>467290123</v>
      </c>
      <c r="BQ30" s="167">
        <f>AK30</f>
        <v>59057666</v>
      </c>
      <c r="BR30" s="167">
        <f>AL30</f>
        <v>9253857</v>
      </c>
      <c r="BS30" s="166">
        <f>AN30+AO30+AQ30+AS30</f>
        <v>12927999</v>
      </c>
      <c r="BT30" s="166">
        <f t="shared" si="1"/>
        <v>548529645</v>
      </c>
    </row>
    <row r="31" spans="1:72" x14ac:dyDescent="0.25">
      <c r="A31" s="168" t="s">
        <v>85</v>
      </c>
      <c r="B31" s="135">
        <v>4805902359</v>
      </c>
      <c r="C31" s="135">
        <v>537314359</v>
      </c>
      <c r="D31" s="135">
        <v>2113673669</v>
      </c>
      <c r="E31" s="135">
        <v>0</v>
      </c>
      <c r="F31" s="135">
        <v>422024050</v>
      </c>
      <c r="G31" s="135">
        <v>37583750</v>
      </c>
      <c r="H31" s="135">
        <v>28650102</v>
      </c>
      <c r="I31" s="135">
        <v>1680537</v>
      </c>
      <c r="J31" s="135">
        <v>1112400</v>
      </c>
      <c r="K31" s="135">
        <v>139050</v>
      </c>
      <c r="L31" s="135">
        <v>1211821874</v>
      </c>
      <c r="M31" s="135">
        <v>285736345</v>
      </c>
      <c r="N31" s="135">
        <v>9847</v>
      </c>
      <c r="O31" s="135">
        <v>883</v>
      </c>
      <c r="P31" s="135">
        <v>114929652</v>
      </c>
      <c r="Q31" s="135">
        <v>10186658</v>
      </c>
      <c r="R31" s="135">
        <v>37342348</v>
      </c>
      <c r="S31" s="135">
        <v>10847422</v>
      </c>
      <c r="T31" s="135">
        <v>2226985</v>
      </c>
      <c r="U31" s="135">
        <v>25089104</v>
      </c>
      <c r="V31" s="135">
        <v>114929652</v>
      </c>
      <c r="W31" s="135">
        <v>11035419</v>
      </c>
      <c r="X31" s="135">
        <v>37342348</v>
      </c>
      <c r="Y31" s="135">
        <v>10847422</v>
      </c>
      <c r="Z31" s="135">
        <v>6615365</v>
      </c>
      <c r="AA31" s="135">
        <v>25089104</v>
      </c>
      <c r="AB31" s="135">
        <v>-20971997</v>
      </c>
      <c r="AC31" s="135">
        <f>954858+-52379777</f>
        <v>-51424919</v>
      </c>
      <c r="AD31" s="135">
        <v>0</v>
      </c>
      <c r="AE31" s="135">
        <v>0</v>
      </c>
      <c r="AF31" s="135">
        <v>0</v>
      </c>
      <c r="AG31" s="135">
        <v>243510.3113</v>
      </c>
      <c r="AH31" s="135">
        <v>3352910</v>
      </c>
      <c r="AI31" s="135">
        <v>180500</v>
      </c>
      <c r="AJ31" s="169">
        <v>350000</v>
      </c>
      <c r="AK31" s="160">
        <v>989834851</v>
      </c>
      <c r="AL31" s="161">
        <v>22615033</v>
      </c>
      <c r="AM31" s="135">
        <v>72200</v>
      </c>
      <c r="AN31" s="135">
        <v>306643578</v>
      </c>
      <c r="AO31" s="135">
        <v>43642864</v>
      </c>
      <c r="AP31" s="135">
        <v>686341403</v>
      </c>
      <c r="AQ31" s="135">
        <v>344762606</v>
      </c>
      <c r="AR31" s="135">
        <v>417182934</v>
      </c>
      <c r="AS31" s="135">
        <v>95571883</v>
      </c>
      <c r="AT31" s="135">
        <f>29629213+124710953</f>
        <v>154340166</v>
      </c>
      <c r="AU31" s="135">
        <v>31554524</v>
      </c>
      <c r="AV31" s="135">
        <v>3052493</v>
      </c>
      <c r="AW31" s="135">
        <v>115139496</v>
      </c>
      <c r="AX31" s="135">
        <v>4274144</v>
      </c>
      <c r="AY31" s="135">
        <v>3124437</v>
      </c>
      <c r="AZ31" s="160">
        <v>61264701.759999998</v>
      </c>
      <c r="BA31" s="160">
        <v>33082939</v>
      </c>
      <c r="BB31" s="162">
        <v>35685227.652435236</v>
      </c>
      <c r="BC31" s="162">
        <v>2901339</v>
      </c>
      <c r="BD31" s="162">
        <v>4330357</v>
      </c>
      <c r="BE31" s="117">
        <v>126118368</v>
      </c>
      <c r="BF31" s="117">
        <v>126118368</v>
      </c>
      <c r="BG31" s="117">
        <v>147744368</v>
      </c>
      <c r="BH31" s="117">
        <v>140658454</v>
      </c>
      <c r="BI31" s="117">
        <v>97415495</v>
      </c>
      <c r="BJ31" s="117">
        <v>0</v>
      </c>
      <c r="BK31" s="138"/>
      <c r="BL31" s="163">
        <v>9568449324</v>
      </c>
      <c r="BM31" s="163">
        <v>8155822845</v>
      </c>
      <c r="BN31" s="164">
        <v>4936983</v>
      </c>
      <c r="BP31" s="166">
        <f t="shared" si="0"/>
        <v>7456890387</v>
      </c>
      <c r="BQ31" s="167">
        <f>AK31</f>
        <v>989834851</v>
      </c>
      <c r="BR31" s="167">
        <f>AL31</f>
        <v>22615033</v>
      </c>
      <c r="BS31" s="166">
        <f>AN31+AO31+AQ31+AS31</f>
        <v>790620931</v>
      </c>
      <c r="BT31" s="166">
        <f t="shared" si="1"/>
        <v>9259961202</v>
      </c>
    </row>
    <row r="32" spans="1:72" x14ac:dyDescent="0.25">
      <c r="A32" s="168" t="s">
        <v>86</v>
      </c>
      <c r="B32" s="135">
        <v>618578761</v>
      </c>
      <c r="C32" s="135">
        <v>145225478</v>
      </c>
      <c r="D32" s="135">
        <v>65531610</v>
      </c>
      <c r="E32" s="135">
        <v>0</v>
      </c>
      <c r="F32" s="135">
        <v>39331900</v>
      </c>
      <c r="G32" s="135">
        <v>12610250</v>
      </c>
      <c r="H32" s="135">
        <v>16523884</v>
      </c>
      <c r="I32" s="135">
        <v>1854189</v>
      </c>
      <c r="J32" s="135">
        <v>46350</v>
      </c>
      <c r="K32" s="135">
        <v>0</v>
      </c>
      <c r="L32" s="135">
        <v>277592307</v>
      </c>
      <c r="M32" s="135">
        <v>118868500</v>
      </c>
      <c r="N32" s="135">
        <v>1292</v>
      </c>
      <c r="O32" s="135">
        <v>373</v>
      </c>
      <c r="P32" s="135">
        <v>23490849</v>
      </c>
      <c r="Q32" s="135">
        <v>5663950</v>
      </c>
      <c r="R32" s="135">
        <v>3891904</v>
      </c>
      <c r="S32" s="135">
        <v>596000</v>
      </c>
      <c r="T32" s="135">
        <v>234500</v>
      </c>
      <c r="U32" s="135">
        <v>25000</v>
      </c>
      <c r="V32" s="135">
        <v>23490849</v>
      </c>
      <c r="W32" s="135">
        <v>5663950</v>
      </c>
      <c r="X32" s="135">
        <v>3891904</v>
      </c>
      <c r="Y32" s="135">
        <v>596000</v>
      </c>
      <c r="Z32" s="135">
        <v>234500</v>
      </c>
      <c r="AA32" s="135">
        <v>25000</v>
      </c>
      <c r="AB32" s="135">
        <v>-1784500</v>
      </c>
      <c r="AC32" s="135"/>
      <c r="AD32" s="135">
        <v>71712</v>
      </c>
      <c r="AE32" s="135">
        <v>7845</v>
      </c>
      <c r="AF32" s="135">
        <v>10596525</v>
      </c>
      <c r="AG32" s="135">
        <v>128450</v>
      </c>
      <c r="AH32" s="135">
        <v>614988</v>
      </c>
      <c r="AI32" s="135">
        <v>0</v>
      </c>
      <c r="AJ32" s="169"/>
      <c r="AK32" s="160">
        <v>119810430</v>
      </c>
      <c r="AL32" s="161">
        <v>12964216</v>
      </c>
      <c r="AM32" s="135">
        <v>345000</v>
      </c>
      <c r="AN32" s="135">
        <v>6671859</v>
      </c>
      <c r="AO32" s="135">
        <v>114420</v>
      </c>
      <c r="AP32" s="135">
        <v>3573729</v>
      </c>
      <c r="AQ32" s="135">
        <v>6477184</v>
      </c>
      <c r="AR32" s="135">
        <v>2119211</v>
      </c>
      <c r="AS32" s="135"/>
      <c r="AT32" s="135">
        <v>475953</v>
      </c>
      <c r="AU32" s="135"/>
      <c r="AV32" s="135"/>
      <c r="AW32" s="135"/>
      <c r="AX32" s="135"/>
      <c r="AY32" s="135"/>
      <c r="AZ32" s="160">
        <v>7415530.2300000004</v>
      </c>
      <c r="BA32" s="160">
        <v>4004386</v>
      </c>
      <c r="BB32" s="162">
        <v>0</v>
      </c>
      <c r="BC32" s="162">
        <v>435054</v>
      </c>
      <c r="BD32" s="162">
        <v>649334</v>
      </c>
      <c r="BE32" s="117">
        <v>3192103</v>
      </c>
      <c r="BF32" s="117">
        <v>3192103</v>
      </c>
      <c r="BG32" s="117">
        <v>22030056</v>
      </c>
      <c r="BH32" s="117">
        <v>21220836</v>
      </c>
      <c r="BI32" s="117">
        <v>0</v>
      </c>
      <c r="BJ32" s="117">
        <v>0</v>
      </c>
      <c r="BK32" s="138"/>
      <c r="BL32" s="163">
        <v>1004841325</v>
      </c>
      <c r="BM32" s="163">
        <v>843214300</v>
      </c>
      <c r="BN32" s="164">
        <v>767550</v>
      </c>
      <c r="BP32" s="166">
        <f t="shared" si="0"/>
        <v>829335849</v>
      </c>
      <c r="BQ32" s="167">
        <f>AK32</f>
        <v>119810430</v>
      </c>
      <c r="BR32" s="167">
        <f>AL32</f>
        <v>12964216</v>
      </c>
      <c r="BS32" s="166">
        <f>AN32+AO32+AQ32+AS32</f>
        <v>13263463</v>
      </c>
      <c r="BT32" s="166">
        <f t="shared" si="1"/>
        <v>975373958</v>
      </c>
    </row>
    <row r="33" spans="1:72" x14ac:dyDescent="0.25">
      <c r="A33" s="168" t="s">
        <v>87</v>
      </c>
      <c r="B33" s="135">
        <v>74868718</v>
      </c>
      <c r="C33" s="135">
        <v>77977445</v>
      </c>
      <c r="D33" s="135">
        <v>22115719</v>
      </c>
      <c r="E33" s="135">
        <v>0</v>
      </c>
      <c r="F33" s="135">
        <v>9431691</v>
      </c>
      <c r="G33" s="135">
        <v>9575195</v>
      </c>
      <c r="H33" s="135">
        <v>12841979</v>
      </c>
      <c r="I33" s="135">
        <v>8218853</v>
      </c>
      <c r="J33" s="135">
        <v>46350</v>
      </c>
      <c r="K33" s="135">
        <v>0</v>
      </c>
      <c r="L33" s="135">
        <v>116298974</v>
      </c>
      <c r="M33" s="135">
        <v>60582052</v>
      </c>
      <c r="N33" s="135">
        <v>535</v>
      </c>
      <c r="O33" s="135">
        <v>485</v>
      </c>
      <c r="P33" s="135">
        <v>2345100</v>
      </c>
      <c r="Q33" s="135">
        <v>3368188</v>
      </c>
      <c r="R33" s="135">
        <v>615976</v>
      </c>
      <c r="S33" s="135">
        <v>1051832</v>
      </c>
      <c r="T33" s="135">
        <v>1027327</v>
      </c>
      <c r="U33" s="135">
        <v>12000</v>
      </c>
      <c r="V33" s="135">
        <v>2345100</v>
      </c>
      <c r="W33" s="135">
        <v>4405439</v>
      </c>
      <c r="X33" s="135">
        <v>615976</v>
      </c>
      <c r="Y33" s="135">
        <v>1051832</v>
      </c>
      <c r="Z33" s="135">
        <v>1583573</v>
      </c>
      <c r="AA33" s="135">
        <v>12000</v>
      </c>
      <c r="AB33" s="135">
        <v>-1252929</v>
      </c>
      <c r="AC33" s="135"/>
      <c r="AD33" s="135">
        <v>121271</v>
      </c>
      <c r="AE33" s="135">
        <v>7540</v>
      </c>
      <c r="AF33" s="135"/>
      <c r="AG33" s="135">
        <v>189989</v>
      </c>
      <c r="AH33" s="135">
        <v>800100</v>
      </c>
      <c r="AI33" s="135">
        <v>0</v>
      </c>
      <c r="AJ33" s="169">
        <v>23000</v>
      </c>
      <c r="AK33" s="160">
        <v>44231768</v>
      </c>
      <c r="AL33" s="161">
        <v>1307363</v>
      </c>
      <c r="AM33" s="135"/>
      <c r="AN33" s="135">
        <v>8585035</v>
      </c>
      <c r="AO33" s="135">
        <v>61224</v>
      </c>
      <c r="AP33" s="135">
        <v>207871</v>
      </c>
      <c r="AQ33" s="135">
        <v>4218202</v>
      </c>
      <c r="AR33" s="135">
        <v>47015</v>
      </c>
      <c r="AS33" s="135"/>
      <c r="AT33" s="135">
        <v>927001</v>
      </c>
      <c r="AU33" s="135"/>
      <c r="AV33" s="135"/>
      <c r="AW33" s="135"/>
      <c r="AX33" s="135">
        <v>31065</v>
      </c>
      <c r="AY33" s="135"/>
      <c r="AZ33" s="160">
        <v>2737674.95</v>
      </c>
      <c r="BA33" s="160">
        <v>1478344</v>
      </c>
      <c r="BB33" s="162">
        <v>0</v>
      </c>
      <c r="BC33" s="162">
        <v>0</v>
      </c>
      <c r="BD33" s="162">
        <v>0</v>
      </c>
      <c r="BE33" s="117">
        <v>181796</v>
      </c>
      <c r="BF33" s="117">
        <v>181796</v>
      </c>
      <c r="BG33" s="117">
        <v>24631229</v>
      </c>
      <c r="BH33" s="117">
        <v>24631229</v>
      </c>
      <c r="BI33" s="117">
        <v>0</v>
      </c>
      <c r="BJ33" s="117">
        <v>0</v>
      </c>
      <c r="BK33" s="138"/>
      <c r="BL33" s="163">
        <v>260479943</v>
      </c>
      <c r="BM33" s="163">
        <v>188649443</v>
      </c>
      <c r="BN33" s="164">
        <v>54500</v>
      </c>
      <c r="BP33" s="166">
        <f t="shared" si="0"/>
        <v>174961882</v>
      </c>
      <c r="BQ33" s="167">
        <f>AK33</f>
        <v>44231768</v>
      </c>
      <c r="BR33" s="167">
        <f>AL33</f>
        <v>1307363</v>
      </c>
      <c r="BS33" s="166">
        <f>AN33+AO33+AQ33+AS33</f>
        <v>12864461</v>
      </c>
      <c r="BT33" s="166">
        <f t="shared" si="1"/>
        <v>233365474</v>
      </c>
    </row>
    <row r="34" spans="1:72" x14ac:dyDescent="0.25">
      <c r="A34" s="168" t="s">
        <v>88</v>
      </c>
      <c r="B34" s="135">
        <v>270566548</v>
      </c>
      <c r="C34" s="135">
        <v>128339672</v>
      </c>
      <c r="D34" s="135">
        <v>75785889</v>
      </c>
      <c r="E34" s="135">
        <v>0</v>
      </c>
      <c r="F34" s="135">
        <v>44787817</v>
      </c>
      <c r="G34" s="135">
        <v>12133725</v>
      </c>
      <c r="H34" s="135">
        <v>13520698</v>
      </c>
      <c r="I34" s="135">
        <v>2470874</v>
      </c>
      <c r="J34" s="135">
        <v>78000</v>
      </c>
      <c r="K34" s="135">
        <v>0</v>
      </c>
      <c r="L34" s="135">
        <v>94460233</v>
      </c>
      <c r="M34" s="135">
        <v>2372800</v>
      </c>
      <c r="N34" s="135">
        <v>1422</v>
      </c>
      <c r="O34" s="135">
        <v>386</v>
      </c>
      <c r="P34" s="135">
        <v>3102850</v>
      </c>
      <c r="Q34" s="135">
        <v>737500</v>
      </c>
      <c r="R34" s="135">
        <v>572600</v>
      </c>
      <c r="S34" s="135">
        <v>2664693</v>
      </c>
      <c r="T34" s="135">
        <v>4346722</v>
      </c>
      <c r="U34" s="135">
        <v>519100</v>
      </c>
      <c r="V34" s="135">
        <v>3102850</v>
      </c>
      <c r="W34" s="135">
        <v>739500</v>
      </c>
      <c r="X34" s="135">
        <v>572600</v>
      </c>
      <c r="Y34" s="135">
        <v>2664693</v>
      </c>
      <c r="Z34" s="135">
        <v>1703762</v>
      </c>
      <c r="AA34" s="135">
        <v>519100</v>
      </c>
      <c r="AB34" s="135">
        <v>-2698100</v>
      </c>
      <c r="AC34" s="135">
        <v>110670</v>
      </c>
      <c r="AD34" s="135">
        <v>93935</v>
      </c>
      <c r="AE34" s="135">
        <v>11626</v>
      </c>
      <c r="AF34" s="135">
        <v>16202509</v>
      </c>
      <c r="AG34" s="135">
        <v>136004</v>
      </c>
      <c r="AH34" s="135">
        <v>1838093</v>
      </c>
      <c r="AI34" s="135">
        <v>75000</v>
      </c>
      <c r="AJ34" s="169"/>
      <c r="AK34" s="160">
        <v>110628245</v>
      </c>
      <c r="AL34" s="161">
        <v>2397803</v>
      </c>
      <c r="AM34" s="135"/>
      <c r="AN34" s="135">
        <v>7855044</v>
      </c>
      <c r="AO34" s="135">
        <v>461258</v>
      </c>
      <c r="AP34" s="135">
        <v>2808760</v>
      </c>
      <c r="AQ34" s="135">
        <v>7233287</v>
      </c>
      <c r="AR34" s="135">
        <v>1792597</v>
      </c>
      <c r="AS34" s="135"/>
      <c r="AT34" s="135">
        <v>152172</v>
      </c>
      <c r="AU34" s="135"/>
      <c r="AV34" s="135"/>
      <c r="AW34" s="135"/>
      <c r="AX34" s="135">
        <v>317593</v>
      </c>
      <c r="AY34" s="135">
        <v>95000</v>
      </c>
      <c r="AZ34" s="160">
        <v>6847209.4000000004</v>
      </c>
      <c r="BA34" s="160">
        <v>3697493</v>
      </c>
      <c r="BB34" s="162">
        <v>0</v>
      </c>
      <c r="BC34" s="162">
        <v>7048069</v>
      </c>
      <c r="BD34" s="162">
        <v>10519506</v>
      </c>
      <c r="BE34" s="117">
        <v>22276503</v>
      </c>
      <c r="BF34" s="117">
        <v>22276503</v>
      </c>
      <c r="BG34" s="117">
        <v>47911664</v>
      </c>
      <c r="BH34" s="117">
        <v>43747978</v>
      </c>
      <c r="BI34" s="117">
        <v>0</v>
      </c>
      <c r="BJ34" s="117">
        <v>0</v>
      </c>
      <c r="BK34" s="138"/>
      <c r="BL34" s="163">
        <v>681950882</v>
      </c>
      <c r="BM34" s="163">
        <v>492154791</v>
      </c>
      <c r="BN34" s="164">
        <v>1073000</v>
      </c>
      <c r="BP34" s="166">
        <f t="shared" si="0"/>
        <v>474692109</v>
      </c>
      <c r="BQ34" s="167">
        <f>AK34</f>
        <v>110628245</v>
      </c>
      <c r="BR34" s="167">
        <f>AL34</f>
        <v>2397803</v>
      </c>
      <c r="BS34" s="166">
        <f>AN34+AO34+AQ34+AS34</f>
        <v>15549589</v>
      </c>
      <c r="BT34" s="166">
        <f t="shared" si="1"/>
        <v>603267746</v>
      </c>
    </row>
    <row r="35" spans="1:72" x14ac:dyDescent="0.25">
      <c r="A35" s="168" t="s">
        <v>89</v>
      </c>
      <c r="B35" s="135">
        <v>23793726900</v>
      </c>
      <c r="C35" s="135">
        <v>1012427700</v>
      </c>
      <c r="D35" s="135">
        <v>10784586400</v>
      </c>
      <c r="E35" s="135">
        <v>0</v>
      </c>
      <c r="F35" s="135">
        <v>1036809000</v>
      </c>
      <c r="G35" s="135">
        <v>42009300</v>
      </c>
      <c r="H35" s="135">
        <v>15832000</v>
      </c>
      <c r="I35" s="135">
        <v>278400</v>
      </c>
      <c r="J35" s="135">
        <v>1670400</v>
      </c>
      <c r="K35" s="135">
        <v>92800</v>
      </c>
      <c r="L35" s="135">
        <v>1476340500</v>
      </c>
      <c r="M35" s="135">
        <v>542863100</v>
      </c>
      <c r="N35" s="135">
        <v>22836</v>
      </c>
      <c r="O35" s="135">
        <v>926</v>
      </c>
      <c r="P35" s="135">
        <v>674305300</v>
      </c>
      <c r="Q35" s="135">
        <v>11173100</v>
      </c>
      <c r="R35" s="135">
        <v>216510600</v>
      </c>
      <c r="S35" s="135">
        <v>404327300</v>
      </c>
      <c r="T35" s="135">
        <v>8604000</v>
      </c>
      <c r="U35" s="135">
        <v>197797200</v>
      </c>
      <c r="V35" s="135">
        <v>674305300</v>
      </c>
      <c r="W35" s="135">
        <v>25568100</v>
      </c>
      <c r="X35" s="135">
        <v>216510600</v>
      </c>
      <c r="Y35" s="135">
        <v>404327300</v>
      </c>
      <c r="Z35" s="135">
        <v>25892000</v>
      </c>
      <c r="AA35" s="135">
        <v>197797200</v>
      </c>
      <c r="AB35" s="135">
        <v>125965900</v>
      </c>
      <c r="AC35" s="135">
        <v>1970514</v>
      </c>
      <c r="AD35" s="135"/>
      <c r="AE35" s="135"/>
      <c r="AF35" s="135"/>
      <c r="AG35" s="135"/>
      <c r="AH35" s="135">
        <v>0</v>
      </c>
      <c r="AI35" s="135">
        <v>1005000</v>
      </c>
      <c r="AJ35" s="169"/>
      <c r="AK35" s="160">
        <v>3236829152</v>
      </c>
      <c r="AL35" s="161">
        <v>39137001</v>
      </c>
      <c r="AM35" s="135"/>
      <c r="AN35" s="135">
        <v>946537783</v>
      </c>
      <c r="AO35" s="135">
        <v>34624197</v>
      </c>
      <c r="AP35" s="135">
        <v>516036337</v>
      </c>
      <c r="AQ35" s="135">
        <v>918927281</v>
      </c>
      <c r="AR35" s="135">
        <v>561923673</v>
      </c>
      <c r="AS35" s="135">
        <v>264999722</v>
      </c>
      <c r="AT35" s="135">
        <f>514458351+35710272</f>
        <v>550168623</v>
      </c>
      <c r="AU35" s="135"/>
      <c r="AV35" s="135">
        <v>41573</v>
      </c>
      <c r="AW35" s="135"/>
      <c r="AX35" s="135">
        <v>5479006</v>
      </c>
      <c r="AY35" s="135">
        <v>93376050</v>
      </c>
      <c r="AZ35" s="160">
        <v>200339671.44999999</v>
      </c>
      <c r="BA35" s="160">
        <v>108183423</v>
      </c>
      <c r="BB35" s="162">
        <v>0</v>
      </c>
      <c r="BC35" s="162">
        <v>7955411</v>
      </c>
      <c r="BD35" s="162">
        <v>11873748</v>
      </c>
      <c r="BE35" s="117">
        <v>507254703</v>
      </c>
      <c r="BF35" s="117">
        <v>503693243</v>
      </c>
      <c r="BG35" s="117">
        <v>779558100</v>
      </c>
      <c r="BH35" s="117">
        <v>739933660</v>
      </c>
      <c r="BI35" s="117">
        <v>361809</v>
      </c>
      <c r="BJ35" s="117">
        <v>0</v>
      </c>
      <c r="BK35" s="138"/>
      <c r="BL35" s="163">
        <v>42127928960</v>
      </c>
      <c r="BM35" s="163">
        <v>37491835261</v>
      </c>
      <c r="BN35" s="164"/>
      <c r="BP35" s="166">
        <f t="shared" si="0"/>
        <v>35590741000</v>
      </c>
      <c r="BQ35" s="167">
        <f>AK35</f>
        <v>3236829152</v>
      </c>
      <c r="BR35" s="167">
        <f>AL35</f>
        <v>39137001</v>
      </c>
      <c r="BS35" s="166">
        <f>AN35+AO35+AQ35+AS35</f>
        <v>2165088983</v>
      </c>
      <c r="BT35" s="166">
        <f t="shared" si="1"/>
        <v>41031796136</v>
      </c>
    </row>
    <row r="36" spans="1:72" x14ac:dyDescent="0.25">
      <c r="A36" s="168" t="s">
        <v>90</v>
      </c>
      <c r="B36" s="135">
        <v>349764523</v>
      </c>
      <c r="C36" s="135">
        <v>233428006</v>
      </c>
      <c r="D36" s="135">
        <v>99591824</v>
      </c>
      <c r="E36" s="135">
        <v>0</v>
      </c>
      <c r="F36" s="135">
        <v>54592450</v>
      </c>
      <c r="G36" s="135">
        <v>8393000</v>
      </c>
      <c r="H36" s="135">
        <v>19329800</v>
      </c>
      <c r="I36" s="135">
        <v>1507600</v>
      </c>
      <c r="J36" s="135">
        <v>46350</v>
      </c>
      <c r="K36" s="135">
        <v>0</v>
      </c>
      <c r="L36" s="135">
        <v>318836740</v>
      </c>
      <c r="M36" s="135">
        <v>133553850</v>
      </c>
      <c r="N36" s="135">
        <v>1720</v>
      </c>
      <c r="O36" s="135">
        <v>245</v>
      </c>
      <c r="P36" s="135">
        <v>6771100</v>
      </c>
      <c r="Q36" s="135">
        <v>7299900</v>
      </c>
      <c r="R36" s="135">
        <v>4200280</v>
      </c>
      <c r="S36" s="135">
        <v>1395141</v>
      </c>
      <c r="T36" s="135">
        <v>611400</v>
      </c>
      <c r="U36" s="135">
        <v>140000</v>
      </c>
      <c r="V36" s="135">
        <v>6771100</v>
      </c>
      <c r="W36" s="135">
        <v>7864429</v>
      </c>
      <c r="X36" s="135">
        <v>4200280</v>
      </c>
      <c r="Y36" s="135">
        <v>1395141</v>
      </c>
      <c r="Z36" s="135">
        <v>760564</v>
      </c>
      <c r="AA36" s="135">
        <v>140000</v>
      </c>
      <c r="AB36" s="135">
        <v>-844400</v>
      </c>
      <c r="AC36" s="135">
        <v>0</v>
      </c>
      <c r="AD36" s="135">
        <v>52262</v>
      </c>
      <c r="AE36" s="135">
        <v>100951</v>
      </c>
      <c r="AF36" s="135">
        <v>100240260</v>
      </c>
      <c r="AG36" s="135">
        <v>217636</v>
      </c>
      <c r="AH36" s="135">
        <v>0</v>
      </c>
      <c r="AI36" s="135">
        <v>116550</v>
      </c>
      <c r="AJ36" s="169"/>
      <c r="AK36" s="160">
        <v>155448372</v>
      </c>
      <c r="AL36" s="161">
        <v>2732097</v>
      </c>
      <c r="AM36" s="135">
        <v>45245</v>
      </c>
      <c r="AN36" s="135">
        <v>23456650</v>
      </c>
      <c r="AO36" s="135">
        <v>2888588</v>
      </c>
      <c r="AP36" s="135">
        <v>40673376</v>
      </c>
      <c r="AQ36" s="135">
        <v>21235757</v>
      </c>
      <c r="AR36" s="135">
        <v>23358495</v>
      </c>
      <c r="AS36" s="135">
        <v>794503</v>
      </c>
      <c r="AT36" s="135">
        <v>288893</v>
      </c>
      <c r="AU36" s="135"/>
      <c r="AV36" s="135">
        <v>173159</v>
      </c>
      <c r="AW36" s="135">
        <v>1765933</v>
      </c>
      <c r="AX36" s="135">
        <v>21873</v>
      </c>
      <c r="AY36" s="135">
        <v>45000</v>
      </c>
      <c r="AZ36" s="160">
        <v>9621300.0999999996</v>
      </c>
      <c r="BA36" s="160">
        <v>5195502</v>
      </c>
      <c r="BB36" s="162">
        <v>0</v>
      </c>
      <c r="BC36" s="162">
        <v>875987</v>
      </c>
      <c r="BD36" s="162">
        <v>1307443</v>
      </c>
      <c r="BE36" s="117">
        <v>23089752</v>
      </c>
      <c r="BF36" s="117">
        <v>23089752</v>
      </c>
      <c r="BG36" s="117">
        <v>39051267</v>
      </c>
      <c r="BH36" s="117">
        <v>38647667</v>
      </c>
      <c r="BI36" s="117">
        <v>0</v>
      </c>
      <c r="BJ36" s="117">
        <v>0</v>
      </c>
      <c r="BK36" s="138"/>
      <c r="BL36" s="163">
        <v>956471275</v>
      </c>
      <c r="BM36" s="163">
        <v>730481898</v>
      </c>
      <c r="BN36" s="164">
        <v>913050</v>
      </c>
      <c r="BP36" s="166">
        <f t="shared" si="0"/>
        <v>682784353</v>
      </c>
      <c r="BQ36" s="167">
        <f>AK36</f>
        <v>155448372</v>
      </c>
      <c r="BR36" s="167">
        <f>AL36</f>
        <v>2732097</v>
      </c>
      <c r="BS36" s="166">
        <f>AN36+AO36+AQ36+AS36</f>
        <v>48375498</v>
      </c>
      <c r="BT36" s="166">
        <f t="shared" si="1"/>
        <v>889340320</v>
      </c>
    </row>
    <row r="37" spans="1:72" x14ac:dyDescent="0.25">
      <c r="A37" s="168" t="s">
        <v>91</v>
      </c>
      <c r="B37" s="135">
        <v>685329072</v>
      </c>
      <c r="C37" s="135">
        <v>136272418</v>
      </c>
      <c r="D37" s="135">
        <v>301154686</v>
      </c>
      <c r="E37" s="135">
        <v>0</v>
      </c>
      <c r="F37" s="135">
        <v>95165000</v>
      </c>
      <c r="G37" s="135">
        <v>92671050</v>
      </c>
      <c r="H37" s="135">
        <v>19149100</v>
      </c>
      <c r="I37" s="135">
        <v>11821450</v>
      </c>
      <c r="J37" s="135">
        <v>350100</v>
      </c>
      <c r="K37" s="135">
        <v>164700</v>
      </c>
      <c r="L37" s="135">
        <v>93143553</v>
      </c>
      <c r="M37" s="135">
        <v>64286137</v>
      </c>
      <c r="N37" s="135">
        <v>2880</v>
      </c>
      <c r="O37" s="135">
        <v>2980</v>
      </c>
      <c r="P37" s="135">
        <v>8379400</v>
      </c>
      <c r="Q37" s="135">
        <v>150000</v>
      </c>
      <c r="R37" s="135">
        <v>12292500</v>
      </c>
      <c r="S37" s="135">
        <v>2691380</v>
      </c>
      <c r="T37" s="135">
        <v>0</v>
      </c>
      <c r="U37" s="135">
        <v>345000</v>
      </c>
      <c r="V37" s="135">
        <v>8379400</v>
      </c>
      <c r="W37" s="135">
        <v>150000</v>
      </c>
      <c r="X37" s="135">
        <v>12292500</v>
      </c>
      <c r="Y37" s="135">
        <v>2691380</v>
      </c>
      <c r="Z37" s="135">
        <v>0</v>
      </c>
      <c r="AA37" s="135">
        <v>345000</v>
      </c>
      <c r="AB37" s="135">
        <v>-17186177</v>
      </c>
      <c r="AC37" s="135">
        <v>-43391</v>
      </c>
      <c r="AD37" s="135">
        <v>183803</v>
      </c>
      <c r="AE37" s="135">
        <v>25090</v>
      </c>
      <c r="AF37" s="135">
        <v>0</v>
      </c>
      <c r="AG37" s="135">
        <v>248865</v>
      </c>
      <c r="AH37" s="135">
        <v>1966105</v>
      </c>
      <c r="AI37" s="135">
        <v>35405000</v>
      </c>
      <c r="AJ37" s="169">
        <v>4800500</v>
      </c>
      <c r="AK37" s="160">
        <v>352265697</v>
      </c>
      <c r="AL37" s="161">
        <v>10279983</v>
      </c>
      <c r="AM37" s="135">
        <v>12500</v>
      </c>
      <c r="AN37" s="135">
        <v>48383500</v>
      </c>
      <c r="AO37" s="135">
        <v>2981479</v>
      </c>
      <c r="AP37" s="135">
        <v>119626256</v>
      </c>
      <c r="AQ37" s="135">
        <v>58137823</v>
      </c>
      <c r="AR37" s="135">
        <v>22599023</v>
      </c>
      <c r="AS37" s="135">
        <v>786510</v>
      </c>
      <c r="AT37" s="135"/>
      <c r="AU37" s="135"/>
      <c r="AV37" s="135"/>
      <c r="AW37" s="135"/>
      <c r="AX37" s="135">
        <v>1112</v>
      </c>
      <c r="AY37" s="135"/>
      <c r="AZ37" s="160">
        <v>21803084.469999999</v>
      </c>
      <c r="BA37" s="160">
        <v>11773666</v>
      </c>
      <c r="BB37" s="162">
        <v>0</v>
      </c>
      <c r="BC37" s="162">
        <v>7473325</v>
      </c>
      <c r="BD37" s="162">
        <v>11154216</v>
      </c>
      <c r="BE37" s="117">
        <v>100530495</v>
      </c>
      <c r="BF37" s="117">
        <v>100530495</v>
      </c>
      <c r="BG37" s="117">
        <v>232899544</v>
      </c>
      <c r="BH37" s="117">
        <v>226733982</v>
      </c>
      <c r="BI37" s="117">
        <v>0</v>
      </c>
      <c r="BJ37" s="117">
        <v>0</v>
      </c>
      <c r="BK37" s="138"/>
      <c r="BL37" s="163">
        <v>1983487731</v>
      </c>
      <c r="BM37" s="163">
        <v>1274430583</v>
      </c>
      <c r="BN37" s="164">
        <v>15233000</v>
      </c>
      <c r="BP37" s="166">
        <f t="shared" si="0"/>
        <v>1122756176</v>
      </c>
      <c r="BQ37" s="167">
        <f>AK37</f>
        <v>352265697</v>
      </c>
      <c r="BR37" s="167">
        <f>AL37</f>
        <v>10279983</v>
      </c>
      <c r="BS37" s="166">
        <f>AN37+AO37+AQ37+AS37</f>
        <v>110289312</v>
      </c>
      <c r="BT37" s="166">
        <f t="shared" si="1"/>
        <v>1595591168</v>
      </c>
    </row>
    <row r="38" spans="1:72" x14ac:dyDescent="0.25">
      <c r="A38" s="168" t="s">
        <v>92</v>
      </c>
      <c r="B38" s="135">
        <v>2422874765</v>
      </c>
      <c r="C38" s="135">
        <v>229608457</v>
      </c>
      <c r="D38" s="135">
        <v>1133537077</v>
      </c>
      <c r="E38" s="135">
        <v>0</v>
      </c>
      <c r="F38" s="135">
        <v>222768650</v>
      </c>
      <c r="G38" s="135">
        <v>11413150</v>
      </c>
      <c r="H38" s="135">
        <v>15511995</v>
      </c>
      <c r="I38" s="135">
        <v>569094</v>
      </c>
      <c r="J38" s="135">
        <v>271250</v>
      </c>
      <c r="K38" s="135">
        <v>46350</v>
      </c>
      <c r="L38" s="135">
        <v>189255080</v>
      </c>
      <c r="M38" s="135">
        <v>178537960</v>
      </c>
      <c r="N38" s="135">
        <v>5175</v>
      </c>
      <c r="O38" s="135">
        <v>268</v>
      </c>
      <c r="P38" s="135">
        <v>25418495</v>
      </c>
      <c r="Q38" s="135">
        <v>3921581</v>
      </c>
      <c r="R38" s="135">
        <v>26777500</v>
      </c>
      <c r="S38" s="135">
        <v>3769923</v>
      </c>
      <c r="T38" s="135">
        <v>539786</v>
      </c>
      <c r="U38" s="135">
        <v>16548247</v>
      </c>
      <c r="V38" s="135">
        <v>25418495</v>
      </c>
      <c r="W38" s="135">
        <v>5197852</v>
      </c>
      <c r="X38" s="135">
        <v>26777500</v>
      </c>
      <c r="Y38" s="135">
        <v>3769923</v>
      </c>
      <c r="Z38" s="135">
        <v>977453</v>
      </c>
      <c r="AA38" s="135">
        <v>16548247</v>
      </c>
      <c r="AB38" s="135">
        <v>-9074018</v>
      </c>
      <c r="AC38" s="135">
        <v>413687</v>
      </c>
      <c r="AD38" s="135">
        <v>0</v>
      </c>
      <c r="AE38" s="135">
        <v>0</v>
      </c>
      <c r="AF38" s="135">
        <v>0</v>
      </c>
      <c r="AG38" s="135">
        <v>102516</v>
      </c>
      <c r="AH38" s="135">
        <v>0</v>
      </c>
      <c r="AI38" s="135">
        <v>694076</v>
      </c>
      <c r="AJ38" s="169"/>
      <c r="AK38" s="160">
        <v>497757151</v>
      </c>
      <c r="AL38" s="161">
        <v>13713627</v>
      </c>
      <c r="AM38" s="135">
        <v>43100</v>
      </c>
      <c r="AN38" s="135">
        <v>194263844</v>
      </c>
      <c r="AO38" s="135">
        <v>15073740</v>
      </c>
      <c r="AP38" s="135">
        <v>479030418</v>
      </c>
      <c r="AQ38" s="135">
        <v>90784216</v>
      </c>
      <c r="AR38" s="135">
        <v>190915475</v>
      </c>
      <c r="AS38" s="135">
        <v>70361220</v>
      </c>
      <c r="AT38" s="135">
        <v>1086689</v>
      </c>
      <c r="AU38" s="135"/>
      <c r="AV38" s="135">
        <v>44046</v>
      </c>
      <c r="AW38" s="135"/>
      <c r="AX38" s="135">
        <v>81297</v>
      </c>
      <c r="AY38" s="135">
        <v>1215498</v>
      </c>
      <c r="AZ38" s="160">
        <v>30808112.460000001</v>
      </c>
      <c r="BA38" s="160">
        <v>16636381</v>
      </c>
      <c r="BB38" s="174">
        <v>4152560.274870466</v>
      </c>
      <c r="BC38" s="162">
        <v>1685344</v>
      </c>
      <c r="BD38" s="162">
        <v>2515439</v>
      </c>
      <c r="BE38" s="117">
        <v>91089739</v>
      </c>
      <c r="BF38" s="117">
        <v>90079125</v>
      </c>
      <c r="BG38" s="117">
        <v>59810359</v>
      </c>
      <c r="BH38" s="117">
        <v>56836569</v>
      </c>
      <c r="BI38" s="117">
        <v>476683023</v>
      </c>
      <c r="BJ38" s="117">
        <v>0</v>
      </c>
      <c r="BK38" s="138"/>
      <c r="BL38" s="163">
        <v>5240227395</v>
      </c>
      <c r="BM38" s="163">
        <v>4086836175</v>
      </c>
      <c r="BN38" s="164">
        <v>5870536</v>
      </c>
      <c r="BP38" s="166">
        <f t="shared" si="0"/>
        <v>3786020299</v>
      </c>
      <c r="BQ38" s="167">
        <f>AK38</f>
        <v>497757151</v>
      </c>
      <c r="BR38" s="167">
        <f>AL38</f>
        <v>13713627</v>
      </c>
      <c r="BS38" s="166">
        <f>AN38+AO38+AQ38+AS38</f>
        <v>370483020</v>
      </c>
      <c r="BT38" s="166">
        <f t="shared" si="1"/>
        <v>4667974097</v>
      </c>
    </row>
    <row r="39" spans="1:72" x14ac:dyDescent="0.25">
      <c r="A39" s="168" t="s">
        <v>93</v>
      </c>
      <c r="B39" s="135">
        <v>97110682</v>
      </c>
      <c r="C39" s="135">
        <v>76884588</v>
      </c>
      <c r="D39" s="135">
        <v>73263413</v>
      </c>
      <c r="E39" s="135">
        <v>0</v>
      </c>
      <c r="F39" s="135">
        <v>27161410</v>
      </c>
      <c r="G39" s="135">
        <v>3139344</v>
      </c>
      <c r="H39" s="135">
        <v>3807495</v>
      </c>
      <c r="I39" s="135">
        <v>182188</v>
      </c>
      <c r="J39" s="135">
        <v>0</v>
      </c>
      <c r="K39" s="135">
        <v>0</v>
      </c>
      <c r="L39" s="135">
        <v>394715915</v>
      </c>
      <c r="M39" s="135">
        <v>16288278</v>
      </c>
      <c r="N39" s="135">
        <v>761</v>
      </c>
      <c r="O39" s="135">
        <v>91</v>
      </c>
      <c r="P39" s="135">
        <v>1376321</v>
      </c>
      <c r="Q39" s="135">
        <v>578695</v>
      </c>
      <c r="R39" s="135">
        <v>2034160</v>
      </c>
      <c r="S39" s="135">
        <v>1661704</v>
      </c>
      <c r="T39" s="135">
        <v>152332</v>
      </c>
      <c r="U39" s="135">
        <v>281399</v>
      </c>
      <c r="V39" s="135">
        <v>1376321</v>
      </c>
      <c r="W39" s="135">
        <v>851712</v>
      </c>
      <c r="X39" s="135">
        <v>2034160</v>
      </c>
      <c r="Y39" s="135">
        <v>1661704</v>
      </c>
      <c r="Z39" s="135">
        <v>367050</v>
      </c>
      <c r="AA39" s="135">
        <v>281399</v>
      </c>
      <c r="AB39" s="135">
        <v>-585311</v>
      </c>
      <c r="AC39" s="135">
        <v>-44995</v>
      </c>
      <c r="AD39" s="135">
        <v>31068</v>
      </c>
      <c r="AE39" s="135"/>
      <c r="AF39" s="135"/>
      <c r="AG39" s="135">
        <v>120566</v>
      </c>
      <c r="AH39" s="135">
        <v>0</v>
      </c>
      <c r="AI39" s="135">
        <v>0</v>
      </c>
      <c r="AJ39" s="169"/>
      <c r="AK39" s="160">
        <v>43706418</v>
      </c>
      <c r="AL39" s="161">
        <v>1050371</v>
      </c>
      <c r="AM39" s="135"/>
      <c r="AN39" s="135">
        <v>17809527</v>
      </c>
      <c r="AO39" s="135">
        <v>6222405</v>
      </c>
      <c r="AP39" s="135">
        <v>73125398</v>
      </c>
      <c r="AQ39" s="135">
        <v>21298257</v>
      </c>
      <c r="AR39" s="135">
        <v>88415107</v>
      </c>
      <c r="AS39" s="135">
        <v>16290932</v>
      </c>
      <c r="AT39" s="135">
        <v>2484526</v>
      </c>
      <c r="AU39" s="135"/>
      <c r="AV39" s="135"/>
      <c r="AW39" s="135">
        <v>8628274</v>
      </c>
      <c r="AX39" s="135"/>
      <c r="AY39" s="135">
        <v>183400</v>
      </c>
      <c r="AZ39" s="160">
        <v>2705159.01</v>
      </c>
      <c r="BA39" s="160">
        <v>1460786</v>
      </c>
      <c r="BB39" s="162">
        <v>48544769.148808286</v>
      </c>
      <c r="BC39" s="162">
        <v>4073241</v>
      </c>
      <c r="BD39" s="162">
        <v>6079464</v>
      </c>
      <c r="BE39" s="117">
        <v>14892932</v>
      </c>
      <c r="BF39" s="117">
        <v>14892932</v>
      </c>
      <c r="BG39" s="117">
        <v>36524620</v>
      </c>
      <c r="BH39" s="117">
        <v>25845884</v>
      </c>
      <c r="BI39" s="117">
        <v>0</v>
      </c>
      <c r="BJ39" s="117">
        <v>3809394</v>
      </c>
      <c r="BK39" s="138"/>
      <c r="BL39" s="163">
        <v>387427898</v>
      </c>
      <c r="BM39" s="163">
        <v>292588872</v>
      </c>
      <c r="BN39" s="164">
        <v>1135923</v>
      </c>
      <c r="BP39" s="166">
        <f t="shared" si="0"/>
        <v>247258683</v>
      </c>
      <c r="BQ39" s="167">
        <f>AK39</f>
        <v>43706418</v>
      </c>
      <c r="BR39" s="167">
        <f>AL39</f>
        <v>1050371</v>
      </c>
      <c r="BS39" s="166">
        <f>AN39+AO39+AQ39+AS39</f>
        <v>61621121</v>
      </c>
      <c r="BT39" s="166">
        <f t="shared" si="1"/>
        <v>353636593</v>
      </c>
    </row>
    <row r="40" spans="1:72" x14ac:dyDescent="0.25">
      <c r="A40" s="168" t="s">
        <v>94</v>
      </c>
      <c r="B40" s="135">
        <v>303376873</v>
      </c>
      <c r="C40" s="135">
        <v>73313836</v>
      </c>
      <c r="D40" s="135">
        <v>126625129</v>
      </c>
      <c r="E40" s="135">
        <v>149955770</v>
      </c>
      <c r="F40" s="135">
        <v>24156941</v>
      </c>
      <c r="G40" s="135">
        <v>4056374</v>
      </c>
      <c r="H40" s="135">
        <v>5635995</v>
      </c>
      <c r="I40" s="135">
        <v>742160</v>
      </c>
      <c r="J40" s="135">
        <v>46350</v>
      </c>
      <c r="K40" s="135">
        <v>46350</v>
      </c>
      <c r="L40" s="135">
        <v>130404270</v>
      </c>
      <c r="M40" s="135">
        <v>60177957</v>
      </c>
      <c r="N40" s="135">
        <v>659</v>
      </c>
      <c r="O40" s="135">
        <v>115</v>
      </c>
      <c r="P40" s="135">
        <v>7158748</v>
      </c>
      <c r="Q40" s="135">
        <v>3071030</v>
      </c>
      <c r="R40" s="135">
        <v>1018012</v>
      </c>
      <c r="S40" s="135">
        <v>846072</v>
      </c>
      <c r="T40" s="135">
        <v>983979</v>
      </c>
      <c r="U40" s="135">
        <v>6306412</v>
      </c>
      <c r="V40" s="135">
        <v>7158748</v>
      </c>
      <c r="W40" s="135">
        <v>3159124</v>
      </c>
      <c r="X40" s="135">
        <v>1018012</v>
      </c>
      <c r="Y40" s="135">
        <v>846072</v>
      </c>
      <c r="Z40" s="135">
        <v>2457953</v>
      </c>
      <c r="AA40" s="135">
        <v>6306412</v>
      </c>
      <c r="AB40" s="135">
        <v>-1172099</v>
      </c>
      <c r="AC40" s="135">
        <v>-23603</v>
      </c>
      <c r="AD40" s="135">
        <v>25478</v>
      </c>
      <c r="AE40" s="135">
        <v>0</v>
      </c>
      <c r="AF40" s="135">
        <v>0</v>
      </c>
      <c r="AG40" s="135">
        <v>44847</v>
      </c>
      <c r="AH40" s="135"/>
      <c r="AI40" s="135">
        <v>2570260</v>
      </c>
      <c r="AJ40" s="169"/>
      <c r="AK40" s="160">
        <v>89274350</v>
      </c>
      <c r="AL40" s="161">
        <v>4109112</v>
      </c>
      <c r="AM40" s="135">
        <v>191250</v>
      </c>
      <c r="AN40" s="135">
        <v>119548383</v>
      </c>
      <c r="AO40" s="135">
        <v>3650642</v>
      </c>
      <c r="AP40" s="135">
        <v>666820112</v>
      </c>
      <c r="AQ40" s="135">
        <v>69552571</v>
      </c>
      <c r="AR40" s="135">
        <v>148957572</v>
      </c>
      <c r="AS40" s="135">
        <v>1300647</v>
      </c>
      <c r="AT40" s="135">
        <v>34276</v>
      </c>
      <c r="AU40" s="135"/>
      <c r="AV40" s="135"/>
      <c r="AW40" s="135">
        <v>57130954</v>
      </c>
      <c r="AX40" s="135">
        <v>600786</v>
      </c>
      <c r="AY40" s="135"/>
      <c r="AZ40" s="160">
        <v>5525534.3099999996</v>
      </c>
      <c r="BA40" s="160">
        <v>2983789</v>
      </c>
      <c r="BB40" s="170">
        <v>19717963.627772018</v>
      </c>
      <c r="BC40" s="162">
        <v>1126829</v>
      </c>
      <c r="BD40" s="162">
        <v>1681834</v>
      </c>
      <c r="BE40" s="117">
        <v>5232833</v>
      </c>
      <c r="BF40" s="117">
        <v>5232833</v>
      </c>
      <c r="BG40" s="117">
        <v>39803390</v>
      </c>
      <c r="BH40" s="117">
        <v>38269614</v>
      </c>
      <c r="BI40" s="117">
        <v>197706</v>
      </c>
      <c r="BJ40" s="117">
        <v>0</v>
      </c>
      <c r="BK40" s="138"/>
      <c r="BL40" s="163">
        <v>839831927</v>
      </c>
      <c r="BM40" s="163">
        <v>698637694</v>
      </c>
      <c r="BN40" s="164">
        <v>466889</v>
      </c>
      <c r="BP40" s="166">
        <f t="shared" si="0"/>
        <v>503315838</v>
      </c>
      <c r="BQ40" s="167">
        <f>AK40</f>
        <v>89274350</v>
      </c>
      <c r="BR40" s="167">
        <f>AL40</f>
        <v>4109112</v>
      </c>
      <c r="BS40" s="166">
        <f>AN40+AO40+AQ40+AS40</f>
        <v>194052243</v>
      </c>
      <c r="BT40" s="166">
        <f t="shared" si="1"/>
        <v>790751543</v>
      </c>
    </row>
    <row r="41" spans="1:72" x14ac:dyDescent="0.25">
      <c r="A41" s="168" t="s">
        <v>95</v>
      </c>
      <c r="B41" s="135">
        <v>691829069</v>
      </c>
      <c r="C41" s="135">
        <v>159797218</v>
      </c>
      <c r="D41" s="135">
        <v>76916928</v>
      </c>
      <c r="E41" s="135">
        <v>0</v>
      </c>
      <c r="F41" s="135">
        <v>67714350</v>
      </c>
      <c r="G41" s="135">
        <v>11326400</v>
      </c>
      <c r="H41" s="135">
        <v>17279850</v>
      </c>
      <c r="I41" s="135">
        <v>1824600</v>
      </c>
      <c r="J41" s="135">
        <v>169050</v>
      </c>
      <c r="K41" s="135">
        <v>46350</v>
      </c>
      <c r="L41" s="135">
        <v>298335947</v>
      </c>
      <c r="M41" s="135">
        <v>18904600</v>
      </c>
      <c r="N41" s="135">
        <v>1886</v>
      </c>
      <c r="O41" s="135">
        <v>302</v>
      </c>
      <c r="P41" s="135">
        <v>9985000</v>
      </c>
      <c r="Q41" s="135">
        <v>5035000</v>
      </c>
      <c r="R41" s="135">
        <v>1105000</v>
      </c>
      <c r="S41" s="135">
        <v>1417537</v>
      </c>
      <c r="T41" s="135">
        <v>2236850</v>
      </c>
      <c r="U41" s="135">
        <v>4945930</v>
      </c>
      <c r="V41" s="135">
        <v>9985000</v>
      </c>
      <c r="W41" s="135">
        <v>5035000</v>
      </c>
      <c r="X41" s="135">
        <v>1105000</v>
      </c>
      <c r="Y41" s="135">
        <v>1417537</v>
      </c>
      <c r="Z41" s="135">
        <v>3858150</v>
      </c>
      <c r="AA41" s="135">
        <v>4945930</v>
      </c>
      <c r="AB41" s="135">
        <v>-1684250</v>
      </c>
      <c r="AC41" s="135">
        <v>-87980</v>
      </c>
      <c r="AD41" s="135">
        <v>0</v>
      </c>
      <c r="AE41" s="135">
        <v>0</v>
      </c>
      <c r="AF41" s="135">
        <v>0</v>
      </c>
      <c r="AG41" s="135">
        <v>155290</v>
      </c>
      <c r="AH41" s="135">
        <v>0</v>
      </c>
      <c r="AI41" s="135">
        <v>128614</v>
      </c>
      <c r="AJ41" s="169"/>
      <c r="AK41" s="160">
        <v>189985679</v>
      </c>
      <c r="AL41" s="161">
        <v>13050873</v>
      </c>
      <c r="AM41" s="135">
        <v>57690</v>
      </c>
      <c r="AN41" s="135">
        <v>16598059</v>
      </c>
      <c r="AO41" s="135">
        <v>365681</v>
      </c>
      <c r="AP41" s="135">
        <v>6729324</v>
      </c>
      <c r="AQ41" s="135">
        <v>9856866</v>
      </c>
      <c r="AR41" s="135">
        <v>2496072</v>
      </c>
      <c r="AS41" s="135">
        <v>1090175</v>
      </c>
      <c r="AT41" s="135">
        <v>2319285</v>
      </c>
      <c r="AU41" s="135"/>
      <c r="AV41" s="135"/>
      <c r="AW41" s="135">
        <v>3500</v>
      </c>
      <c r="AX41" s="135">
        <v>567549</v>
      </c>
      <c r="AY41" s="135"/>
      <c r="AZ41" s="160">
        <v>11758947.41</v>
      </c>
      <c r="BA41" s="160">
        <v>6349832</v>
      </c>
      <c r="BB41" s="162">
        <v>0</v>
      </c>
      <c r="BC41" s="162">
        <v>0</v>
      </c>
      <c r="BD41" s="162">
        <v>0</v>
      </c>
      <c r="BE41" s="117">
        <v>38040917</v>
      </c>
      <c r="BF41" s="117">
        <v>38040917</v>
      </c>
      <c r="BG41" s="117">
        <v>79421540</v>
      </c>
      <c r="BH41" s="117">
        <v>79421540</v>
      </c>
      <c r="BI41" s="117">
        <v>847726</v>
      </c>
      <c r="BJ41" s="117">
        <v>0</v>
      </c>
      <c r="BK41" s="138"/>
      <c r="BL41" s="163">
        <v>1283189002</v>
      </c>
      <c r="BM41" s="163">
        <v>955492435</v>
      </c>
      <c r="BN41" s="164">
        <v>767750</v>
      </c>
      <c r="BP41" s="166">
        <f t="shared" si="0"/>
        <v>928543215</v>
      </c>
      <c r="BQ41" s="167">
        <f>AK41</f>
        <v>189985679</v>
      </c>
      <c r="BR41" s="167">
        <f>AL41</f>
        <v>13050873</v>
      </c>
      <c r="BS41" s="166">
        <f>AN41+AO41+AQ41+AS41</f>
        <v>27910781</v>
      </c>
      <c r="BT41" s="166">
        <f t="shared" si="1"/>
        <v>1159490548</v>
      </c>
    </row>
    <row r="42" spans="1:72" x14ac:dyDescent="0.25">
      <c r="A42" s="168" t="s">
        <v>96</v>
      </c>
      <c r="B42" s="135">
        <v>824784103</v>
      </c>
      <c r="C42" s="140">
        <v>284750611</v>
      </c>
      <c r="D42" s="135">
        <v>363292463</v>
      </c>
      <c r="E42" s="135">
        <v>4031947</v>
      </c>
      <c r="F42" s="135">
        <v>59437955</v>
      </c>
      <c r="G42" s="135">
        <v>9452750</v>
      </c>
      <c r="H42" s="135">
        <v>26432250</v>
      </c>
      <c r="I42" s="135">
        <v>2573450</v>
      </c>
      <c r="J42" s="135">
        <v>179550</v>
      </c>
      <c r="K42" s="135">
        <v>46350</v>
      </c>
      <c r="L42" s="135">
        <v>384443510</v>
      </c>
      <c r="M42" s="135">
        <v>243563799</v>
      </c>
      <c r="N42" s="135">
        <v>1887</v>
      </c>
      <c r="O42" s="135">
        <v>279</v>
      </c>
      <c r="P42" s="135">
        <v>22778906</v>
      </c>
      <c r="Q42" s="135">
        <v>7294825</v>
      </c>
      <c r="R42" s="135">
        <v>4921590</v>
      </c>
      <c r="S42" s="135">
        <v>4782999</v>
      </c>
      <c r="T42" s="135">
        <v>1363640</v>
      </c>
      <c r="U42" s="135">
        <v>1251100</v>
      </c>
      <c r="V42" s="135">
        <v>22778906</v>
      </c>
      <c r="W42" s="135">
        <v>8827912</v>
      </c>
      <c r="X42" s="135">
        <v>4921590</v>
      </c>
      <c r="Y42" s="135">
        <v>4782999</v>
      </c>
      <c r="Z42" s="135">
        <v>1935149</v>
      </c>
      <c r="AA42" s="135">
        <v>1251100</v>
      </c>
      <c r="AB42" s="135">
        <v>-4160766</v>
      </c>
      <c r="AC42" s="135"/>
      <c r="AD42" s="135">
        <v>73467</v>
      </c>
      <c r="AE42" s="135">
        <v>21</v>
      </c>
      <c r="AF42" s="135"/>
      <c r="AG42" s="135">
        <v>144059</v>
      </c>
      <c r="AH42" s="135">
        <v>0</v>
      </c>
      <c r="AI42" s="135">
        <v>0</v>
      </c>
      <c r="AJ42" s="169"/>
      <c r="AK42" s="160">
        <v>245740246</v>
      </c>
      <c r="AL42" s="161">
        <v>7520207</v>
      </c>
      <c r="AM42" s="135"/>
      <c r="AN42" s="135">
        <v>28450371</v>
      </c>
      <c r="AO42" s="135">
        <v>1198983</v>
      </c>
      <c r="AP42" s="135">
        <v>71225373</v>
      </c>
      <c r="AQ42" s="135">
        <v>46938972</v>
      </c>
      <c r="AR42" s="135">
        <v>66176830</v>
      </c>
      <c r="AS42" s="135">
        <v>1637218</v>
      </c>
      <c r="AT42" s="135">
        <v>358519</v>
      </c>
      <c r="AU42" s="135"/>
      <c r="AV42" s="135"/>
      <c r="AW42" s="135">
        <v>88935</v>
      </c>
      <c r="AX42" s="135"/>
      <c r="AY42" s="135"/>
      <c r="AZ42" s="160">
        <v>15209812.890000001</v>
      </c>
      <c r="BA42" s="160">
        <v>8213299</v>
      </c>
      <c r="BB42" s="162">
        <v>0</v>
      </c>
      <c r="BC42" s="175">
        <v>4063443</v>
      </c>
      <c r="BD42" s="175">
        <v>6064840</v>
      </c>
      <c r="BE42" s="175">
        <v>77599109</v>
      </c>
      <c r="BF42" s="175">
        <v>77599109</v>
      </c>
      <c r="BG42" s="175">
        <v>86516412</v>
      </c>
      <c r="BH42" s="175">
        <v>80560992</v>
      </c>
      <c r="BI42" s="176">
        <f>50885743+3563230</f>
        <v>54448973</v>
      </c>
      <c r="BJ42" s="117">
        <v>0</v>
      </c>
      <c r="BK42" s="138"/>
      <c r="BL42" s="163">
        <v>2027561772</v>
      </c>
      <c r="BM42" s="163">
        <v>1549415503</v>
      </c>
      <c r="BN42" s="164">
        <v>1610600</v>
      </c>
      <c r="BP42" s="166">
        <f t="shared" si="0"/>
        <v>1472827177</v>
      </c>
      <c r="BQ42" s="167">
        <f>AK42</f>
        <v>245740246</v>
      </c>
      <c r="BR42" s="167">
        <f>AL42</f>
        <v>7520207</v>
      </c>
      <c r="BS42" s="166">
        <f>AN42+AO42+AQ42+AS42</f>
        <v>78225544</v>
      </c>
      <c r="BT42" s="166">
        <f t="shared" si="1"/>
        <v>1804313174</v>
      </c>
    </row>
    <row r="43" spans="1:72" x14ac:dyDescent="0.25">
      <c r="A43" s="168" t="s">
        <v>97</v>
      </c>
      <c r="B43" s="135">
        <v>1083522389</v>
      </c>
      <c r="C43" s="135">
        <v>557756854</v>
      </c>
      <c r="D43" s="135">
        <v>374777690</v>
      </c>
      <c r="E43" s="135">
        <v>39557691</v>
      </c>
      <c r="F43" s="135">
        <v>138381095</v>
      </c>
      <c r="G43" s="135">
        <v>13507250</v>
      </c>
      <c r="H43" s="135">
        <v>32391420</v>
      </c>
      <c r="I43" s="135">
        <v>2206600</v>
      </c>
      <c r="J43" s="135">
        <v>201050</v>
      </c>
      <c r="K43" s="135">
        <v>46350</v>
      </c>
      <c r="L43" s="135">
        <v>1418407366</v>
      </c>
      <c r="M43" s="135">
        <v>283620294</v>
      </c>
      <c r="N43" s="135">
        <v>3846</v>
      </c>
      <c r="O43" s="135">
        <v>371</v>
      </c>
      <c r="P43" s="135">
        <v>18815747</v>
      </c>
      <c r="Q43" s="135">
        <v>9495300</v>
      </c>
      <c r="R43" s="135">
        <v>10715499</v>
      </c>
      <c r="S43" s="135">
        <v>3507570</v>
      </c>
      <c r="T43" s="135">
        <v>442900</v>
      </c>
      <c r="U43" s="135">
        <v>2367991</v>
      </c>
      <c r="V43" s="135">
        <v>18815747</v>
      </c>
      <c r="W43" s="135">
        <v>9398000</v>
      </c>
      <c r="X43" s="135">
        <v>10715499</v>
      </c>
      <c r="Y43" s="135">
        <v>3507570</v>
      </c>
      <c r="Z43" s="135">
        <v>767000</v>
      </c>
      <c r="AA43" s="135">
        <v>2367991</v>
      </c>
      <c r="AB43" s="135">
        <v>-13537350</v>
      </c>
      <c r="AC43" s="135">
        <v>-4032495</v>
      </c>
      <c r="AD43" s="135">
        <v>55579</v>
      </c>
      <c r="AE43" s="135">
        <v>92367</v>
      </c>
      <c r="AF43" s="135">
        <v>233166697</v>
      </c>
      <c r="AG43" s="135">
        <v>308943</v>
      </c>
      <c r="AH43" s="135">
        <v>0</v>
      </c>
      <c r="AI43" s="135">
        <v>304728</v>
      </c>
      <c r="AJ43" s="169"/>
      <c r="AK43" s="160">
        <v>399158412</v>
      </c>
      <c r="AL43" s="161">
        <v>12491308</v>
      </c>
      <c r="AM43" s="135"/>
      <c r="AN43" s="135">
        <v>75323985</v>
      </c>
      <c r="AO43" s="135">
        <v>7022890</v>
      </c>
      <c r="AP43" s="135">
        <v>58350092</v>
      </c>
      <c r="AQ43" s="135">
        <v>136318284</v>
      </c>
      <c r="AR43" s="135">
        <v>85764733</v>
      </c>
      <c r="AS43" s="135">
        <v>1632502</v>
      </c>
      <c r="AT43" s="135">
        <v>40383195</v>
      </c>
      <c r="AU43" s="135"/>
      <c r="AV43" s="135">
        <v>759137</v>
      </c>
      <c r="AW43" s="135">
        <v>6119673</v>
      </c>
      <c r="AX43" s="135">
        <v>32735</v>
      </c>
      <c r="AY43" s="135">
        <v>3877500</v>
      </c>
      <c r="AZ43" s="160">
        <v>24705455.699999999</v>
      </c>
      <c r="BA43" s="160">
        <v>13340946</v>
      </c>
      <c r="BB43" s="162">
        <v>0</v>
      </c>
      <c r="BC43" s="162">
        <v>3906666</v>
      </c>
      <c r="BD43" s="162">
        <v>5830846</v>
      </c>
      <c r="BE43" s="117">
        <v>74781730</v>
      </c>
      <c r="BF43" s="117">
        <v>71790428</v>
      </c>
      <c r="BG43" s="117">
        <v>158207897</v>
      </c>
      <c r="BH43" s="117">
        <v>124604302</v>
      </c>
      <c r="BI43" s="117">
        <v>0</v>
      </c>
      <c r="BJ43" s="117">
        <v>8805305</v>
      </c>
      <c r="BK43" s="138"/>
      <c r="BL43" s="163">
        <v>2869124187</v>
      </c>
      <c r="BM43" s="163">
        <v>2235026820</v>
      </c>
      <c r="BN43" s="164">
        <v>3331846</v>
      </c>
      <c r="BP43" s="166">
        <f t="shared" si="0"/>
        <v>2016056933</v>
      </c>
      <c r="BQ43" s="167">
        <f>AK43</f>
        <v>399158412</v>
      </c>
      <c r="BR43" s="167">
        <f>AL43</f>
        <v>12491308</v>
      </c>
      <c r="BS43" s="166">
        <f>AN43+AO43+AQ43+AS43</f>
        <v>220297661</v>
      </c>
      <c r="BT43" s="166">
        <f t="shared" si="1"/>
        <v>2648004314</v>
      </c>
    </row>
    <row r="44" spans="1:72" s="179" customFormat="1" x14ac:dyDescent="0.25">
      <c r="A44" s="168" t="s">
        <v>98</v>
      </c>
      <c r="B44" s="140">
        <v>975624448</v>
      </c>
      <c r="C44" s="140">
        <v>245361560</v>
      </c>
      <c r="D44" s="140">
        <v>212843774</v>
      </c>
      <c r="E44" s="140">
        <v>0</v>
      </c>
      <c r="F44" s="140">
        <v>92304924</v>
      </c>
      <c r="G44" s="140">
        <v>15039011</v>
      </c>
      <c r="H44" s="140">
        <v>30509339</v>
      </c>
      <c r="I44" s="140">
        <v>2963434</v>
      </c>
      <c r="J44" s="140">
        <v>92700</v>
      </c>
      <c r="K44" s="140">
        <v>0</v>
      </c>
      <c r="L44" s="140">
        <v>405761411</v>
      </c>
      <c r="M44" s="140">
        <v>159497268</v>
      </c>
      <c r="N44" s="140">
        <v>2830</v>
      </c>
      <c r="O44" s="140">
        <v>451</v>
      </c>
      <c r="P44" s="140">
        <v>14609000</v>
      </c>
      <c r="Q44" s="140">
        <v>7119699</v>
      </c>
      <c r="R44" s="140">
        <v>5581100</v>
      </c>
      <c r="S44" s="140">
        <v>6982993</v>
      </c>
      <c r="T44" s="140">
        <v>1164679</v>
      </c>
      <c r="U44" s="140">
        <v>1491647</v>
      </c>
      <c r="V44" s="140">
        <v>14609000</v>
      </c>
      <c r="W44" s="140">
        <v>8615492</v>
      </c>
      <c r="X44" s="140">
        <v>5581100</v>
      </c>
      <c r="Y44" s="140">
        <v>6982993</v>
      </c>
      <c r="Z44" s="140">
        <v>2402540</v>
      </c>
      <c r="AA44" s="140">
        <v>1491647</v>
      </c>
      <c r="AB44" s="140">
        <v>-4132461</v>
      </c>
      <c r="AC44" s="140"/>
      <c r="AD44" s="140">
        <v>130381</v>
      </c>
      <c r="AE44" s="140">
        <v>5754</v>
      </c>
      <c r="AF44" s="140">
        <v>5387720</v>
      </c>
      <c r="AG44" s="140">
        <v>298656</v>
      </c>
      <c r="AH44" s="135">
        <v>1645615</v>
      </c>
      <c r="AI44" s="140">
        <v>1611796</v>
      </c>
      <c r="AJ44" s="169"/>
      <c r="AK44" s="161">
        <v>232614680</v>
      </c>
      <c r="AL44" s="161">
        <v>34170531</v>
      </c>
      <c r="AM44" s="140">
        <v>176518</v>
      </c>
      <c r="AN44" s="140">
        <v>43432026</v>
      </c>
      <c r="AO44" s="140">
        <v>5384639</v>
      </c>
      <c r="AP44" s="140">
        <v>75753125</v>
      </c>
      <c r="AQ44" s="140">
        <v>70713929</v>
      </c>
      <c r="AR44" s="140">
        <v>34303519</v>
      </c>
      <c r="AS44" s="140">
        <v>26764035</v>
      </c>
      <c r="AT44" s="140">
        <v>353326</v>
      </c>
      <c r="AU44" s="140"/>
      <c r="AV44" s="140"/>
      <c r="AW44" s="140">
        <v>15513</v>
      </c>
      <c r="AX44" s="140">
        <v>382200</v>
      </c>
      <c r="AY44" s="140">
        <v>55000</v>
      </c>
      <c r="AZ44" s="161">
        <v>14397420.92</v>
      </c>
      <c r="BA44" s="161">
        <v>7774607</v>
      </c>
      <c r="BB44" s="162">
        <v>0</v>
      </c>
      <c r="BC44" s="162">
        <v>3360889</v>
      </c>
      <c r="BD44" s="162">
        <v>5016253</v>
      </c>
      <c r="BE44" s="117">
        <v>13808049</v>
      </c>
      <c r="BF44" s="117">
        <v>8463061</v>
      </c>
      <c r="BG44" s="117">
        <v>72360280</v>
      </c>
      <c r="BH44" s="117">
        <v>69659065</v>
      </c>
      <c r="BI44" s="117">
        <v>0</v>
      </c>
      <c r="BJ44" s="117">
        <v>0</v>
      </c>
      <c r="BK44" s="141"/>
      <c r="BL44" s="177">
        <v>1912660620</v>
      </c>
      <c r="BM44" s="177">
        <v>1556617787</v>
      </c>
      <c r="BN44" s="178">
        <v>1289106</v>
      </c>
      <c r="BP44" s="166">
        <f t="shared" si="0"/>
        <v>1433829782</v>
      </c>
      <c r="BQ44" s="167">
        <f>AK44</f>
        <v>232614680</v>
      </c>
      <c r="BR44" s="167">
        <f>AL44</f>
        <v>34170531</v>
      </c>
      <c r="BS44" s="166">
        <f>AN44+AO44+AQ44+AS44</f>
        <v>146294629</v>
      </c>
      <c r="BT44" s="166">
        <f t="shared" si="1"/>
        <v>1846909622</v>
      </c>
    </row>
    <row r="45" spans="1:72" x14ac:dyDescent="0.25">
      <c r="A45" s="168" t="s">
        <v>99</v>
      </c>
      <c r="B45" s="135">
        <v>218602894</v>
      </c>
      <c r="C45" s="135">
        <v>143867884</v>
      </c>
      <c r="D45" s="135">
        <v>53787280</v>
      </c>
      <c r="E45" s="135">
        <v>0</v>
      </c>
      <c r="F45" s="135">
        <v>44913150</v>
      </c>
      <c r="G45" s="135">
        <v>7404150</v>
      </c>
      <c r="H45" s="135">
        <v>18835350</v>
      </c>
      <c r="I45" s="135">
        <v>1688400</v>
      </c>
      <c r="J45" s="135">
        <v>26000</v>
      </c>
      <c r="K45" s="135">
        <v>0</v>
      </c>
      <c r="L45" s="135">
        <v>290341182</v>
      </c>
      <c r="M45" s="135">
        <v>90784050</v>
      </c>
      <c r="N45" s="135">
        <v>1442</v>
      </c>
      <c r="O45" s="135">
        <v>220</v>
      </c>
      <c r="P45" s="135">
        <v>2981999</v>
      </c>
      <c r="Q45" s="135">
        <v>2586000</v>
      </c>
      <c r="R45" s="135">
        <v>3505000</v>
      </c>
      <c r="S45" s="135">
        <v>559735</v>
      </c>
      <c r="T45" s="135">
        <v>30000</v>
      </c>
      <c r="U45" s="135">
        <v>105000</v>
      </c>
      <c r="V45" s="135">
        <v>2981999</v>
      </c>
      <c r="W45" s="135">
        <v>2595000</v>
      </c>
      <c r="X45" s="135">
        <v>3505000</v>
      </c>
      <c r="Y45" s="135">
        <v>559735</v>
      </c>
      <c r="Z45" s="135">
        <v>49000</v>
      </c>
      <c r="AA45" s="135">
        <v>105000</v>
      </c>
      <c r="AB45" s="135">
        <v>-1137750</v>
      </c>
      <c r="AC45" s="135">
        <v>65612</v>
      </c>
      <c r="AD45" s="135">
        <v>39753</v>
      </c>
      <c r="AE45" s="135"/>
      <c r="AF45" s="135"/>
      <c r="AG45" s="135">
        <v>167932</v>
      </c>
      <c r="AH45" s="135">
        <v>437617</v>
      </c>
      <c r="AI45" s="135">
        <v>351238</v>
      </c>
      <c r="AJ45" s="169"/>
      <c r="AK45" s="160">
        <v>93279457</v>
      </c>
      <c r="AL45" s="161">
        <v>2973230</v>
      </c>
      <c r="AM45" s="135"/>
      <c r="AN45" s="135">
        <v>5970179</v>
      </c>
      <c r="AO45" s="135">
        <v>80409</v>
      </c>
      <c r="AP45" s="135">
        <v>8480633</v>
      </c>
      <c r="AQ45" s="135">
        <v>10695880</v>
      </c>
      <c r="AR45" s="135">
        <v>2572310</v>
      </c>
      <c r="AS45" s="135"/>
      <c r="AT45" s="135">
        <v>368491</v>
      </c>
      <c r="AU45" s="135"/>
      <c r="AV45" s="135">
        <v>19068</v>
      </c>
      <c r="AW45" s="135"/>
      <c r="AX45" s="135"/>
      <c r="AY45" s="135"/>
      <c r="AZ45" s="160">
        <v>5773425.8499999996</v>
      </c>
      <c r="BA45" s="160">
        <v>3117650</v>
      </c>
      <c r="BB45" s="162">
        <v>0</v>
      </c>
      <c r="BC45" s="162">
        <v>0</v>
      </c>
      <c r="BD45" s="162">
        <v>0</v>
      </c>
      <c r="BE45" s="117">
        <v>35715006</v>
      </c>
      <c r="BF45" s="117">
        <v>35715006</v>
      </c>
      <c r="BG45" s="117">
        <v>46002376</v>
      </c>
      <c r="BH45" s="117">
        <v>45983510</v>
      </c>
      <c r="BI45" s="117">
        <v>0</v>
      </c>
      <c r="BJ45" s="117">
        <v>0</v>
      </c>
      <c r="BK45" s="138"/>
      <c r="BL45" s="163">
        <v>614862234</v>
      </c>
      <c r="BM45" s="163">
        <v>433793381</v>
      </c>
      <c r="BN45" s="164">
        <v>789262</v>
      </c>
      <c r="BP45" s="166">
        <f t="shared" si="0"/>
        <v>416258058</v>
      </c>
      <c r="BQ45" s="167">
        <f>AK45</f>
        <v>93279457</v>
      </c>
      <c r="BR45" s="167">
        <f>AL45</f>
        <v>2973230</v>
      </c>
      <c r="BS45" s="166">
        <f>AN45+AO45+AQ45+AS45</f>
        <v>16746468</v>
      </c>
      <c r="BT45" s="166">
        <f t="shared" si="1"/>
        <v>529257213</v>
      </c>
    </row>
    <row r="46" spans="1:72" x14ac:dyDescent="0.25">
      <c r="A46" s="168" t="s">
        <v>100</v>
      </c>
      <c r="B46" s="135">
        <v>981282786</v>
      </c>
      <c r="C46" s="135">
        <v>147358526</v>
      </c>
      <c r="D46" s="135">
        <v>308232483</v>
      </c>
      <c r="E46" s="135">
        <v>0</v>
      </c>
      <c r="F46" s="135">
        <v>173302444</v>
      </c>
      <c r="G46" s="135">
        <v>26592737</v>
      </c>
      <c r="H46" s="135">
        <v>24582799</v>
      </c>
      <c r="I46" s="135">
        <v>4189541</v>
      </c>
      <c r="J46" s="135">
        <v>46350</v>
      </c>
      <c r="K46" s="135">
        <v>119700</v>
      </c>
      <c r="L46" s="135">
        <v>125595965</v>
      </c>
      <c r="M46" s="135">
        <v>125891740</v>
      </c>
      <c r="N46" s="135">
        <v>4850</v>
      </c>
      <c r="O46" s="135">
        <v>863</v>
      </c>
      <c r="P46" s="135">
        <v>6083842</v>
      </c>
      <c r="Q46" s="135">
        <v>3008719</v>
      </c>
      <c r="R46" s="135">
        <v>3736135</v>
      </c>
      <c r="S46" s="135">
        <v>4423431</v>
      </c>
      <c r="T46" s="135">
        <v>722884</v>
      </c>
      <c r="U46" s="135">
        <v>15348773</v>
      </c>
      <c r="V46" s="135">
        <v>5188036</v>
      </c>
      <c r="W46" s="135">
        <v>3641467</v>
      </c>
      <c r="X46" s="135">
        <v>3736135</v>
      </c>
      <c r="Y46" s="135">
        <v>4413431</v>
      </c>
      <c r="Z46" s="135">
        <v>1090249</v>
      </c>
      <c r="AA46" s="135">
        <v>15348773</v>
      </c>
      <c r="AB46" s="135">
        <v>-2993338</v>
      </c>
      <c r="AC46" s="135"/>
      <c r="AD46" s="135">
        <v>143189</v>
      </c>
      <c r="AE46" s="135"/>
      <c r="AF46" s="135">
        <v>79814503</v>
      </c>
      <c r="AG46" s="135"/>
      <c r="AH46" s="135">
        <v>13419745</v>
      </c>
      <c r="AI46" s="135">
        <v>650000</v>
      </c>
      <c r="AJ46" s="169"/>
      <c r="AK46" s="160">
        <v>341439695</v>
      </c>
      <c r="AL46" s="161">
        <v>9247051</v>
      </c>
      <c r="AM46" s="135"/>
      <c r="AN46" s="135">
        <v>35839028</v>
      </c>
      <c r="AO46" s="135">
        <v>1866785</v>
      </c>
      <c r="AP46" s="135">
        <v>108286059</v>
      </c>
      <c r="AQ46" s="135">
        <v>53270626</v>
      </c>
      <c r="AR46" s="135">
        <v>107585683</v>
      </c>
      <c r="AS46" s="135">
        <v>149298107</v>
      </c>
      <c r="AT46" s="135">
        <v>584412</v>
      </c>
      <c r="AU46" s="135"/>
      <c r="AV46" s="135"/>
      <c r="AW46" s="135"/>
      <c r="AX46" s="135">
        <v>30174</v>
      </c>
      <c r="AY46" s="135">
        <v>2364281</v>
      </c>
      <c r="AZ46" s="160">
        <v>21133021.390000001</v>
      </c>
      <c r="BA46" s="160">
        <v>11411832</v>
      </c>
      <c r="BB46" s="162">
        <v>34720762.040207252</v>
      </c>
      <c r="BC46" s="162">
        <v>46072600</v>
      </c>
      <c r="BD46" s="162">
        <v>68765075</v>
      </c>
      <c r="BE46" s="117">
        <v>99732498</v>
      </c>
      <c r="BF46" s="117">
        <v>99732498</v>
      </c>
      <c r="BG46" s="117">
        <v>162199114</v>
      </c>
      <c r="BH46" s="117">
        <v>141878930</v>
      </c>
      <c r="BI46" s="117">
        <v>0</v>
      </c>
      <c r="BJ46" s="117">
        <v>0</v>
      </c>
      <c r="BK46" s="138"/>
      <c r="BL46" s="163">
        <v>2191702585</v>
      </c>
      <c r="BM46" s="163">
        <v>1541919979</v>
      </c>
      <c r="BN46" s="164"/>
      <c r="BP46" s="166">
        <f t="shared" si="0"/>
        <v>1436873795</v>
      </c>
      <c r="BQ46" s="167">
        <f>AK46</f>
        <v>341439695</v>
      </c>
      <c r="BR46" s="167">
        <f>AL46</f>
        <v>9247051</v>
      </c>
      <c r="BS46" s="166">
        <f>AN46+AO46+AQ46+AS46</f>
        <v>240274546</v>
      </c>
      <c r="BT46" s="166">
        <f t="shared" si="1"/>
        <v>2027835087</v>
      </c>
    </row>
    <row r="47" spans="1:72" x14ac:dyDescent="0.25">
      <c r="A47" s="168" t="s">
        <v>101</v>
      </c>
      <c r="B47" s="135">
        <v>211674542</v>
      </c>
      <c r="C47" s="135">
        <v>96499820</v>
      </c>
      <c r="D47" s="135">
        <v>171060722</v>
      </c>
      <c r="E47" s="135">
        <v>14803008</v>
      </c>
      <c r="F47" s="135">
        <v>31673350</v>
      </c>
      <c r="G47" s="135">
        <v>3880350</v>
      </c>
      <c r="H47" s="135">
        <v>13179089</v>
      </c>
      <c r="I47" s="135">
        <v>911212</v>
      </c>
      <c r="J47" s="135">
        <v>0</v>
      </c>
      <c r="K47" s="135">
        <v>42000</v>
      </c>
      <c r="L47" s="135">
        <v>226352575</v>
      </c>
      <c r="M47" s="135">
        <v>76485318</v>
      </c>
      <c r="N47" s="135">
        <v>1037</v>
      </c>
      <c r="O47" s="135">
        <v>127</v>
      </c>
      <c r="P47" s="135">
        <v>2560199</v>
      </c>
      <c r="Q47" s="135">
        <v>2443193</v>
      </c>
      <c r="R47" s="135">
        <v>140000</v>
      </c>
      <c r="S47" s="135">
        <v>792349</v>
      </c>
      <c r="T47" s="135">
        <v>490481</v>
      </c>
      <c r="U47" s="135">
        <v>264800</v>
      </c>
      <c r="V47" s="135">
        <v>2560199</v>
      </c>
      <c r="W47" s="135">
        <v>2667000</v>
      </c>
      <c r="X47" s="135">
        <v>140000</v>
      </c>
      <c r="Y47" s="135">
        <v>792349</v>
      </c>
      <c r="Z47" s="135">
        <v>468400</v>
      </c>
      <c r="AA47" s="135">
        <v>264800</v>
      </c>
      <c r="AB47" s="135">
        <v>-877428</v>
      </c>
      <c r="AC47" s="135">
        <v>186970092</v>
      </c>
      <c r="AD47" s="135">
        <v>88006</v>
      </c>
      <c r="AE47" s="135"/>
      <c r="AF47" s="135"/>
      <c r="AG47" s="135">
        <v>104584</v>
      </c>
      <c r="AH47" s="135">
        <v>465045</v>
      </c>
      <c r="AI47" s="135">
        <v>95500</v>
      </c>
      <c r="AJ47" s="169"/>
      <c r="AK47" s="160">
        <v>90958047</v>
      </c>
      <c r="AL47" s="161">
        <v>2011394</v>
      </c>
      <c r="AM47" s="135"/>
      <c r="AN47" s="135">
        <v>72175540</v>
      </c>
      <c r="AO47" s="135">
        <v>78906105</v>
      </c>
      <c r="AP47" s="135">
        <v>637624985</v>
      </c>
      <c r="AQ47" s="135">
        <v>22715778</v>
      </c>
      <c r="AR47" s="135">
        <v>269744786</v>
      </c>
      <c r="AS47" s="135">
        <v>53212779</v>
      </c>
      <c r="AT47" s="135">
        <f>3751958+33388255</f>
        <v>37140213</v>
      </c>
      <c r="AU47" s="165"/>
      <c r="AV47" s="165"/>
      <c r="AW47" s="135">
        <v>51748497</v>
      </c>
      <c r="AX47" s="135">
        <v>625</v>
      </c>
      <c r="AY47" s="135">
        <v>235694</v>
      </c>
      <c r="AZ47" s="160">
        <v>5629744.8200000003</v>
      </c>
      <c r="BA47" s="160">
        <v>3040062</v>
      </c>
      <c r="BB47" s="170">
        <v>32041690.895129532</v>
      </c>
      <c r="BC47" s="162">
        <v>2498620</v>
      </c>
      <c r="BD47" s="162">
        <v>3729284</v>
      </c>
      <c r="BE47" s="117">
        <v>141801487</v>
      </c>
      <c r="BF47" s="117">
        <v>141801487</v>
      </c>
      <c r="BG47" s="117">
        <v>77355148</v>
      </c>
      <c r="BH47" s="117">
        <v>74936410</v>
      </c>
      <c r="BI47" s="117">
        <v>0</v>
      </c>
      <c r="BJ47" s="117">
        <v>0</v>
      </c>
      <c r="BK47" s="138"/>
      <c r="BL47" s="163">
        <v>968839072</v>
      </c>
      <c r="BM47" s="163">
        <v>653593052</v>
      </c>
      <c r="BN47" s="164"/>
      <c r="BP47" s="166">
        <f t="shared" si="0"/>
        <v>479235084</v>
      </c>
      <c r="BQ47" s="167">
        <f>AK47</f>
        <v>90958047</v>
      </c>
      <c r="BR47" s="167">
        <f>AL47</f>
        <v>2011394</v>
      </c>
      <c r="BS47" s="166">
        <f>AN47+AO47+AQ47+AS47</f>
        <v>227010202</v>
      </c>
      <c r="BT47" s="166">
        <f t="shared" si="1"/>
        <v>799214727</v>
      </c>
    </row>
    <row r="48" spans="1:72" x14ac:dyDescent="0.25">
      <c r="A48" s="168" t="s">
        <v>102</v>
      </c>
      <c r="B48" s="135">
        <v>5312680270</v>
      </c>
      <c r="C48" s="135">
        <v>477798234</v>
      </c>
      <c r="D48" s="135">
        <v>2127190621</v>
      </c>
      <c r="E48" s="135">
        <v>5016900</v>
      </c>
      <c r="F48" s="135">
        <v>354962650</v>
      </c>
      <c r="G48" s="135">
        <v>68401200</v>
      </c>
      <c r="H48" s="135">
        <v>38949300</v>
      </c>
      <c r="I48" s="135">
        <v>3426650</v>
      </c>
      <c r="J48" s="135">
        <v>580950</v>
      </c>
      <c r="K48" s="135">
        <v>46350</v>
      </c>
      <c r="L48" s="135">
        <v>763239502</v>
      </c>
      <c r="M48" s="135">
        <v>323768100</v>
      </c>
      <c r="N48" s="135">
        <v>8654</v>
      </c>
      <c r="O48" s="135">
        <v>1604</v>
      </c>
      <c r="P48" s="135">
        <v>123538680</v>
      </c>
      <c r="Q48" s="135">
        <v>5292100</v>
      </c>
      <c r="R48" s="135">
        <v>122768400</v>
      </c>
      <c r="S48" s="135">
        <v>15496400</v>
      </c>
      <c r="T48" s="135">
        <v>3465000</v>
      </c>
      <c r="U48" s="135">
        <v>6476100</v>
      </c>
      <c r="V48" s="135">
        <v>123538680</v>
      </c>
      <c r="W48" s="135">
        <v>6155300</v>
      </c>
      <c r="X48" s="135">
        <v>122768400</v>
      </c>
      <c r="Y48" s="135">
        <v>15496400</v>
      </c>
      <c r="Z48" s="135">
        <v>144800</v>
      </c>
      <c r="AA48" s="135">
        <v>6476100</v>
      </c>
      <c r="AB48" s="135">
        <v>-14409500</v>
      </c>
      <c r="AC48" s="135">
        <v>2581</v>
      </c>
      <c r="AD48" s="135">
        <v>86774</v>
      </c>
      <c r="AE48" s="135"/>
      <c r="AF48" s="135"/>
      <c r="AG48" s="135">
        <v>261701.133</v>
      </c>
      <c r="AH48" s="135">
        <v>0</v>
      </c>
      <c r="AI48" s="135">
        <v>700752</v>
      </c>
      <c r="AJ48" s="169"/>
      <c r="AK48" s="160">
        <v>1030068532</v>
      </c>
      <c r="AL48" s="161">
        <v>22396784</v>
      </c>
      <c r="AM48" s="135">
        <v>30000</v>
      </c>
      <c r="AN48" s="135">
        <v>217401093</v>
      </c>
      <c r="AO48" s="135">
        <v>55678381</v>
      </c>
      <c r="AP48" s="135">
        <v>764097661</v>
      </c>
      <c r="AQ48" s="135">
        <v>364251159</v>
      </c>
      <c r="AR48" s="135">
        <v>260268879</v>
      </c>
      <c r="AS48" s="135">
        <v>75597106</v>
      </c>
      <c r="AT48" s="135">
        <v>2197917</v>
      </c>
      <c r="AU48" s="135"/>
      <c r="AV48" s="135">
        <v>36369</v>
      </c>
      <c r="AW48" s="135">
        <v>6952342</v>
      </c>
      <c r="AX48" s="135">
        <v>3683421</v>
      </c>
      <c r="AY48" s="135">
        <v>1435554</v>
      </c>
      <c r="AZ48" s="160">
        <v>63754919.659999996</v>
      </c>
      <c r="BA48" s="160">
        <v>34427657</v>
      </c>
      <c r="BB48" s="162">
        <v>3000559.6824870463</v>
      </c>
      <c r="BC48" s="162">
        <v>8335594</v>
      </c>
      <c r="BD48" s="162">
        <v>12441185</v>
      </c>
      <c r="BE48" s="117">
        <v>62180071</v>
      </c>
      <c r="BF48" s="117">
        <v>52045501</v>
      </c>
      <c r="BG48" s="117">
        <v>264565009</v>
      </c>
      <c r="BH48" s="117">
        <v>253893867</v>
      </c>
      <c r="BI48" s="117">
        <v>497084</v>
      </c>
      <c r="BJ48" s="117">
        <v>0</v>
      </c>
      <c r="BK48" s="138"/>
      <c r="BL48" s="163">
        <v>9957365529</v>
      </c>
      <c r="BM48" s="163">
        <v>8555700510</v>
      </c>
      <c r="BN48" s="164">
        <v>13437900</v>
      </c>
      <c r="BP48" s="166">
        <f t="shared" si="0"/>
        <v>7917669125</v>
      </c>
      <c r="BQ48" s="167">
        <f>AK48</f>
        <v>1030068532</v>
      </c>
      <c r="BR48" s="167">
        <f>AL48</f>
        <v>22396784</v>
      </c>
      <c r="BS48" s="166">
        <f>AN48+AO48+AQ48+AS48</f>
        <v>712927739</v>
      </c>
      <c r="BT48" s="166">
        <f t="shared" si="1"/>
        <v>9683062180</v>
      </c>
    </row>
    <row r="49" spans="1:72" x14ac:dyDescent="0.25">
      <c r="A49" s="168" t="s">
        <v>103</v>
      </c>
      <c r="B49" s="135">
        <v>402710687</v>
      </c>
      <c r="C49" s="135">
        <v>45731262</v>
      </c>
      <c r="D49" s="135">
        <v>156160345</v>
      </c>
      <c r="E49" s="135">
        <v>0</v>
      </c>
      <c r="F49" s="135">
        <v>75947004</v>
      </c>
      <c r="G49" s="135">
        <v>79223930</v>
      </c>
      <c r="H49" s="135">
        <v>2476050</v>
      </c>
      <c r="I49" s="135">
        <v>1933650</v>
      </c>
      <c r="J49" s="135">
        <v>185050</v>
      </c>
      <c r="K49" s="135">
        <v>185000</v>
      </c>
      <c r="L49" s="135">
        <v>102218210</v>
      </c>
      <c r="M49" s="135">
        <v>19778167</v>
      </c>
      <c r="N49" s="135">
        <v>1962</v>
      </c>
      <c r="O49" s="135">
        <v>2223</v>
      </c>
      <c r="P49" s="135">
        <v>4086875</v>
      </c>
      <c r="Q49" s="135">
        <v>605250</v>
      </c>
      <c r="R49" s="135">
        <v>480000</v>
      </c>
      <c r="S49" s="135">
        <v>2764821</v>
      </c>
      <c r="T49" s="135">
        <v>666737</v>
      </c>
      <c r="U49" s="135">
        <v>274436</v>
      </c>
      <c r="V49" s="135">
        <v>4086875</v>
      </c>
      <c r="W49" s="135">
        <v>605270</v>
      </c>
      <c r="X49" s="135">
        <v>480000</v>
      </c>
      <c r="Y49" s="135">
        <v>2764821</v>
      </c>
      <c r="Z49" s="135">
        <v>2750650</v>
      </c>
      <c r="AA49" s="135">
        <v>274436</v>
      </c>
      <c r="AB49" s="135">
        <v>-3584292</v>
      </c>
      <c r="AC49" s="135"/>
      <c r="AD49" s="135">
        <v>240734</v>
      </c>
      <c r="AE49" s="135">
        <v>3192015</v>
      </c>
      <c r="AF49" s="135">
        <v>0</v>
      </c>
      <c r="AG49" s="135">
        <v>220418</v>
      </c>
      <c r="AH49" s="135">
        <v>10483082</v>
      </c>
      <c r="AI49" s="135">
        <v>12183872</v>
      </c>
      <c r="AJ49" s="169">
        <v>23100800</v>
      </c>
      <c r="AK49" s="160">
        <v>186978851</v>
      </c>
      <c r="AL49" s="161">
        <v>2799267</v>
      </c>
      <c r="AM49" s="135"/>
      <c r="AN49" s="135">
        <v>55609893</v>
      </c>
      <c r="AO49" s="135">
        <v>1250324</v>
      </c>
      <c r="AP49" s="135">
        <v>5564332</v>
      </c>
      <c r="AQ49" s="135">
        <v>26615244</v>
      </c>
      <c r="AR49" s="135">
        <v>3832240</v>
      </c>
      <c r="AS49" s="135">
        <v>350009</v>
      </c>
      <c r="AT49" s="135">
        <v>127882</v>
      </c>
      <c r="AU49" s="135"/>
      <c r="AV49" s="135"/>
      <c r="AW49" s="135"/>
      <c r="AX49" s="135"/>
      <c r="AY49" s="135"/>
      <c r="AZ49" s="160">
        <v>11572843.220000001</v>
      </c>
      <c r="BA49" s="160">
        <v>6249335</v>
      </c>
      <c r="BB49" s="162">
        <v>0</v>
      </c>
      <c r="BC49" s="162">
        <v>12814493</v>
      </c>
      <c r="BD49" s="162">
        <v>19126109</v>
      </c>
      <c r="BE49" s="117">
        <v>27180167</v>
      </c>
      <c r="BF49" s="117">
        <v>27180167</v>
      </c>
      <c r="BG49" s="117">
        <v>104511522</v>
      </c>
      <c r="BH49" s="117">
        <v>97027853</v>
      </c>
      <c r="BI49" s="117">
        <v>0</v>
      </c>
      <c r="BJ49" s="117">
        <v>0</v>
      </c>
      <c r="BK49" s="138"/>
      <c r="BL49" s="163">
        <v>1066895475</v>
      </c>
      <c r="BM49" s="163">
        <v>733845509</v>
      </c>
      <c r="BN49" s="164">
        <v>1293021</v>
      </c>
      <c r="BP49" s="166">
        <f t="shared" si="0"/>
        <v>604602294</v>
      </c>
      <c r="BQ49" s="167">
        <f>AK49</f>
        <v>186978851</v>
      </c>
      <c r="BR49" s="167">
        <f>AL49</f>
        <v>2799267</v>
      </c>
      <c r="BS49" s="166">
        <f>AN49+AO49+AQ49+AS49</f>
        <v>83825470</v>
      </c>
      <c r="BT49" s="166">
        <f t="shared" si="1"/>
        <v>878205882</v>
      </c>
    </row>
    <row r="50" spans="1:72" x14ac:dyDescent="0.25">
      <c r="A50" s="168" t="s">
        <v>104</v>
      </c>
      <c r="B50" s="135">
        <v>583676803</v>
      </c>
      <c r="C50" s="135">
        <v>264691826</v>
      </c>
      <c r="D50" s="135">
        <v>146539960</v>
      </c>
      <c r="E50" s="135">
        <v>175000</v>
      </c>
      <c r="F50" s="135">
        <v>63305416</v>
      </c>
      <c r="G50" s="135">
        <v>4658562</v>
      </c>
      <c r="H50" s="135">
        <v>21708886</v>
      </c>
      <c r="I50" s="135">
        <v>1043647</v>
      </c>
      <c r="J50" s="135">
        <v>92700</v>
      </c>
      <c r="K50" s="135">
        <v>0</v>
      </c>
      <c r="L50" s="135">
        <v>336116401</v>
      </c>
      <c r="M50" s="135">
        <v>184721428</v>
      </c>
      <c r="N50" s="135">
        <v>1870</v>
      </c>
      <c r="O50" s="135">
        <v>129</v>
      </c>
      <c r="P50" s="135">
        <v>9900814</v>
      </c>
      <c r="Q50" s="135">
        <v>6877699</v>
      </c>
      <c r="R50" s="135">
        <v>423045</v>
      </c>
      <c r="S50" s="135">
        <v>348768</v>
      </c>
      <c r="T50" s="135">
        <v>58555</v>
      </c>
      <c r="U50" s="135">
        <v>0</v>
      </c>
      <c r="V50" s="135">
        <v>9900814</v>
      </c>
      <c r="W50" s="135">
        <v>6492268</v>
      </c>
      <c r="X50" s="135">
        <v>423045</v>
      </c>
      <c r="Y50" s="135">
        <v>348768</v>
      </c>
      <c r="Z50" s="135">
        <v>65128</v>
      </c>
      <c r="AA50" s="135">
        <v>0</v>
      </c>
      <c r="AB50" s="135">
        <v>-252716</v>
      </c>
      <c r="AC50" s="135">
        <v>-468245</v>
      </c>
      <c r="AD50" s="135">
        <v>0</v>
      </c>
      <c r="AE50" s="135">
        <v>0</v>
      </c>
      <c r="AF50" s="135">
        <v>7154</v>
      </c>
      <c r="AG50" s="135">
        <v>190394</v>
      </c>
      <c r="AH50" s="135">
        <v>0</v>
      </c>
      <c r="AI50" s="135">
        <v>0</v>
      </c>
      <c r="AJ50" s="169"/>
      <c r="AK50" s="160">
        <v>202426532</v>
      </c>
      <c r="AL50" s="161">
        <v>4969348</v>
      </c>
      <c r="AM50" s="135"/>
      <c r="AN50" s="135">
        <v>28699370</v>
      </c>
      <c r="AO50" s="135">
        <v>545339</v>
      </c>
      <c r="AP50" s="135">
        <v>78225373</v>
      </c>
      <c r="AQ50" s="135">
        <v>20513796</v>
      </c>
      <c r="AR50" s="135">
        <v>30517590</v>
      </c>
      <c r="AS50" s="135">
        <v>2689500</v>
      </c>
      <c r="AT50" s="135">
        <v>1329432</v>
      </c>
      <c r="AU50" s="135"/>
      <c r="AV50" s="135">
        <v>36831</v>
      </c>
      <c r="AW50" s="165"/>
      <c r="AX50" s="135">
        <v>450</v>
      </c>
      <c r="AY50" s="135">
        <v>456245</v>
      </c>
      <c r="AZ50" s="160">
        <v>12528959.85</v>
      </c>
      <c r="BA50" s="160">
        <v>6765638</v>
      </c>
      <c r="BB50" s="162">
        <v>0</v>
      </c>
      <c r="BC50" s="162">
        <v>3325615</v>
      </c>
      <c r="BD50" s="162">
        <v>4963604</v>
      </c>
      <c r="BE50" s="117">
        <v>22751909</v>
      </c>
      <c r="BF50" s="117">
        <v>22751909</v>
      </c>
      <c r="BG50" s="117">
        <v>64706244</v>
      </c>
      <c r="BH50" s="117">
        <v>59282669</v>
      </c>
      <c r="BI50" s="117">
        <v>0</v>
      </c>
      <c r="BJ50" s="117">
        <v>0</v>
      </c>
      <c r="BK50" s="138"/>
      <c r="BL50" s="163">
        <v>1344188805</v>
      </c>
      <c r="BM50" s="163">
        <v>1044667094</v>
      </c>
      <c r="BN50" s="164">
        <v>1487302</v>
      </c>
      <c r="BP50" s="166">
        <f t="shared" si="0"/>
        <v>994908589</v>
      </c>
      <c r="BQ50" s="167">
        <f>AK50</f>
        <v>202426532</v>
      </c>
      <c r="BR50" s="167">
        <f>AL50</f>
        <v>4969348</v>
      </c>
      <c r="BS50" s="166">
        <f>AN50+AO50+AQ50+AS50</f>
        <v>52448005</v>
      </c>
      <c r="BT50" s="166">
        <f t="shared" si="1"/>
        <v>1254752474</v>
      </c>
    </row>
    <row r="51" spans="1:72" x14ac:dyDescent="0.25">
      <c r="A51" s="168" t="s">
        <v>105</v>
      </c>
      <c r="B51" s="135">
        <v>445564245</v>
      </c>
      <c r="C51" s="135">
        <v>337714827</v>
      </c>
      <c r="D51" s="135">
        <v>233221312</v>
      </c>
      <c r="E51" s="135">
        <v>26631749</v>
      </c>
      <c r="F51" s="135">
        <v>61619050</v>
      </c>
      <c r="G51" s="135">
        <v>12692150</v>
      </c>
      <c r="H51" s="135">
        <v>27428074</v>
      </c>
      <c r="I51" s="135">
        <v>3695748</v>
      </c>
      <c r="J51" s="135">
        <v>46350</v>
      </c>
      <c r="K51" s="135">
        <v>0</v>
      </c>
      <c r="L51" s="135">
        <v>649144491</v>
      </c>
      <c r="M51" s="135">
        <v>235432300</v>
      </c>
      <c r="N51" s="135">
        <v>1970</v>
      </c>
      <c r="O51" s="135">
        <v>376</v>
      </c>
      <c r="P51" s="135">
        <v>20035951</v>
      </c>
      <c r="Q51" s="135">
        <v>11880311</v>
      </c>
      <c r="R51" s="135">
        <v>4234289</v>
      </c>
      <c r="S51" s="135">
        <v>1849800</v>
      </c>
      <c r="T51" s="135">
        <v>1295716</v>
      </c>
      <c r="U51" s="135">
        <v>1209801</v>
      </c>
      <c r="V51" s="135">
        <v>20035951</v>
      </c>
      <c r="W51" s="135">
        <v>11543600</v>
      </c>
      <c r="X51" s="135">
        <v>4234289</v>
      </c>
      <c r="Y51" s="135">
        <v>1849800</v>
      </c>
      <c r="Z51" s="135">
        <v>1069400</v>
      </c>
      <c r="AA51" s="135">
        <v>1209801</v>
      </c>
      <c r="AB51" s="135">
        <v>-3330300</v>
      </c>
      <c r="AC51" s="135">
        <v>-254831</v>
      </c>
      <c r="AD51" s="135">
        <v>99204</v>
      </c>
      <c r="AE51" s="135">
        <v>0</v>
      </c>
      <c r="AF51" s="135">
        <v>0</v>
      </c>
      <c r="AG51" s="135">
        <v>234240</v>
      </c>
      <c r="AH51" s="135">
        <v>375723</v>
      </c>
      <c r="AI51" s="135">
        <v>75000</v>
      </c>
      <c r="AJ51" s="169"/>
      <c r="AK51" s="160">
        <v>144671096</v>
      </c>
      <c r="AL51" s="161">
        <v>6792070</v>
      </c>
      <c r="AM51" s="135"/>
      <c r="AN51" s="135">
        <v>23748801</v>
      </c>
      <c r="AO51" s="135">
        <v>13609758</v>
      </c>
      <c r="AP51" s="135">
        <v>262577415</v>
      </c>
      <c r="AQ51" s="135">
        <v>41028347</v>
      </c>
      <c r="AR51" s="135">
        <v>54622995</v>
      </c>
      <c r="AS51" s="135">
        <v>28603264</v>
      </c>
      <c r="AT51" s="135">
        <v>127935</v>
      </c>
      <c r="AU51" s="135"/>
      <c r="AV51" s="135"/>
      <c r="AW51" s="135">
        <v>3682153</v>
      </c>
      <c r="AX51" s="135">
        <v>33613</v>
      </c>
      <c r="AY51" s="135"/>
      <c r="AZ51" s="160">
        <v>8954252.8599999994</v>
      </c>
      <c r="BA51" s="160">
        <v>4835297</v>
      </c>
      <c r="BB51" s="162">
        <v>0</v>
      </c>
      <c r="BC51" s="162">
        <v>2184088</v>
      </c>
      <c r="BD51" s="162">
        <v>3259833</v>
      </c>
      <c r="BE51" s="117">
        <v>22457617</v>
      </c>
      <c r="BF51" s="117">
        <v>22457617</v>
      </c>
      <c r="BG51" s="117">
        <v>76646877</v>
      </c>
      <c r="BH51" s="117">
        <v>72585556</v>
      </c>
      <c r="BI51" s="117">
        <v>0</v>
      </c>
      <c r="BJ51" s="117">
        <v>0</v>
      </c>
      <c r="BK51" s="138"/>
      <c r="BL51" s="163">
        <v>1348863737</v>
      </c>
      <c r="BM51" s="163">
        <v>1095338013</v>
      </c>
      <c r="BN51" s="164">
        <v>1800349</v>
      </c>
      <c r="BP51" s="166">
        <f t="shared" si="0"/>
        <v>1016500384</v>
      </c>
      <c r="BQ51" s="167">
        <f>AK51</f>
        <v>144671096</v>
      </c>
      <c r="BR51" s="167">
        <f>AL51</f>
        <v>6792070</v>
      </c>
      <c r="BS51" s="166">
        <f>AN51+AO51+AQ51+AS51</f>
        <v>106990170</v>
      </c>
      <c r="BT51" s="166">
        <f t="shared" si="1"/>
        <v>1274953720</v>
      </c>
    </row>
    <row r="52" spans="1:72" x14ac:dyDescent="0.25">
      <c r="A52" s="168" t="s">
        <v>106</v>
      </c>
      <c r="B52" s="135">
        <v>1579754028</v>
      </c>
      <c r="C52" s="135">
        <v>320543388</v>
      </c>
      <c r="D52" s="135">
        <v>687245952</v>
      </c>
      <c r="E52" s="135">
        <v>13525400</v>
      </c>
      <c r="F52" s="135">
        <v>181091716</v>
      </c>
      <c r="G52" s="135">
        <v>14616518</v>
      </c>
      <c r="H52" s="135">
        <v>12681835</v>
      </c>
      <c r="I52" s="135">
        <v>556200</v>
      </c>
      <c r="J52" s="135">
        <v>335950</v>
      </c>
      <c r="K52" s="135">
        <v>0</v>
      </c>
      <c r="L52" s="135">
        <v>964458522</v>
      </c>
      <c r="M52" s="135">
        <v>94175000</v>
      </c>
      <c r="N52" s="135">
        <v>4374</v>
      </c>
      <c r="O52" s="135">
        <v>377</v>
      </c>
      <c r="P52" s="135">
        <v>19574900</v>
      </c>
      <c r="Q52" s="135">
        <v>1936600</v>
      </c>
      <c r="R52" s="135">
        <v>5793900</v>
      </c>
      <c r="S52" s="135">
        <v>4668400</v>
      </c>
      <c r="T52" s="135">
        <v>3363100</v>
      </c>
      <c r="U52" s="135">
        <v>2514360</v>
      </c>
      <c r="V52" s="135">
        <v>19574900</v>
      </c>
      <c r="W52" s="135">
        <v>3806600</v>
      </c>
      <c r="X52" s="135">
        <v>5793900</v>
      </c>
      <c r="Y52" s="135">
        <v>5340000</v>
      </c>
      <c r="Z52" s="135">
        <v>5693472</v>
      </c>
      <c r="AA52" s="135">
        <v>2514360</v>
      </c>
      <c r="AB52" s="135">
        <v>-6375269</v>
      </c>
      <c r="AC52" s="135">
        <v>-181540</v>
      </c>
      <c r="AD52" s="135">
        <v>40992</v>
      </c>
      <c r="AE52" s="135">
        <v>5159</v>
      </c>
      <c r="AF52" s="135">
        <v>25811275</v>
      </c>
      <c r="AG52" s="135">
        <v>238398</v>
      </c>
      <c r="AH52" s="135">
        <v>23657132</v>
      </c>
      <c r="AI52" s="135">
        <v>0</v>
      </c>
      <c r="AJ52" s="169">
        <v>10300500</v>
      </c>
      <c r="AK52" s="160">
        <v>438974706</v>
      </c>
      <c r="AL52" s="161">
        <v>16183145</v>
      </c>
      <c r="AM52" s="135">
        <v>3833</v>
      </c>
      <c r="AN52" s="135">
        <v>142602368</v>
      </c>
      <c r="AO52" s="135">
        <v>46248589</v>
      </c>
      <c r="AP52" s="135">
        <v>575856397</v>
      </c>
      <c r="AQ52" s="135">
        <v>186766678</v>
      </c>
      <c r="AR52" s="135">
        <v>241106523</v>
      </c>
      <c r="AS52" s="135">
        <v>303047173</v>
      </c>
      <c r="AT52" s="135">
        <v>7924718</v>
      </c>
      <c r="AU52" s="135"/>
      <c r="AV52" s="135">
        <v>1448621</v>
      </c>
      <c r="AW52" s="135">
        <v>2584079</v>
      </c>
      <c r="AX52" s="135">
        <v>320675</v>
      </c>
      <c r="AY52" s="135">
        <v>1891970</v>
      </c>
      <c r="AZ52" s="160">
        <v>27169839.91</v>
      </c>
      <c r="BA52" s="160">
        <v>14671714</v>
      </c>
      <c r="BB52" s="170">
        <v>80693622.889740929</v>
      </c>
      <c r="BC52" s="162">
        <v>4216299</v>
      </c>
      <c r="BD52" s="162">
        <v>6292984</v>
      </c>
      <c r="BE52" s="117">
        <v>46461802</v>
      </c>
      <c r="BF52" s="117">
        <v>46461802</v>
      </c>
      <c r="BG52" s="117">
        <v>130463055</v>
      </c>
      <c r="BH52" s="117">
        <v>125936620</v>
      </c>
      <c r="BI52" s="117">
        <v>0</v>
      </c>
      <c r="BJ52" s="117">
        <v>0</v>
      </c>
      <c r="BK52" s="138"/>
      <c r="BL52" s="163">
        <v>3643562921</v>
      </c>
      <c r="BM52" s="163">
        <v>2997118635</v>
      </c>
      <c r="BN52" s="164">
        <v>13525400</v>
      </c>
      <c r="BP52" s="166">
        <f t="shared" si="0"/>
        <v>2587543368</v>
      </c>
      <c r="BQ52" s="167">
        <f>AK52</f>
        <v>438974706</v>
      </c>
      <c r="BR52" s="167">
        <f>AL52</f>
        <v>16183145</v>
      </c>
      <c r="BS52" s="166">
        <f>AN52+AO52+AQ52+AS52</f>
        <v>678664808</v>
      </c>
      <c r="BT52" s="166">
        <f t="shared" si="1"/>
        <v>3721366027</v>
      </c>
    </row>
    <row r="53" spans="1:72" x14ac:dyDescent="0.25">
      <c r="A53" s="168" t="s">
        <v>107</v>
      </c>
      <c r="B53" s="135">
        <v>650796086</v>
      </c>
      <c r="C53" s="135">
        <v>306592300</v>
      </c>
      <c r="D53" s="135">
        <v>132725000</v>
      </c>
      <c r="E53" s="135">
        <v>0</v>
      </c>
      <c r="F53" s="135">
        <v>55332914</v>
      </c>
      <c r="G53" s="135">
        <v>5014900</v>
      </c>
      <c r="H53" s="135">
        <v>20024550</v>
      </c>
      <c r="I53" s="135">
        <v>647250</v>
      </c>
      <c r="J53" s="135">
        <v>0</v>
      </c>
      <c r="K53" s="135">
        <v>0</v>
      </c>
      <c r="L53" s="135">
        <v>466821915</v>
      </c>
      <c r="M53" s="135">
        <v>232981100</v>
      </c>
      <c r="N53" s="135">
        <v>1647</v>
      </c>
      <c r="O53" s="135">
        <v>125</v>
      </c>
      <c r="P53" s="135">
        <v>12832300</v>
      </c>
      <c r="Q53" s="135">
        <v>11951600</v>
      </c>
      <c r="R53" s="135">
        <v>14714500</v>
      </c>
      <c r="S53" s="135">
        <v>6148200</v>
      </c>
      <c r="T53" s="135">
        <v>1351600</v>
      </c>
      <c r="U53" s="135">
        <v>592000</v>
      </c>
      <c r="V53" s="135">
        <v>12832300</v>
      </c>
      <c r="W53" s="135">
        <v>12701900</v>
      </c>
      <c r="X53" s="135">
        <v>14714500</v>
      </c>
      <c r="Y53" s="135">
        <v>6148200</v>
      </c>
      <c r="Z53" s="135">
        <v>2371600</v>
      </c>
      <c r="AA53" s="135">
        <v>592000</v>
      </c>
      <c r="AB53" s="135">
        <v>-3207800</v>
      </c>
      <c r="AC53" s="135"/>
      <c r="AD53" s="135">
        <v>41669</v>
      </c>
      <c r="AE53" s="135">
        <v>35898</v>
      </c>
      <c r="AF53" s="135">
        <v>273180300</v>
      </c>
      <c r="AG53" s="135">
        <v>168104</v>
      </c>
      <c r="AH53" s="135">
        <v>0</v>
      </c>
      <c r="AI53" s="135">
        <v>500423</v>
      </c>
      <c r="AJ53" s="169"/>
      <c r="AK53" s="160">
        <v>165748443</v>
      </c>
      <c r="AL53" s="161">
        <v>3657151</v>
      </c>
      <c r="AM53" s="135"/>
      <c r="AN53" s="135">
        <v>18632304</v>
      </c>
      <c r="AO53" s="135">
        <v>2248730</v>
      </c>
      <c r="AP53" s="135">
        <v>31651568</v>
      </c>
      <c r="AQ53" s="135">
        <v>25177746</v>
      </c>
      <c r="AR53" s="135">
        <v>51500907</v>
      </c>
      <c r="AS53" s="135">
        <v>5543795</v>
      </c>
      <c r="AT53" s="135">
        <v>1372469</v>
      </c>
      <c r="AU53" s="135"/>
      <c r="AV53" s="135">
        <v>46475</v>
      </c>
      <c r="AW53" s="135"/>
      <c r="AX53" s="135"/>
      <c r="AY53" s="135">
        <v>172000</v>
      </c>
      <c r="AZ53" s="160">
        <v>10258811.27</v>
      </c>
      <c r="BA53" s="160">
        <v>5539758</v>
      </c>
      <c r="BB53" s="162">
        <v>5304560.8672538856</v>
      </c>
      <c r="BC53" s="162">
        <v>1469777</v>
      </c>
      <c r="BD53" s="162">
        <v>2193697</v>
      </c>
      <c r="BE53" s="117">
        <v>10950490</v>
      </c>
      <c r="BF53" s="117">
        <v>10950490</v>
      </c>
      <c r="BG53" s="117">
        <v>56854155</v>
      </c>
      <c r="BH53" s="117">
        <v>54826406</v>
      </c>
      <c r="BI53" s="117">
        <v>20087373</v>
      </c>
      <c r="BJ53" s="117">
        <v>0</v>
      </c>
      <c r="BK53" s="138"/>
      <c r="BL53" s="163">
        <v>1398951987</v>
      </c>
      <c r="BM53" s="163">
        <v>1136672589</v>
      </c>
      <c r="BN53" s="164">
        <v>441200</v>
      </c>
      <c r="BP53" s="166">
        <f t="shared" si="0"/>
        <v>1090113386</v>
      </c>
      <c r="BQ53" s="167">
        <f>AK53</f>
        <v>165748443</v>
      </c>
      <c r="BR53" s="167">
        <f>AL53</f>
        <v>3657151</v>
      </c>
      <c r="BS53" s="166">
        <f>AN53+AO53+AQ53+AS53</f>
        <v>51602575</v>
      </c>
      <c r="BT53" s="166">
        <f t="shared" si="1"/>
        <v>1311121555</v>
      </c>
    </row>
    <row r="54" spans="1:72" x14ac:dyDescent="0.25">
      <c r="A54" s="168" t="s">
        <v>108</v>
      </c>
      <c r="B54" s="135">
        <v>87064683</v>
      </c>
      <c r="C54" s="135">
        <v>138130290</v>
      </c>
      <c r="D54" s="135">
        <v>25534677</v>
      </c>
      <c r="E54" s="135">
        <v>0</v>
      </c>
      <c r="F54" s="135">
        <v>18147350</v>
      </c>
      <c r="G54" s="135">
        <v>3137140</v>
      </c>
      <c r="H54" s="135">
        <v>6366250</v>
      </c>
      <c r="I54" s="135">
        <v>324450</v>
      </c>
      <c r="J54" s="135"/>
      <c r="K54" s="135"/>
      <c r="L54" s="135">
        <v>567273201</v>
      </c>
      <c r="M54" s="135">
        <v>34225390</v>
      </c>
      <c r="N54" s="135">
        <v>612</v>
      </c>
      <c r="O54" s="135">
        <v>98</v>
      </c>
      <c r="P54" s="135">
        <v>1490900</v>
      </c>
      <c r="Q54" s="135">
        <v>1266650</v>
      </c>
      <c r="R54" s="135">
        <v>50000</v>
      </c>
      <c r="S54" s="135">
        <v>275950</v>
      </c>
      <c r="T54" s="135">
        <v>797383</v>
      </c>
      <c r="U54" s="135">
        <v>75500</v>
      </c>
      <c r="V54" s="135">
        <v>1490900</v>
      </c>
      <c r="W54" s="135">
        <v>1952000</v>
      </c>
      <c r="X54" s="135">
        <v>50000</v>
      </c>
      <c r="Y54" s="135">
        <v>275950</v>
      </c>
      <c r="Z54" s="135">
        <v>12768500</v>
      </c>
      <c r="AA54" s="135">
        <v>75500</v>
      </c>
      <c r="AB54" s="135">
        <v>-385800</v>
      </c>
      <c r="AC54" s="135"/>
      <c r="AD54" s="135">
        <v>15916</v>
      </c>
      <c r="AE54" s="135">
        <v>216</v>
      </c>
      <c r="AF54" s="135">
        <v>134497902</v>
      </c>
      <c r="AG54" s="135">
        <v>142631</v>
      </c>
      <c r="AH54" s="135">
        <v>0</v>
      </c>
      <c r="AI54" s="135">
        <v>11000</v>
      </c>
      <c r="AJ54" s="169"/>
      <c r="AK54" s="160">
        <v>50337993</v>
      </c>
      <c r="AL54" s="161">
        <v>1218345</v>
      </c>
      <c r="AM54" s="135"/>
      <c r="AN54" s="135">
        <v>12567040</v>
      </c>
      <c r="AO54" s="135">
        <v>26486</v>
      </c>
      <c r="AP54" s="135">
        <v>16944</v>
      </c>
      <c r="AQ54" s="135">
        <v>36147623</v>
      </c>
      <c r="AR54" s="135">
        <v>10304675</v>
      </c>
      <c r="AS54" s="135">
        <v>2448472</v>
      </c>
      <c r="AT54" s="135">
        <v>6272115</v>
      </c>
      <c r="AU54" s="135"/>
      <c r="AV54" s="135"/>
      <c r="AW54" s="135">
        <v>1444604</v>
      </c>
      <c r="AX54" s="135"/>
      <c r="AY54" s="135"/>
      <c r="AZ54" s="160">
        <v>3115612.8</v>
      </c>
      <c r="BA54" s="160">
        <v>1682431</v>
      </c>
      <c r="BB54" s="162">
        <v>10394796.042901553</v>
      </c>
      <c r="BC54" s="162">
        <v>2697530</v>
      </c>
      <c r="BD54" s="162">
        <v>4026164</v>
      </c>
      <c r="BE54" s="117">
        <v>34473783</v>
      </c>
      <c r="BF54" s="117">
        <v>34473783</v>
      </c>
      <c r="BG54" s="117">
        <v>80778479</v>
      </c>
      <c r="BH54" s="117">
        <v>54132216</v>
      </c>
      <c r="BI54" s="117">
        <v>0</v>
      </c>
      <c r="BJ54" s="117">
        <v>0</v>
      </c>
      <c r="BK54" s="138"/>
      <c r="BL54" s="163">
        <v>444024097</v>
      </c>
      <c r="BM54" s="163">
        <v>299481799</v>
      </c>
      <c r="BN54" s="164">
        <v>316000</v>
      </c>
      <c r="BP54" s="166">
        <f t="shared" si="0"/>
        <v>250729650</v>
      </c>
      <c r="BQ54" s="167">
        <f>AK54</f>
        <v>50337993</v>
      </c>
      <c r="BR54" s="167">
        <f>AL54</f>
        <v>1218345</v>
      </c>
      <c r="BS54" s="166">
        <f>AN54+AO54+AQ54+AS54</f>
        <v>51189621</v>
      </c>
      <c r="BT54" s="166">
        <f t="shared" si="1"/>
        <v>353475609</v>
      </c>
    </row>
    <row r="55" spans="1:72" x14ac:dyDescent="0.25">
      <c r="A55" s="168" t="s">
        <v>109</v>
      </c>
      <c r="B55" s="135">
        <v>1465081195</v>
      </c>
      <c r="C55" s="135">
        <v>336377136</v>
      </c>
      <c r="D55" s="135">
        <v>570298999</v>
      </c>
      <c r="E55" s="135">
        <v>15300000</v>
      </c>
      <c r="F55" s="135">
        <v>157488910</v>
      </c>
      <c r="G55" s="135">
        <v>45258710</v>
      </c>
      <c r="H55" s="135">
        <v>21850150</v>
      </c>
      <c r="I55" s="135">
        <v>4610640</v>
      </c>
      <c r="J55" s="135">
        <v>139050</v>
      </c>
      <c r="K55" s="135">
        <v>35500</v>
      </c>
      <c r="L55" s="135">
        <v>499171110</v>
      </c>
      <c r="M55" s="135">
        <v>207357055</v>
      </c>
      <c r="N55" s="135">
        <v>4107</v>
      </c>
      <c r="O55" s="135">
        <v>1253</v>
      </c>
      <c r="P55" s="135">
        <v>55273752</v>
      </c>
      <c r="Q55" s="135">
        <v>19272940</v>
      </c>
      <c r="R55" s="135">
        <v>95787127</v>
      </c>
      <c r="S55" s="135">
        <v>7141523</v>
      </c>
      <c r="T55" s="135">
        <v>4514512</v>
      </c>
      <c r="U55" s="135">
        <v>2801650</v>
      </c>
      <c r="V55" s="135">
        <v>55273752</v>
      </c>
      <c r="W55" s="135">
        <v>27619320</v>
      </c>
      <c r="X55" s="135">
        <v>95787127</v>
      </c>
      <c r="Y55" s="135">
        <v>7141523</v>
      </c>
      <c r="Z55" s="135">
        <v>8606702</v>
      </c>
      <c r="AA55" s="135">
        <v>2801650</v>
      </c>
      <c r="AB55" s="135">
        <v>2488850</v>
      </c>
      <c r="AC55" s="135"/>
      <c r="AD55" s="135">
        <v>84201</v>
      </c>
      <c r="AE55" s="135">
        <v>36895</v>
      </c>
      <c r="AF55" s="135">
        <v>17883424</v>
      </c>
      <c r="AG55" s="135">
        <v>321592</v>
      </c>
      <c r="AH55" s="135">
        <v>5573053</v>
      </c>
      <c r="AI55" s="135">
        <v>416764</v>
      </c>
      <c r="AJ55" s="169">
        <v>19500320</v>
      </c>
      <c r="AK55" s="160">
        <v>442638819</v>
      </c>
      <c r="AL55" s="161">
        <v>12782272</v>
      </c>
      <c r="AM55" s="135">
        <v>0</v>
      </c>
      <c r="AN55" s="135">
        <v>197773961</v>
      </c>
      <c r="AO55" s="135">
        <v>15488569</v>
      </c>
      <c r="AP55" s="135">
        <v>234924483</v>
      </c>
      <c r="AQ55" s="135">
        <v>167565421</v>
      </c>
      <c r="AR55" s="135">
        <v>134030084</v>
      </c>
      <c r="AS55" s="135">
        <v>477850699</v>
      </c>
      <c r="AT55" s="135">
        <v>8752481</v>
      </c>
      <c r="AU55" s="135">
        <v>0</v>
      </c>
      <c r="AV55" s="135">
        <v>1423424</v>
      </c>
      <c r="AW55" s="135">
        <v>6025118</v>
      </c>
      <c r="AX55" s="135">
        <v>4772741</v>
      </c>
      <c r="AY55" s="135">
        <v>3532000</v>
      </c>
      <c r="AZ55" s="160">
        <v>27396626.02</v>
      </c>
      <c r="BA55" s="160">
        <v>14794178</v>
      </c>
      <c r="BB55" s="162">
        <v>1178791.3038341969</v>
      </c>
      <c r="BC55" s="162">
        <v>15053453</v>
      </c>
      <c r="BD55" s="162">
        <v>22467840</v>
      </c>
      <c r="BE55" s="117">
        <v>109954452</v>
      </c>
      <c r="BF55" s="117">
        <v>104845328</v>
      </c>
      <c r="BG55" s="117">
        <v>270856328</v>
      </c>
      <c r="BH55" s="117">
        <v>258045575</v>
      </c>
      <c r="BI55" s="117">
        <v>0</v>
      </c>
      <c r="BJ55" s="117">
        <v>0</v>
      </c>
      <c r="BK55" s="138"/>
      <c r="BL55" s="163">
        <v>3626235043</v>
      </c>
      <c r="BM55" s="163">
        <v>2778075418</v>
      </c>
      <c r="BN55" s="164">
        <v>5761116</v>
      </c>
      <c r="BP55" s="166">
        <f t="shared" si="0"/>
        <v>2371757330</v>
      </c>
      <c r="BQ55" s="167">
        <f>AK55</f>
        <v>442638819</v>
      </c>
      <c r="BR55" s="167">
        <f>AL55</f>
        <v>12782272</v>
      </c>
      <c r="BS55" s="166">
        <f>AN55+AO55+AQ55+AS55</f>
        <v>858678650</v>
      </c>
      <c r="BT55" s="166">
        <f t="shared" si="1"/>
        <v>3685857071</v>
      </c>
    </row>
    <row r="56" spans="1:72" x14ac:dyDescent="0.25">
      <c r="A56" s="168" t="s">
        <v>110</v>
      </c>
      <c r="B56" s="135">
        <v>171214660</v>
      </c>
      <c r="C56" s="135">
        <v>87702702</v>
      </c>
      <c r="D56" s="135">
        <v>42872750</v>
      </c>
      <c r="E56" s="135">
        <v>0</v>
      </c>
      <c r="F56" s="171">
        <v>28961700</v>
      </c>
      <c r="G56" s="171">
        <v>21774575</v>
      </c>
      <c r="H56" s="171">
        <v>14518050</v>
      </c>
      <c r="I56" s="171">
        <v>6434225</v>
      </c>
      <c r="J56" s="171">
        <v>122700</v>
      </c>
      <c r="K56" s="171">
        <v>46350</v>
      </c>
      <c r="L56" s="171">
        <v>145978213</v>
      </c>
      <c r="M56" s="171">
        <v>79458810</v>
      </c>
      <c r="N56" s="135">
        <v>1180</v>
      </c>
      <c r="O56" s="135">
        <v>841</v>
      </c>
      <c r="P56" s="171">
        <v>3238850</v>
      </c>
      <c r="Q56" s="171">
        <v>1208020</v>
      </c>
      <c r="R56" s="171">
        <v>0</v>
      </c>
      <c r="S56" s="171">
        <v>333800</v>
      </c>
      <c r="T56" s="171">
        <v>293500</v>
      </c>
      <c r="U56" s="171">
        <v>247000</v>
      </c>
      <c r="V56" s="171">
        <v>3238850</v>
      </c>
      <c r="W56" s="171">
        <v>2110500</v>
      </c>
      <c r="X56" s="171">
        <v>0</v>
      </c>
      <c r="Y56" s="171">
        <v>333800</v>
      </c>
      <c r="Z56" s="171">
        <v>313000</v>
      </c>
      <c r="AA56" s="171">
        <v>247000</v>
      </c>
      <c r="AB56" s="171">
        <v>-2606325</v>
      </c>
      <c r="AC56" s="171">
        <v>-2411</v>
      </c>
      <c r="AD56" s="171">
        <v>74050</v>
      </c>
      <c r="AE56" s="171">
        <v>3049</v>
      </c>
      <c r="AF56" s="171">
        <v>4717551</v>
      </c>
      <c r="AG56" s="171">
        <v>140384</v>
      </c>
      <c r="AH56" s="135">
        <v>0</v>
      </c>
      <c r="AI56" s="171">
        <v>369636</v>
      </c>
      <c r="AJ56" s="169"/>
      <c r="AK56" s="160">
        <v>99386343</v>
      </c>
      <c r="AL56" s="161">
        <v>2686615</v>
      </c>
      <c r="AN56" s="171">
        <v>10313746</v>
      </c>
      <c r="AO56" s="171">
        <v>95097</v>
      </c>
      <c r="AP56" s="171">
        <v>10077336</v>
      </c>
      <c r="AQ56" s="171">
        <v>6654941</v>
      </c>
      <c r="AR56" s="171">
        <v>333350</v>
      </c>
      <c r="AT56" s="171">
        <v>530760</v>
      </c>
      <c r="AZ56" s="160">
        <v>6151404.6100000003</v>
      </c>
      <c r="BA56" s="160">
        <v>3321758</v>
      </c>
      <c r="BB56" s="162">
        <v>0</v>
      </c>
      <c r="BC56" s="162">
        <v>0</v>
      </c>
      <c r="BD56" s="162">
        <v>0</v>
      </c>
      <c r="BE56" s="117">
        <v>5196730</v>
      </c>
      <c r="BF56" s="117">
        <v>5196730</v>
      </c>
      <c r="BG56" s="117">
        <v>51082335</v>
      </c>
      <c r="BH56" s="117">
        <v>51082335</v>
      </c>
      <c r="BI56" s="117">
        <v>0</v>
      </c>
      <c r="BJ56" s="117">
        <v>0</v>
      </c>
      <c r="BK56" s="172"/>
      <c r="BL56" s="163">
        <v>480897313</v>
      </c>
      <c r="BM56" s="163">
        <v>319223532</v>
      </c>
      <c r="BN56" s="164"/>
      <c r="BP56" s="166">
        <f t="shared" si="0"/>
        <v>301790112</v>
      </c>
      <c r="BQ56" s="167">
        <f>AK56</f>
        <v>99386343</v>
      </c>
      <c r="BR56" s="167">
        <f>AL56</f>
        <v>2686615</v>
      </c>
      <c r="BS56" s="166">
        <f>AN56+AO56+AQ56+AS56</f>
        <v>17063784</v>
      </c>
      <c r="BT56" s="166">
        <f t="shared" si="1"/>
        <v>420926854</v>
      </c>
    </row>
    <row r="57" spans="1:72" x14ac:dyDescent="0.25">
      <c r="A57" s="168" t="s">
        <v>111</v>
      </c>
      <c r="B57" s="135">
        <v>54974840139</v>
      </c>
      <c r="C57" s="135">
        <v>180869056</v>
      </c>
      <c r="D57" s="135">
        <v>28541075793</v>
      </c>
      <c r="E57" s="135">
        <v>349003800</v>
      </c>
      <c r="F57" s="135">
        <v>2899535567</v>
      </c>
      <c r="G57" s="135">
        <v>179809700</v>
      </c>
      <c r="H57" s="135">
        <v>8852850</v>
      </c>
      <c r="I57" s="135">
        <v>185400</v>
      </c>
      <c r="J57" s="135">
        <v>4944630</v>
      </c>
      <c r="K57" s="135">
        <v>324150</v>
      </c>
      <c r="L57" s="135">
        <v>388423678</v>
      </c>
      <c r="M57" s="135">
        <v>578330984</v>
      </c>
      <c r="N57" s="135">
        <v>63256</v>
      </c>
      <c r="O57" s="135">
        <v>4019</v>
      </c>
      <c r="P57" s="135">
        <v>536293554</v>
      </c>
      <c r="Q57" s="135">
        <v>6557360</v>
      </c>
      <c r="R57" s="135">
        <v>967105255</v>
      </c>
      <c r="S57" s="135">
        <v>103135142</v>
      </c>
      <c r="T57" s="135">
        <v>6181624</v>
      </c>
      <c r="U57" s="135">
        <v>300376988</v>
      </c>
      <c r="V57" s="135">
        <v>536293554</v>
      </c>
      <c r="W57" s="135">
        <v>16466690</v>
      </c>
      <c r="X57" s="135">
        <v>967105255</v>
      </c>
      <c r="Y57" s="135">
        <v>103135142</v>
      </c>
      <c r="Z57" s="135">
        <v>28131616</v>
      </c>
      <c r="AA57" s="135">
        <v>300376988</v>
      </c>
      <c r="AB57" s="135">
        <v>144733037</v>
      </c>
      <c r="AC57" s="135">
        <v>-143076880</v>
      </c>
      <c r="AD57" s="135"/>
      <c r="AE57" s="135"/>
      <c r="AF57" s="135"/>
      <c r="AG57" s="135"/>
      <c r="AH57" s="135">
        <v>0</v>
      </c>
      <c r="AI57" s="135">
        <v>647160</v>
      </c>
      <c r="AJ57" s="169"/>
      <c r="AK57" s="160">
        <v>7501641804</v>
      </c>
      <c r="AL57" s="161">
        <v>120993605</v>
      </c>
      <c r="AM57" s="135">
        <v>3333593</v>
      </c>
      <c r="AN57" s="135">
        <v>2939149291</v>
      </c>
      <c r="AO57" s="135">
        <v>193061602</v>
      </c>
      <c r="AP57" s="135">
        <v>3999519854</v>
      </c>
      <c r="AQ57" s="135">
        <v>2920825475</v>
      </c>
      <c r="AR57" s="135">
        <v>1949186813</v>
      </c>
      <c r="AS57" s="135">
        <v>6076682055</v>
      </c>
      <c r="AT57" s="135">
        <f>8237224+2127051444</f>
        <v>2135288668</v>
      </c>
      <c r="AU57" s="135"/>
      <c r="AV57" s="135">
        <v>58497</v>
      </c>
      <c r="AW57" s="135">
        <v>57162928</v>
      </c>
      <c r="AX57" s="135">
        <v>14553801</v>
      </c>
      <c r="AY57" s="135">
        <v>171627198</v>
      </c>
      <c r="AZ57" s="160">
        <v>464305583.24000001</v>
      </c>
      <c r="BA57" s="160">
        <v>250725015</v>
      </c>
      <c r="BB57" s="162">
        <v>40078904.330362692</v>
      </c>
      <c r="BC57" s="162">
        <v>30869230</v>
      </c>
      <c r="BD57" s="162">
        <v>46073478</v>
      </c>
      <c r="BE57" s="117">
        <v>1271602919</v>
      </c>
      <c r="BF57" s="117">
        <v>1266994448</v>
      </c>
      <c r="BG57" s="117">
        <v>2372379904</v>
      </c>
      <c r="BH57" s="117">
        <v>2216423443</v>
      </c>
      <c r="BI57" s="117">
        <v>323203025</v>
      </c>
      <c r="BJ57" s="117">
        <v>0</v>
      </c>
      <c r="BK57" s="138"/>
      <c r="BL57" s="163">
        <v>101461319086</v>
      </c>
      <c r="BM57" s="163">
        <v>89750468516</v>
      </c>
      <c r="BN57" s="164">
        <v>113868900</v>
      </c>
      <c r="BP57" s="166">
        <f t="shared" si="0"/>
        <v>83696784988</v>
      </c>
      <c r="BQ57" s="167">
        <f>AK57</f>
        <v>7501641804</v>
      </c>
      <c r="BR57" s="167">
        <f>AL57</f>
        <v>120993605</v>
      </c>
      <c r="BS57" s="166">
        <f>AN57+AO57+AQ57+AS57</f>
        <v>12129718423</v>
      </c>
      <c r="BT57" s="166">
        <f t="shared" si="1"/>
        <v>103449138820</v>
      </c>
    </row>
    <row r="58" spans="1:72" x14ac:dyDescent="0.25">
      <c r="A58" s="168" t="s">
        <v>112</v>
      </c>
      <c r="B58" s="135">
        <v>4068308112</v>
      </c>
      <c r="C58" s="135">
        <v>344492515</v>
      </c>
      <c r="D58" s="135">
        <v>898583865</v>
      </c>
      <c r="E58" s="135">
        <v>0</v>
      </c>
      <c r="F58" s="135">
        <v>173762479</v>
      </c>
      <c r="G58" s="135">
        <v>19668000</v>
      </c>
      <c r="H58" s="135">
        <v>15244390</v>
      </c>
      <c r="I58" s="135">
        <v>1302895</v>
      </c>
      <c r="J58" s="135">
        <v>139050</v>
      </c>
      <c r="K58" s="135">
        <v>0</v>
      </c>
      <c r="L58" s="135">
        <v>592095366</v>
      </c>
      <c r="M58" s="135">
        <v>276830151</v>
      </c>
      <c r="N58" s="135">
        <v>4126</v>
      </c>
      <c r="O58" s="135">
        <v>463</v>
      </c>
      <c r="P58" s="135">
        <v>113867120</v>
      </c>
      <c r="Q58" s="135">
        <v>367204</v>
      </c>
      <c r="R58" s="135">
        <v>26007750</v>
      </c>
      <c r="S58" s="135">
        <v>4837509</v>
      </c>
      <c r="T58" s="135">
        <v>1100713</v>
      </c>
      <c r="U58" s="135">
        <v>16390386</v>
      </c>
      <c r="V58" s="135">
        <v>113867120</v>
      </c>
      <c r="W58" s="135">
        <v>3889621</v>
      </c>
      <c r="X58" s="135">
        <v>26007750</v>
      </c>
      <c r="Y58" s="135">
        <v>4837509</v>
      </c>
      <c r="Z58" s="135">
        <v>9095426</v>
      </c>
      <c r="AA58" s="135">
        <v>16390386</v>
      </c>
      <c r="AB58" s="135">
        <v>-5279981</v>
      </c>
      <c r="AC58" s="135">
        <v>-10450813</v>
      </c>
      <c r="AD58" s="135">
        <v>0</v>
      </c>
      <c r="AE58" s="135">
        <v>0</v>
      </c>
      <c r="AF58" s="135">
        <v>0</v>
      </c>
      <c r="AG58" s="135">
        <v>81889.455499999996</v>
      </c>
      <c r="AH58" s="135">
        <v>0</v>
      </c>
      <c r="AI58" s="135">
        <v>673946</v>
      </c>
      <c r="AJ58" s="169"/>
      <c r="AK58" s="160">
        <v>614885517</v>
      </c>
      <c r="AL58" s="161">
        <v>19276506</v>
      </c>
      <c r="AM58" s="135"/>
      <c r="AN58" s="135">
        <v>133868698</v>
      </c>
      <c r="AO58" s="135">
        <v>5062662</v>
      </c>
      <c r="AP58" s="135">
        <v>119610630</v>
      </c>
      <c r="AQ58" s="135">
        <v>125375691</v>
      </c>
      <c r="AR58" s="135">
        <v>95537007</v>
      </c>
      <c r="AS58" s="135">
        <v>71510294</v>
      </c>
      <c r="AT58" s="135">
        <v>13749607</v>
      </c>
      <c r="AU58" s="135"/>
      <c r="AV58" s="135"/>
      <c r="AW58" s="135">
        <v>87292</v>
      </c>
      <c r="AX58" s="135">
        <v>53398</v>
      </c>
      <c r="AY58" s="135">
        <v>5574500</v>
      </c>
      <c r="AZ58" s="160">
        <v>38057639.390000001</v>
      </c>
      <c r="BA58" s="160">
        <v>20551125</v>
      </c>
      <c r="BB58" s="162">
        <v>0</v>
      </c>
      <c r="BC58" s="162">
        <v>2357522</v>
      </c>
      <c r="BD58" s="162">
        <v>3518689</v>
      </c>
      <c r="BE58" s="117">
        <v>52186767</v>
      </c>
      <c r="BF58" s="117">
        <v>52186767</v>
      </c>
      <c r="BG58" s="117">
        <v>79992451</v>
      </c>
      <c r="BH58" s="117">
        <v>77098859</v>
      </c>
      <c r="BI58" s="117">
        <v>39665126</v>
      </c>
      <c r="BJ58" s="117">
        <v>0</v>
      </c>
      <c r="BK58" s="138"/>
      <c r="BL58" s="163">
        <v>6402386911</v>
      </c>
      <c r="BM58" s="163">
        <v>5576365489</v>
      </c>
      <c r="BN58" s="164">
        <v>2054850</v>
      </c>
      <c r="BP58" s="166">
        <f t="shared" si="0"/>
        <v>5311384492</v>
      </c>
      <c r="BQ58" s="167">
        <f>AK58</f>
        <v>614885517</v>
      </c>
      <c r="BR58" s="167">
        <f>AL58</f>
        <v>19276506</v>
      </c>
      <c r="BS58" s="166">
        <f>AN58+AO58+AQ58+AS58</f>
        <v>335817345</v>
      </c>
      <c r="BT58" s="166">
        <f t="shared" si="1"/>
        <v>6281363860</v>
      </c>
    </row>
    <row r="59" spans="1:72" x14ac:dyDescent="0.25">
      <c r="A59" s="168" t="s">
        <v>113</v>
      </c>
      <c r="B59" s="135">
        <v>460127437</v>
      </c>
      <c r="C59" s="135">
        <v>103250368</v>
      </c>
      <c r="D59" s="135">
        <v>198795109</v>
      </c>
      <c r="E59" s="135">
        <v>0</v>
      </c>
      <c r="F59" s="171">
        <v>74806680</v>
      </c>
      <c r="G59" s="171">
        <v>32011250</v>
      </c>
      <c r="H59" s="171">
        <v>22226087</v>
      </c>
      <c r="I59" s="171">
        <v>7472225</v>
      </c>
      <c r="J59" s="171">
        <v>46350</v>
      </c>
      <c r="K59" s="171">
        <v>46350</v>
      </c>
      <c r="L59" s="171">
        <v>117179396</v>
      </c>
      <c r="M59" s="171">
        <v>103257365</v>
      </c>
      <c r="N59" s="171">
        <v>2412</v>
      </c>
      <c r="O59" s="171">
        <v>1121</v>
      </c>
      <c r="P59" s="171">
        <v>26000</v>
      </c>
      <c r="Q59" s="171">
        <v>100000</v>
      </c>
      <c r="R59" s="171">
        <v>0</v>
      </c>
      <c r="S59" s="171">
        <v>533565</v>
      </c>
      <c r="T59" s="171">
        <v>11385</v>
      </c>
      <c r="U59" s="171">
        <v>80000</v>
      </c>
      <c r="V59" s="171">
        <v>26000</v>
      </c>
      <c r="W59" s="171">
        <v>0</v>
      </c>
      <c r="X59" s="171">
        <v>0</v>
      </c>
      <c r="Y59" s="171">
        <v>533565</v>
      </c>
      <c r="Z59" s="171">
        <v>90000</v>
      </c>
      <c r="AA59" s="171">
        <v>80000</v>
      </c>
      <c r="AB59" s="135">
        <v>-4705872</v>
      </c>
      <c r="AC59" s="135"/>
      <c r="AD59" s="171">
        <v>163147</v>
      </c>
      <c r="AE59" s="171">
        <v>2</v>
      </c>
      <c r="AF59" s="171">
        <v>0</v>
      </c>
      <c r="AG59" s="171">
        <v>170941</v>
      </c>
      <c r="AH59" s="135">
        <v>784585</v>
      </c>
      <c r="AI59" s="171">
        <v>1176705</v>
      </c>
      <c r="AJ59" s="169">
        <v>1660500</v>
      </c>
      <c r="AK59" s="160">
        <v>173106308</v>
      </c>
      <c r="AL59" s="161">
        <v>7280227</v>
      </c>
      <c r="AM59" s="171">
        <v>470000</v>
      </c>
      <c r="AN59" s="171">
        <v>30144084</v>
      </c>
      <c r="AO59" s="171">
        <v>338708</v>
      </c>
      <c r="AP59" s="171">
        <v>974679</v>
      </c>
      <c r="AQ59" s="171">
        <v>29200198</v>
      </c>
      <c r="AR59" s="171">
        <v>16641634</v>
      </c>
      <c r="AS59" s="171">
        <v>1110052</v>
      </c>
      <c r="AT59" s="171">
        <v>55962</v>
      </c>
      <c r="AX59" s="171">
        <v>19676</v>
      </c>
      <c r="AY59" s="171">
        <v>11000</v>
      </c>
      <c r="AZ59" s="160">
        <v>10714217.949999999</v>
      </c>
      <c r="BA59" s="160">
        <v>5785678</v>
      </c>
      <c r="BB59" s="162">
        <v>0</v>
      </c>
      <c r="BC59" s="162">
        <v>3982115</v>
      </c>
      <c r="BD59" s="162">
        <v>5943455</v>
      </c>
      <c r="BE59" s="117">
        <v>67576254</v>
      </c>
      <c r="BF59" s="117">
        <v>67576254</v>
      </c>
      <c r="BG59" s="117">
        <v>92115627</v>
      </c>
      <c r="BH59" s="117">
        <v>89834293</v>
      </c>
      <c r="BI59" s="117">
        <v>0</v>
      </c>
      <c r="BJ59" s="117">
        <v>0</v>
      </c>
      <c r="BK59" s="172"/>
      <c r="BL59" s="163">
        <v>1173042569</v>
      </c>
      <c r="BM59" s="163">
        <v>825477694</v>
      </c>
      <c r="BN59" s="164">
        <v>9396195</v>
      </c>
      <c r="BP59" s="166">
        <f t="shared" si="0"/>
        <v>762172914</v>
      </c>
      <c r="BQ59" s="167">
        <f>AK59</f>
        <v>173106308</v>
      </c>
      <c r="BR59" s="167">
        <f>AL59</f>
        <v>7280227</v>
      </c>
      <c r="BS59" s="166">
        <f>AN59+AO59+AQ59+AS59</f>
        <v>60793042</v>
      </c>
      <c r="BT59" s="166">
        <f t="shared" si="1"/>
        <v>1003352491</v>
      </c>
    </row>
    <row r="60" spans="1:72" x14ac:dyDescent="0.25">
      <c r="A60" s="168" t="s">
        <v>114</v>
      </c>
      <c r="B60" s="135">
        <v>11334915195</v>
      </c>
      <c r="C60" s="135">
        <v>165225250</v>
      </c>
      <c r="D60" s="135">
        <v>3189733002</v>
      </c>
      <c r="E60" s="135">
        <v>13502800</v>
      </c>
      <c r="F60" s="135">
        <v>596714850</v>
      </c>
      <c r="G60" s="135">
        <v>35318700</v>
      </c>
      <c r="H60" s="135">
        <v>8991000</v>
      </c>
      <c r="I60" s="135">
        <v>278100</v>
      </c>
      <c r="J60" s="135">
        <v>1390500</v>
      </c>
      <c r="K60" s="135">
        <v>0</v>
      </c>
      <c r="L60" s="135">
        <v>214988250</v>
      </c>
      <c r="M60" s="135">
        <v>380213500</v>
      </c>
      <c r="N60" s="135">
        <v>13141</v>
      </c>
      <c r="O60" s="135">
        <v>768</v>
      </c>
      <c r="P60" s="135">
        <v>302013600</v>
      </c>
      <c r="Q60" s="135">
        <v>15446300</v>
      </c>
      <c r="R60" s="135">
        <v>110041100</v>
      </c>
      <c r="S60" s="135">
        <v>33185400</v>
      </c>
      <c r="T60" s="135">
        <v>13944900</v>
      </c>
      <c r="U60" s="135">
        <v>43089230</v>
      </c>
      <c r="V60" s="135">
        <v>302013600</v>
      </c>
      <c r="W60" s="135">
        <v>15446300</v>
      </c>
      <c r="X60" s="135">
        <v>110041100</v>
      </c>
      <c r="Y60" s="135">
        <v>33185400</v>
      </c>
      <c r="Z60" s="135">
        <v>13944900</v>
      </c>
      <c r="AA60" s="135">
        <v>43089230</v>
      </c>
      <c r="AB60" s="135">
        <v>-12090500</v>
      </c>
      <c r="AC60" s="135">
        <v>372263</v>
      </c>
      <c r="AD60" s="135">
        <v>65353.279999999999</v>
      </c>
      <c r="AE60" s="135"/>
      <c r="AF60" s="135"/>
      <c r="AG60" s="135">
        <v>39927.040000000001</v>
      </c>
      <c r="AH60" s="135">
        <v>0</v>
      </c>
      <c r="AI60" s="135">
        <v>0</v>
      </c>
      <c r="AJ60" s="169"/>
      <c r="AK60" s="160">
        <v>1593111514</v>
      </c>
      <c r="AL60" s="161">
        <v>31045663</v>
      </c>
      <c r="AM60" s="135"/>
      <c r="AN60" s="135">
        <v>329291546</v>
      </c>
      <c r="AO60" s="135">
        <v>14483181</v>
      </c>
      <c r="AP60" s="135">
        <v>386862587</v>
      </c>
      <c r="AQ60" s="135">
        <v>409888935</v>
      </c>
      <c r="AR60" s="135">
        <v>453958822</v>
      </c>
      <c r="AS60" s="135">
        <v>305765339</v>
      </c>
      <c r="AT60" s="135">
        <v>157565</v>
      </c>
      <c r="AU60" s="135"/>
      <c r="AV60" s="135"/>
      <c r="AW60" s="135">
        <v>172848</v>
      </c>
      <c r="AX60" s="135">
        <v>359631</v>
      </c>
      <c r="AY60" s="135"/>
      <c r="AZ60" s="160">
        <v>98603824.340000004</v>
      </c>
      <c r="BA60" s="160">
        <v>53246065</v>
      </c>
      <c r="BB60" s="162">
        <v>11466424.500932641</v>
      </c>
      <c r="BC60" s="162">
        <v>20010520</v>
      </c>
      <c r="BD60" s="162">
        <v>29866448</v>
      </c>
      <c r="BE60" s="117">
        <v>203942602</v>
      </c>
      <c r="BF60" s="117">
        <v>203942602</v>
      </c>
      <c r="BG60" s="117">
        <v>324943040</v>
      </c>
      <c r="BH60" s="117">
        <v>308244584</v>
      </c>
      <c r="BI60" s="117">
        <v>10842</v>
      </c>
      <c r="BJ60" s="117">
        <v>0</v>
      </c>
      <c r="BK60" s="138"/>
      <c r="BL60" s="163">
        <v>17653148899</v>
      </c>
      <c r="BM60" s="163">
        <v>15443537109</v>
      </c>
      <c r="BN60" s="164">
        <v>7967500</v>
      </c>
      <c r="BP60" s="166">
        <f t="shared" si="0"/>
        <v>14689873447</v>
      </c>
      <c r="BQ60" s="167">
        <f>AK60</f>
        <v>1593111514</v>
      </c>
      <c r="BR60" s="167">
        <f>AL60</f>
        <v>31045663</v>
      </c>
      <c r="BS60" s="166">
        <f>AN60+AO60+AQ60+AS60</f>
        <v>1059429001</v>
      </c>
      <c r="BT60" s="166">
        <f t="shared" si="1"/>
        <v>17373459625</v>
      </c>
    </row>
    <row r="61" spans="1:72" x14ac:dyDescent="0.25">
      <c r="A61" s="168" t="s">
        <v>115</v>
      </c>
      <c r="B61" s="135">
        <v>168614303</v>
      </c>
      <c r="C61" s="135">
        <v>51324167</v>
      </c>
      <c r="D61" s="135">
        <v>81025276</v>
      </c>
      <c r="E61" s="135">
        <v>0</v>
      </c>
      <c r="F61" s="135">
        <v>42847371</v>
      </c>
      <c r="G61" s="135">
        <v>38035327</v>
      </c>
      <c r="H61" s="135">
        <v>16461416</v>
      </c>
      <c r="I61" s="135">
        <v>10083240</v>
      </c>
      <c r="J61" s="135">
        <v>231750</v>
      </c>
      <c r="K61" s="135">
        <v>46350</v>
      </c>
      <c r="L61" s="135">
        <v>76878923</v>
      </c>
      <c r="M61" s="135">
        <v>64645900</v>
      </c>
      <c r="N61" s="135">
        <v>1441</v>
      </c>
      <c r="O61" s="135">
        <v>1220</v>
      </c>
      <c r="P61" s="135">
        <v>6640700</v>
      </c>
      <c r="Q61" s="135">
        <v>2103500</v>
      </c>
      <c r="R61" s="135">
        <v>6010502</v>
      </c>
      <c r="S61" s="135">
        <v>8378050</v>
      </c>
      <c r="T61" s="135">
        <v>1494000</v>
      </c>
      <c r="U61" s="135">
        <v>1646000</v>
      </c>
      <c r="V61" s="135">
        <v>6640700</v>
      </c>
      <c r="W61" s="135">
        <v>3467900</v>
      </c>
      <c r="X61" s="135">
        <v>6010502</v>
      </c>
      <c r="Y61" s="135">
        <v>8378050</v>
      </c>
      <c r="Z61" s="135">
        <v>1563600</v>
      </c>
      <c r="AA61" s="135">
        <v>1646000</v>
      </c>
      <c r="AB61" s="135">
        <v>-2230800</v>
      </c>
      <c r="AC61" s="135">
        <v>-8690</v>
      </c>
      <c r="AD61" s="135">
        <v>179770</v>
      </c>
      <c r="AE61" s="135">
        <v>0</v>
      </c>
      <c r="AF61" s="135">
        <v>0</v>
      </c>
      <c r="AG61" s="135">
        <v>3150</v>
      </c>
      <c r="AH61" s="135">
        <v>5182743</v>
      </c>
      <c r="AI61" s="135">
        <v>39015267</v>
      </c>
      <c r="AJ61" s="169">
        <v>15500300</v>
      </c>
      <c r="AK61" s="160">
        <v>126561049</v>
      </c>
      <c r="AL61" s="161">
        <v>2357656</v>
      </c>
      <c r="AM61" s="135">
        <v>75000</v>
      </c>
      <c r="AN61" s="135">
        <v>16870048</v>
      </c>
      <c r="AO61" s="135">
        <v>197085</v>
      </c>
      <c r="AP61" s="135">
        <v>32285573</v>
      </c>
      <c r="AQ61" s="135">
        <v>5955392</v>
      </c>
      <c r="AR61" s="135">
        <v>139348</v>
      </c>
      <c r="AS61" s="135"/>
      <c r="AT61" s="135"/>
      <c r="AU61" s="135"/>
      <c r="AV61" s="135"/>
      <c r="AW61" s="135"/>
      <c r="AX61" s="135"/>
      <c r="AY61" s="135"/>
      <c r="AZ61" s="160">
        <v>7833352.1100000003</v>
      </c>
      <c r="BA61" s="160">
        <v>4230010</v>
      </c>
      <c r="BB61" s="162">
        <v>0</v>
      </c>
      <c r="BC61" s="162">
        <v>1783329</v>
      </c>
      <c r="BD61" s="162">
        <v>2661685</v>
      </c>
      <c r="BE61" s="117">
        <v>11677965</v>
      </c>
      <c r="BF61" s="117">
        <v>11677965</v>
      </c>
      <c r="BG61" s="117">
        <v>106900572</v>
      </c>
      <c r="BH61" s="117">
        <v>105922621</v>
      </c>
      <c r="BI61" s="117">
        <v>0</v>
      </c>
      <c r="BJ61" s="117">
        <v>0</v>
      </c>
      <c r="BK61" s="138"/>
      <c r="BL61" s="163">
        <v>636217211</v>
      </c>
      <c r="BM61" s="163">
        <v>383684581</v>
      </c>
      <c r="BN61" s="164">
        <v>2264650</v>
      </c>
      <c r="BP61" s="166">
        <f t="shared" si="0"/>
        <v>300963746</v>
      </c>
      <c r="BQ61" s="167">
        <f>AK61</f>
        <v>126561049</v>
      </c>
      <c r="BR61" s="167">
        <f>AL61</f>
        <v>2357656</v>
      </c>
      <c r="BS61" s="166">
        <f>AN61+AO61+AQ61+AS61</f>
        <v>23022525</v>
      </c>
      <c r="BT61" s="166">
        <f t="shared" si="1"/>
        <v>452904976</v>
      </c>
    </row>
    <row r="62" spans="1:72" x14ac:dyDescent="0.25">
      <c r="A62" s="168" t="s">
        <v>116</v>
      </c>
      <c r="B62" s="135">
        <v>583391536</v>
      </c>
      <c r="C62" s="135">
        <v>104389530</v>
      </c>
      <c r="D62" s="135">
        <v>282867394</v>
      </c>
      <c r="E62" s="135">
        <v>0</v>
      </c>
      <c r="F62" s="135">
        <v>96844386</v>
      </c>
      <c r="G62" s="135">
        <v>26275943</v>
      </c>
      <c r="H62" s="135">
        <v>20233901</v>
      </c>
      <c r="I62" s="135">
        <v>3742573</v>
      </c>
      <c r="J62" s="135">
        <v>469300</v>
      </c>
      <c r="K62" s="135">
        <v>45000</v>
      </c>
      <c r="L62" s="135">
        <v>182424915</v>
      </c>
      <c r="M62" s="135">
        <v>93980711</v>
      </c>
      <c r="N62" s="135">
        <v>3159</v>
      </c>
      <c r="O62" s="135">
        <v>956</v>
      </c>
      <c r="P62" s="135">
        <v>10720291</v>
      </c>
      <c r="Q62" s="135">
        <v>3053350</v>
      </c>
      <c r="R62" s="135">
        <v>7720952</v>
      </c>
      <c r="S62" s="135">
        <v>3381123</v>
      </c>
      <c r="T62" s="135">
        <v>1046355</v>
      </c>
      <c r="U62" s="135">
        <v>452600</v>
      </c>
      <c r="V62" s="135">
        <v>10720291</v>
      </c>
      <c r="W62" s="135">
        <v>2911730</v>
      </c>
      <c r="X62" s="135">
        <v>7720952</v>
      </c>
      <c r="Y62" s="135">
        <v>3381123</v>
      </c>
      <c r="Z62" s="135">
        <v>777000</v>
      </c>
      <c r="AA62" s="135">
        <v>452600</v>
      </c>
      <c r="AB62" s="135">
        <f>-3641595+616000</f>
        <v>-3025595</v>
      </c>
      <c r="AC62" s="135">
        <f>-23164+1874</f>
        <v>-21290</v>
      </c>
      <c r="AD62" s="135">
        <v>27</v>
      </c>
      <c r="AE62" s="135"/>
      <c r="AF62" s="135"/>
      <c r="AG62" s="135"/>
      <c r="AH62" s="135">
        <v>11824474</v>
      </c>
      <c r="AI62" s="135">
        <v>6505100</v>
      </c>
      <c r="AJ62" s="169">
        <v>1565000</v>
      </c>
      <c r="AK62" s="160">
        <v>239562541</v>
      </c>
      <c r="AL62" s="161">
        <v>7652209</v>
      </c>
      <c r="AM62" s="135"/>
      <c r="AN62" s="135">
        <v>34130089</v>
      </c>
      <c r="AO62" s="135">
        <v>3676667</v>
      </c>
      <c r="AP62" s="135">
        <v>38111930</v>
      </c>
      <c r="AQ62" s="135">
        <v>36540158</v>
      </c>
      <c r="AR62" s="135">
        <v>65668982</v>
      </c>
      <c r="AS62" s="135">
        <v>30032742</v>
      </c>
      <c r="AT62" s="135">
        <v>250864</v>
      </c>
      <c r="AU62" s="135"/>
      <c r="AV62" s="135"/>
      <c r="AW62" s="135"/>
      <c r="AX62" s="135"/>
      <c r="AY62" s="135"/>
      <c r="AZ62" s="160">
        <v>14827450.869999999</v>
      </c>
      <c r="BA62" s="160">
        <v>8006823</v>
      </c>
      <c r="BB62" s="162">
        <v>0</v>
      </c>
      <c r="BC62" s="162">
        <v>4427947</v>
      </c>
      <c r="BD62" s="162">
        <v>6608877</v>
      </c>
      <c r="BE62" s="117">
        <v>29361085</v>
      </c>
      <c r="BF62" s="117">
        <v>29361085</v>
      </c>
      <c r="BG62" s="117">
        <v>75513673</v>
      </c>
      <c r="BH62" s="117">
        <v>71575011</v>
      </c>
      <c r="BI62" s="117">
        <v>0</v>
      </c>
      <c r="BJ62" s="117">
        <v>0</v>
      </c>
      <c r="BK62" s="138"/>
      <c r="BL62" s="163">
        <v>1425475564</v>
      </c>
      <c r="BM62" s="163">
        <v>1064889948</v>
      </c>
      <c r="BN62" s="164">
        <v>570090</v>
      </c>
      <c r="BP62" s="166">
        <f t="shared" si="0"/>
        <v>970648460</v>
      </c>
      <c r="BQ62" s="167">
        <f>AK62</f>
        <v>239562541</v>
      </c>
      <c r="BR62" s="167">
        <f>AL62</f>
        <v>7652209</v>
      </c>
      <c r="BS62" s="166">
        <f>AN62+AO62+AQ62+AS62</f>
        <v>104379656</v>
      </c>
      <c r="BT62" s="166">
        <f t="shared" si="1"/>
        <v>1322242866</v>
      </c>
    </row>
    <row r="63" spans="1:72" x14ac:dyDescent="0.25">
      <c r="A63" s="168" t="s">
        <v>117</v>
      </c>
      <c r="B63" s="135">
        <v>471581407</v>
      </c>
      <c r="C63" s="135">
        <v>182808811</v>
      </c>
      <c r="D63" s="135">
        <v>117896047</v>
      </c>
      <c r="E63" s="135">
        <v>0</v>
      </c>
      <c r="F63" s="135">
        <v>53393150</v>
      </c>
      <c r="G63" s="135">
        <v>10096400</v>
      </c>
      <c r="H63" s="135">
        <v>17817859</v>
      </c>
      <c r="I63" s="135">
        <v>1513550</v>
      </c>
      <c r="J63" s="135">
        <v>647300</v>
      </c>
      <c r="K63" s="135">
        <v>46350</v>
      </c>
      <c r="L63" s="135">
        <v>442708855</v>
      </c>
      <c r="M63" s="135">
        <v>136125826</v>
      </c>
      <c r="N63" s="135">
        <v>1589</v>
      </c>
      <c r="O63" s="135">
        <v>269</v>
      </c>
      <c r="P63" s="135">
        <v>23023196</v>
      </c>
      <c r="Q63" s="135">
        <v>7580269</v>
      </c>
      <c r="R63" s="135">
        <v>11588000</v>
      </c>
      <c r="S63" s="135">
        <v>4326881</v>
      </c>
      <c r="T63" s="135">
        <v>2661830</v>
      </c>
      <c r="U63" s="135">
        <v>8507627</v>
      </c>
      <c r="V63" s="135">
        <v>23023196</v>
      </c>
      <c r="W63" s="135">
        <v>15860993</v>
      </c>
      <c r="X63" s="135">
        <v>11588000</v>
      </c>
      <c r="Y63" s="135">
        <v>4326881</v>
      </c>
      <c r="Z63" s="135">
        <v>11702887</v>
      </c>
      <c r="AA63" s="135">
        <v>8507627</v>
      </c>
      <c r="AB63" s="135">
        <v>-3031700</v>
      </c>
      <c r="AC63" s="135"/>
      <c r="AD63" s="135">
        <v>55898</v>
      </c>
      <c r="AE63" s="135">
        <v>0</v>
      </c>
      <c r="AF63" s="135">
        <v>0</v>
      </c>
      <c r="AG63" s="135">
        <v>150220</v>
      </c>
      <c r="AH63" s="135">
        <v>0</v>
      </c>
      <c r="AI63" s="135">
        <v>0</v>
      </c>
      <c r="AJ63" s="169"/>
      <c r="AK63" s="160">
        <v>137258863</v>
      </c>
      <c r="AL63" s="161">
        <v>4106898</v>
      </c>
      <c r="AM63" s="135"/>
      <c r="AN63" s="135">
        <v>12401623</v>
      </c>
      <c r="AO63" s="135">
        <v>180556</v>
      </c>
      <c r="AP63" s="135">
        <v>13640711</v>
      </c>
      <c r="AQ63" s="135">
        <v>26500216</v>
      </c>
      <c r="AR63" s="135">
        <v>16027318</v>
      </c>
      <c r="AS63" s="135">
        <v>8905049</v>
      </c>
      <c r="AT63" s="135">
        <v>3775118</v>
      </c>
      <c r="AU63" s="135"/>
      <c r="AV63" s="135">
        <v>55097</v>
      </c>
      <c r="AW63" s="135"/>
      <c r="AX63" s="135">
        <v>9738</v>
      </c>
      <c r="AY63" s="135">
        <v>31250</v>
      </c>
      <c r="AZ63" s="160">
        <v>8495481.1400000006</v>
      </c>
      <c r="BA63" s="160">
        <v>4587560</v>
      </c>
      <c r="BB63" s="162">
        <v>0</v>
      </c>
      <c r="BC63" s="162">
        <v>119542</v>
      </c>
      <c r="BD63" s="162">
        <v>178421</v>
      </c>
      <c r="BE63" s="117">
        <v>25336883</v>
      </c>
      <c r="BF63" s="117">
        <v>25336883</v>
      </c>
      <c r="BG63" s="117">
        <v>81972861</v>
      </c>
      <c r="BH63" s="117">
        <v>81937406</v>
      </c>
      <c r="BI63" s="117">
        <v>0</v>
      </c>
      <c r="BJ63" s="117">
        <v>0</v>
      </c>
      <c r="BK63" s="138"/>
      <c r="BL63" s="163">
        <v>1064715812</v>
      </c>
      <c r="BM63" s="163">
        <v>811368660</v>
      </c>
      <c r="BN63" s="164">
        <v>2646195</v>
      </c>
      <c r="BP63" s="166">
        <f t="shared" si="0"/>
        <v>772286265</v>
      </c>
      <c r="BQ63" s="167">
        <f>AK63</f>
        <v>137258863</v>
      </c>
      <c r="BR63" s="167">
        <f>AL63</f>
        <v>4106898</v>
      </c>
      <c r="BS63" s="166">
        <f>AN63+AO63+AQ63+AS63</f>
        <v>47987444</v>
      </c>
      <c r="BT63" s="166">
        <f t="shared" si="1"/>
        <v>961639470</v>
      </c>
    </row>
    <row r="64" spans="1:72" x14ac:dyDescent="0.25">
      <c r="A64" s="168" t="s">
        <v>118</v>
      </c>
      <c r="B64" s="135">
        <v>2024252969</v>
      </c>
      <c r="C64" s="135">
        <v>266373172</v>
      </c>
      <c r="D64" s="135">
        <v>932362631</v>
      </c>
      <c r="E64" s="135">
        <v>48822394</v>
      </c>
      <c r="F64" s="135">
        <v>220212141</v>
      </c>
      <c r="G64" s="135">
        <v>53898915</v>
      </c>
      <c r="H64" s="135">
        <v>38448433</v>
      </c>
      <c r="I64" s="135">
        <v>4629981</v>
      </c>
      <c r="J64" s="135">
        <v>463500</v>
      </c>
      <c r="K64" s="135">
        <v>46500</v>
      </c>
      <c r="L64" s="135">
        <v>503962624</v>
      </c>
      <c r="M64" s="135">
        <v>241255400</v>
      </c>
      <c r="N64" s="135">
        <v>5831</v>
      </c>
      <c r="O64" s="135">
        <v>1430</v>
      </c>
      <c r="P64" s="135">
        <v>20976886</v>
      </c>
      <c r="Q64" s="135">
        <v>4670700</v>
      </c>
      <c r="R64" s="135">
        <v>9756090</v>
      </c>
      <c r="S64" s="135">
        <v>9333913</v>
      </c>
      <c r="T64" s="135">
        <v>951800</v>
      </c>
      <c r="U64" s="135">
        <v>12215000</v>
      </c>
      <c r="V64" s="135">
        <v>20976886</v>
      </c>
      <c r="W64" s="135">
        <v>4139600</v>
      </c>
      <c r="X64" s="135">
        <v>9756090</v>
      </c>
      <c r="Y64" s="135">
        <v>9333913</v>
      </c>
      <c r="Z64" s="135">
        <v>2794600</v>
      </c>
      <c r="AA64" s="135">
        <v>12215000</v>
      </c>
      <c r="AB64" s="135">
        <v>-8705550</v>
      </c>
      <c r="AC64" s="135">
        <v>-2380836</v>
      </c>
      <c r="AD64" s="135">
        <v>79575</v>
      </c>
      <c r="AE64" s="135">
        <v>45000</v>
      </c>
      <c r="AF64" s="135"/>
      <c r="AG64" s="135">
        <v>167166</v>
      </c>
      <c r="AH64" s="135">
        <v>65000</v>
      </c>
      <c r="AI64" s="135">
        <v>48570</v>
      </c>
      <c r="AJ64" s="169">
        <v>2500</v>
      </c>
      <c r="AK64" s="160">
        <v>623740046</v>
      </c>
      <c r="AL64" s="161">
        <v>28057515</v>
      </c>
      <c r="AM64" s="135">
        <v>1363676</v>
      </c>
      <c r="AN64" s="135">
        <v>177971982</v>
      </c>
      <c r="AO64" s="135">
        <v>35688389</v>
      </c>
      <c r="AP64" s="135">
        <v>254592002</v>
      </c>
      <c r="AQ64" s="135">
        <v>177272873</v>
      </c>
      <c r="AR64" s="135">
        <v>116462590</v>
      </c>
      <c r="AS64" s="135">
        <v>36520111</v>
      </c>
      <c r="AT64" s="135">
        <v>3545465</v>
      </c>
      <c r="AU64" s="135"/>
      <c r="AV64" s="135">
        <v>48531</v>
      </c>
      <c r="AW64" s="135">
        <v>8911443</v>
      </c>
      <c r="AX64" s="135">
        <v>1714845</v>
      </c>
      <c r="AY64" s="135">
        <v>6860123</v>
      </c>
      <c r="AZ64" s="160">
        <v>38605680.380000003</v>
      </c>
      <c r="BA64" s="160">
        <v>20847067</v>
      </c>
      <c r="BB64" s="162">
        <v>0</v>
      </c>
      <c r="BC64" s="162">
        <v>3690119</v>
      </c>
      <c r="BD64" s="162">
        <v>5507641</v>
      </c>
      <c r="BE64" s="117">
        <v>41001248</v>
      </c>
      <c r="BF64" s="117">
        <v>41001248</v>
      </c>
      <c r="BG64" s="117">
        <v>143286442</v>
      </c>
      <c r="BH64" s="117">
        <v>136684662</v>
      </c>
      <c r="BI64" s="117">
        <v>0</v>
      </c>
      <c r="BJ64" s="117">
        <v>0</v>
      </c>
      <c r="BK64" s="138"/>
      <c r="BL64" s="163">
        <v>4468058743</v>
      </c>
      <c r="BM64" s="163">
        <v>3614038086</v>
      </c>
      <c r="BN64" s="164">
        <v>2888332</v>
      </c>
      <c r="BP64" s="166">
        <f t="shared" si="0"/>
        <v>3222988772</v>
      </c>
      <c r="BQ64" s="167">
        <f>AK64</f>
        <v>623740046</v>
      </c>
      <c r="BR64" s="167">
        <f>AL64</f>
        <v>28057515</v>
      </c>
      <c r="BS64" s="166">
        <f>AN64+AO64+AQ64+AS64</f>
        <v>427453355</v>
      </c>
      <c r="BT64" s="166">
        <f t="shared" si="1"/>
        <v>4302239688</v>
      </c>
    </row>
    <row r="65" spans="1:72" x14ac:dyDescent="0.25">
      <c r="A65" s="168" t="s">
        <v>119</v>
      </c>
      <c r="B65" s="135">
        <v>273327106</v>
      </c>
      <c r="C65" s="135">
        <v>112455949</v>
      </c>
      <c r="D65" s="135">
        <v>113021150</v>
      </c>
      <c r="E65" s="135">
        <v>0</v>
      </c>
      <c r="F65" s="135">
        <v>35449055</v>
      </c>
      <c r="G65" s="135">
        <v>22309242</v>
      </c>
      <c r="H65" s="135">
        <v>18363044</v>
      </c>
      <c r="I65" s="135">
        <v>7950407</v>
      </c>
      <c r="J65" s="135">
        <v>370800</v>
      </c>
      <c r="K65" s="135">
        <v>37500</v>
      </c>
      <c r="L65" s="135">
        <v>118943825</v>
      </c>
      <c r="M65" s="135">
        <v>89699100</v>
      </c>
      <c r="N65" s="135">
        <v>1384</v>
      </c>
      <c r="O65" s="135">
        <v>848</v>
      </c>
      <c r="P65" s="135">
        <v>4222500</v>
      </c>
      <c r="Q65" s="135">
        <v>1095500</v>
      </c>
      <c r="R65" s="135">
        <v>645000</v>
      </c>
      <c r="S65" s="135">
        <v>192100</v>
      </c>
      <c r="T65" s="135">
        <v>110000</v>
      </c>
      <c r="U65" s="135">
        <v>0</v>
      </c>
      <c r="V65" s="135">
        <v>4222500</v>
      </c>
      <c r="W65" s="135">
        <v>1095500</v>
      </c>
      <c r="X65" s="135">
        <v>645000</v>
      </c>
      <c r="Y65" s="135">
        <v>192100</v>
      </c>
      <c r="Z65" s="135">
        <v>110000</v>
      </c>
      <c r="AA65" s="135">
        <v>0</v>
      </c>
      <c r="AB65" s="135">
        <v>-3196908</v>
      </c>
      <c r="AC65" s="135"/>
      <c r="AD65" s="135">
        <v>192741</v>
      </c>
      <c r="AE65" s="135"/>
      <c r="AF65" s="135"/>
      <c r="AG65" s="135">
        <v>222915</v>
      </c>
      <c r="AH65" s="135">
        <v>60153313</v>
      </c>
      <c r="AI65" s="135">
        <v>5605509</v>
      </c>
      <c r="AJ65" s="169">
        <v>272202</v>
      </c>
      <c r="AK65" s="160">
        <v>145030284</v>
      </c>
      <c r="AL65" s="161">
        <v>5130789</v>
      </c>
      <c r="AM65" s="135">
        <v>61000</v>
      </c>
      <c r="AN65" s="135">
        <v>25077216</v>
      </c>
      <c r="AO65" s="135">
        <v>1321525</v>
      </c>
      <c r="AP65" s="135">
        <v>13528781</v>
      </c>
      <c r="AQ65" s="135">
        <v>24047628</v>
      </c>
      <c r="AR65" s="135">
        <v>2506986</v>
      </c>
      <c r="AS65" s="135">
        <v>30565</v>
      </c>
      <c r="AT65" s="135">
        <v>100567</v>
      </c>
      <c r="AU65" s="135"/>
      <c r="AV65" s="135"/>
      <c r="AW65" s="135"/>
      <c r="AX65" s="135"/>
      <c r="AY65" s="135"/>
      <c r="AZ65" s="160">
        <v>8976484.4000000004</v>
      </c>
      <c r="BA65" s="160">
        <v>4847302</v>
      </c>
      <c r="BB65" s="162">
        <v>0</v>
      </c>
      <c r="BC65" s="162">
        <v>4562187</v>
      </c>
      <c r="BD65" s="162">
        <v>6809234</v>
      </c>
      <c r="BE65" s="117">
        <v>97813779</v>
      </c>
      <c r="BF65" s="117">
        <v>97813779</v>
      </c>
      <c r="BG65" s="117">
        <v>112255046</v>
      </c>
      <c r="BH65" s="117">
        <v>107893246</v>
      </c>
      <c r="BI65" s="117">
        <v>0</v>
      </c>
      <c r="BJ65" s="117">
        <v>0</v>
      </c>
      <c r="BK65" s="138"/>
      <c r="BL65" s="163">
        <v>980559185</v>
      </c>
      <c r="BM65" s="163">
        <v>615281598</v>
      </c>
      <c r="BN65" s="164">
        <v>689500</v>
      </c>
      <c r="BP65" s="166">
        <f t="shared" si="0"/>
        <v>498804205</v>
      </c>
      <c r="BQ65" s="167">
        <f>AK65</f>
        <v>145030284</v>
      </c>
      <c r="BR65" s="167">
        <f>AL65</f>
        <v>5130789</v>
      </c>
      <c r="BS65" s="166">
        <f>AN65+AO65+AQ65+AS65</f>
        <v>50476934</v>
      </c>
      <c r="BT65" s="166">
        <f t="shared" si="1"/>
        <v>699442212</v>
      </c>
    </row>
    <row r="66" spans="1:72" x14ac:dyDescent="0.25">
      <c r="A66" s="168" t="s">
        <v>120</v>
      </c>
      <c r="B66" s="135">
        <v>118031293</v>
      </c>
      <c r="C66" s="135">
        <v>46046542</v>
      </c>
      <c r="D66" s="135">
        <v>58746092</v>
      </c>
      <c r="E66" s="135">
        <v>0</v>
      </c>
      <c r="F66" s="135">
        <v>20329515</v>
      </c>
      <c r="G66" s="135">
        <v>8311654</v>
      </c>
      <c r="H66" s="135">
        <v>8767203</v>
      </c>
      <c r="I66" s="135">
        <v>1916503</v>
      </c>
      <c r="J66" s="135">
        <v>0</v>
      </c>
      <c r="K66" s="135">
        <v>0</v>
      </c>
      <c r="L66" s="135">
        <v>105363458</v>
      </c>
      <c r="M66" s="135">
        <v>34889000</v>
      </c>
      <c r="N66" s="135">
        <v>772</v>
      </c>
      <c r="O66" s="135">
        <v>319</v>
      </c>
      <c r="P66" s="135">
        <v>2131050</v>
      </c>
      <c r="Q66" s="135">
        <v>1400025</v>
      </c>
      <c r="R66" s="135">
        <v>595000</v>
      </c>
      <c r="S66" s="135">
        <v>546000</v>
      </c>
      <c r="T66" s="135">
        <v>1651550</v>
      </c>
      <c r="U66" s="135">
        <v>1265925</v>
      </c>
      <c r="V66" s="135">
        <v>2131050</v>
      </c>
      <c r="W66" s="135">
        <v>3049325</v>
      </c>
      <c r="X66" s="135">
        <v>595000</v>
      </c>
      <c r="Y66" s="135">
        <v>546000</v>
      </c>
      <c r="Z66" s="135">
        <v>418765</v>
      </c>
      <c r="AA66" s="135">
        <v>1265925</v>
      </c>
      <c r="AB66" s="135">
        <v>-1636715</v>
      </c>
      <c r="AC66" s="135">
        <v>249161</v>
      </c>
      <c r="AD66" s="135">
        <v>97996</v>
      </c>
      <c r="AE66" s="135">
        <v>0</v>
      </c>
      <c r="AF66" s="135">
        <v>4</v>
      </c>
      <c r="AG66" s="135">
        <v>43027320</v>
      </c>
      <c r="AH66" s="135">
        <v>17109955</v>
      </c>
      <c r="AI66" s="135">
        <v>0</v>
      </c>
      <c r="AJ66" s="169"/>
      <c r="AK66" s="160">
        <v>47092728</v>
      </c>
      <c r="AL66" s="161">
        <v>940403</v>
      </c>
      <c r="AM66" s="135"/>
      <c r="AN66" s="135">
        <v>9689644</v>
      </c>
      <c r="AO66" s="135">
        <v>143574</v>
      </c>
      <c r="AP66" s="135">
        <v>1615975</v>
      </c>
      <c r="AQ66" s="135">
        <v>11534867</v>
      </c>
      <c r="AR66" s="135">
        <v>976316</v>
      </c>
      <c r="AS66" s="135"/>
      <c r="AT66" s="135">
        <v>18900</v>
      </c>
      <c r="AU66" s="135"/>
      <c r="AV66" s="135"/>
      <c r="AW66" s="135"/>
      <c r="AX66" s="135"/>
      <c r="AY66" s="135"/>
      <c r="AZ66" s="160">
        <v>2914750.81</v>
      </c>
      <c r="BA66" s="160">
        <v>1573965</v>
      </c>
      <c r="BB66" s="162">
        <v>0</v>
      </c>
      <c r="BC66" s="162">
        <v>3275642</v>
      </c>
      <c r="BD66" s="162">
        <v>4889018</v>
      </c>
      <c r="BE66" s="117">
        <v>20264275</v>
      </c>
      <c r="BF66" s="117">
        <v>20264275</v>
      </c>
      <c r="BG66" s="117">
        <v>46282875</v>
      </c>
      <c r="BH66" s="117">
        <v>39154422</v>
      </c>
      <c r="BI66" s="117">
        <v>0</v>
      </c>
      <c r="BJ66" s="117">
        <v>0</v>
      </c>
      <c r="BK66" s="138"/>
      <c r="BL66" s="163">
        <v>373603402</v>
      </c>
      <c r="BM66" s="163">
        <v>261301967</v>
      </c>
      <c r="BN66" s="164">
        <v>682499</v>
      </c>
      <c r="BP66" s="166">
        <f t="shared" si="0"/>
        <v>222823927</v>
      </c>
      <c r="BQ66" s="167">
        <f>AK66</f>
        <v>47092728</v>
      </c>
      <c r="BR66" s="167">
        <f>AL66</f>
        <v>940403</v>
      </c>
      <c r="BS66" s="166">
        <f>AN66+AO66+AQ66+AS66</f>
        <v>21368085</v>
      </c>
      <c r="BT66" s="166">
        <f t="shared" si="1"/>
        <v>292225143</v>
      </c>
    </row>
    <row r="67" spans="1:72" x14ac:dyDescent="0.25">
      <c r="A67" s="168" t="s">
        <v>121</v>
      </c>
      <c r="B67" s="135">
        <v>118813488</v>
      </c>
      <c r="C67" s="135">
        <v>56744041</v>
      </c>
      <c r="D67" s="135">
        <v>34372302</v>
      </c>
      <c r="E67" s="135">
        <v>0</v>
      </c>
      <c r="F67" s="171">
        <v>28518615</v>
      </c>
      <c r="G67" s="171">
        <v>25124675</v>
      </c>
      <c r="H67" s="171">
        <v>6262421</v>
      </c>
      <c r="I67" s="171">
        <v>3702364</v>
      </c>
      <c r="J67" s="171">
        <v>56500</v>
      </c>
      <c r="K67" s="171">
        <v>39000</v>
      </c>
      <c r="L67" s="171">
        <v>47347666</v>
      </c>
      <c r="M67" s="171">
        <v>29018825</v>
      </c>
      <c r="N67" s="171">
        <v>1040</v>
      </c>
      <c r="O67" s="171">
        <v>938</v>
      </c>
      <c r="P67" s="171">
        <v>1497750</v>
      </c>
      <c r="Q67" s="171">
        <v>362350</v>
      </c>
      <c r="R67" s="171">
        <v>133500</v>
      </c>
      <c r="S67" s="171">
        <v>1169413</v>
      </c>
      <c r="T67" s="171">
        <v>315044</v>
      </c>
      <c r="U67" s="171">
        <v>248000</v>
      </c>
      <c r="V67" s="171">
        <v>1497750</v>
      </c>
      <c r="W67" s="171">
        <v>363700</v>
      </c>
      <c r="X67" s="171">
        <v>133500</v>
      </c>
      <c r="Y67" s="171">
        <v>1169413</v>
      </c>
      <c r="Z67" s="171">
        <v>309500</v>
      </c>
      <c r="AA67" s="171">
        <v>248000</v>
      </c>
      <c r="AB67" s="171">
        <v>-1609500</v>
      </c>
      <c r="AC67" s="171">
        <v>-3500</v>
      </c>
      <c r="AD67" s="171">
        <v>178476</v>
      </c>
      <c r="AG67" s="171">
        <v>188993</v>
      </c>
      <c r="AH67" s="135">
        <v>18037789</v>
      </c>
      <c r="AI67" s="171">
        <v>9355800</v>
      </c>
      <c r="AJ67" s="169">
        <v>7986500</v>
      </c>
      <c r="AK67" s="160">
        <v>80262708</v>
      </c>
      <c r="AL67" s="161">
        <v>2521387</v>
      </c>
      <c r="AN67" s="171">
        <v>13873345</v>
      </c>
      <c r="AO67" s="171">
        <v>501118</v>
      </c>
      <c r="AP67" s="171">
        <v>5708763</v>
      </c>
      <c r="AQ67" s="171">
        <v>3085118</v>
      </c>
      <c r="AR67" s="171">
        <v>1060770</v>
      </c>
      <c r="AT67" s="171">
        <v>299143</v>
      </c>
      <c r="AZ67" s="160">
        <v>4967768.9800000004</v>
      </c>
      <c r="BA67" s="160">
        <v>2682595</v>
      </c>
      <c r="BB67" s="162">
        <v>0</v>
      </c>
      <c r="BC67" s="162">
        <v>0</v>
      </c>
      <c r="BD67" s="162">
        <v>0</v>
      </c>
      <c r="BE67" s="117">
        <v>1563191</v>
      </c>
      <c r="BF67" s="117">
        <v>1563191</v>
      </c>
      <c r="BG67" s="117">
        <v>55273264</v>
      </c>
      <c r="BH67" s="117">
        <v>55264188</v>
      </c>
      <c r="BI67" s="117">
        <v>0</v>
      </c>
      <c r="BJ67" s="117">
        <v>0</v>
      </c>
      <c r="BK67" s="172"/>
      <c r="BL67" s="163">
        <v>405063570</v>
      </c>
      <c r="BM67" s="163">
        <v>262769501</v>
      </c>
      <c r="BN67" s="164">
        <v>542535</v>
      </c>
      <c r="BP67" s="166">
        <f t="shared" ref="BP67:BP121" si="2">B67+C67+D67</f>
        <v>209929831</v>
      </c>
      <c r="BQ67" s="167">
        <f>AK67</f>
        <v>80262708</v>
      </c>
      <c r="BR67" s="167">
        <f>AL67</f>
        <v>2521387</v>
      </c>
      <c r="BS67" s="166">
        <f>AN67+AO67+AQ67+AS67</f>
        <v>17459581</v>
      </c>
      <c r="BT67" s="166">
        <f t="shared" ref="BT67:BT121" si="3">SUM(BP67:BS67)</f>
        <v>310173507</v>
      </c>
    </row>
    <row r="68" spans="1:72" x14ac:dyDescent="0.25">
      <c r="A68" s="168" t="s">
        <v>122</v>
      </c>
      <c r="B68" s="135">
        <v>218996234</v>
      </c>
      <c r="C68" s="135">
        <v>44619685</v>
      </c>
      <c r="D68" s="135">
        <v>111909188</v>
      </c>
      <c r="E68" s="135">
        <v>0</v>
      </c>
      <c r="F68" s="135">
        <v>59517050</v>
      </c>
      <c r="G68" s="135">
        <v>41507470</v>
      </c>
      <c r="H68" s="135">
        <v>15580200</v>
      </c>
      <c r="I68" s="135">
        <v>7447800</v>
      </c>
      <c r="J68" s="135">
        <v>92700</v>
      </c>
      <c r="K68" s="135">
        <v>0</v>
      </c>
      <c r="L68" s="135">
        <v>73190225</v>
      </c>
      <c r="M68" s="135">
        <v>109416</v>
      </c>
      <c r="N68" s="135">
        <v>2454</v>
      </c>
      <c r="O68" s="135">
        <v>1602</v>
      </c>
      <c r="P68" s="135">
        <v>4968500</v>
      </c>
      <c r="Q68" s="135">
        <v>1156800</v>
      </c>
      <c r="R68" s="135">
        <v>1291000</v>
      </c>
      <c r="S68" s="135">
        <v>3693950</v>
      </c>
      <c r="T68" s="135">
        <v>365500</v>
      </c>
      <c r="U68" s="135">
        <v>848500</v>
      </c>
      <c r="V68" s="135">
        <v>4968500</v>
      </c>
      <c r="W68" s="135">
        <v>951000</v>
      </c>
      <c r="X68" s="135">
        <v>1291000</v>
      </c>
      <c r="Y68" s="135">
        <v>3693950</v>
      </c>
      <c r="Z68" s="135">
        <v>373500</v>
      </c>
      <c r="AA68" s="135">
        <v>848500</v>
      </c>
      <c r="AB68" s="135">
        <v>-5192550</v>
      </c>
      <c r="AC68" s="135">
        <v>-3952</v>
      </c>
      <c r="AD68" s="135"/>
      <c r="AE68" s="135"/>
      <c r="AF68" s="135"/>
      <c r="AG68" s="135"/>
      <c r="AH68" s="135">
        <v>14468011</v>
      </c>
      <c r="AI68" s="135">
        <v>46906899</v>
      </c>
      <c r="AJ68" s="169">
        <v>2100500</v>
      </c>
      <c r="AK68" s="160">
        <v>195834518</v>
      </c>
      <c r="AL68" s="161">
        <v>3961847</v>
      </c>
      <c r="AM68" s="135"/>
      <c r="AN68" s="135">
        <v>26901519</v>
      </c>
      <c r="AO68" s="135">
        <v>843719</v>
      </c>
      <c r="AP68" s="135">
        <v>47528080</v>
      </c>
      <c r="AQ68" s="135">
        <v>17719519</v>
      </c>
      <c r="AR68" s="135">
        <v>4686030</v>
      </c>
      <c r="AS68" s="135">
        <v>105756</v>
      </c>
      <c r="AT68" s="135"/>
      <c r="AU68" s="135"/>
      <c r="AV68" s="135"/>
      <c r="AW68" s="135"/>
      <c r="AX68" s="135">
        <v>47804</v>
      </c>
      <c r="AY68" s="135"/>
      <c r="AZ68" s="160">
        <v>12120954.65</v>
      </c>
      <c r="BA68" s="160">
        <v>6545316</v>
      </c>
      <c r="BB68" s="162">
        <v>0</v>
      </c>
      <c r="BC68" s="162">
        <v>4007591</v>
      </c>
      <c r="BD68" s="162">
        <v>5981479</v>
      </c>
      <c r="BE68" s="117">
        <v>16076935</v>
      </c>
      <c r="BF68" s="117">
        <v>16076935</v>
      </c>
      <c r="BG68" s="117">
        <v>82008586</v>
      </c>
      <c r="BH68" s="117">
        <v>77078777</v>
      </c>
      <c r="BI68" s="117">
        <v>27111</v>
      </c>
      <c r="BJ68" s="117">
        <v>0</v>
      </c>
      <c r="BK68" s="138"/>
      <c r="BL68" s="163">
        <v>787997369</v>
      </c>
      <c r="BM68" s="163">
        <v>484465274</v>
      </c>
      <c r="BN68" s="164">
        <v>144750</v>
      </c>
      <c r="BP68" s="166">
        <f t="shared" si="2"/>
        <v>375525107</v>
      </c>
      <c r="BQ68" s="167">
        <f>AK68</f>
        <v>195834518</v>
      </c>
      <c r="BR68" s="167">
        <f>AL68</f>
        <v>3961847</v>
      </c>
      <c r="BS68" s="166">
        <f>AN68+AO68+AQ68+AS68</f>
        <v>45570513</v>
      </c>
      <c r="BT68" s="166">
        <f t="shared" si="3"/>
        <v>620891985</v>
      </c>
    </row>
    <row r="69" spans="1:72" x14ac:dyDescent="0.25">
      <c r="A69" s="168" t="s">
        <v>123</v>
      </c>
      <c r="B69" s="135">
        <v>206097480</v>
      </c>
      <c r="C69" s="135">
        <v>134053435</v>
      </c>
      <c r="D69" s="135">
        <v>38719710</v>
      </c>
      <c r="E69" s="135">
        <v>0</v>
      </c>
      <c r="F69" s="135">
        <v>38809640</v>
      </c>
      <c r="G69" s="135">
        <v>15311250</v>
      </c>
      <c r="H69" s="135">
        <v>12688025</v>
      </c>
      <c r="I69" s="135">
        <v>2736350</v>
      </c>
      <c r="J69" s="135">
        <v>86350</v>
      </c>
      <c r="K69" s="135">
        <v>0</v>
      </c>
      <c r="L69" s="135">
        <v>189892745</v>
      </c>
      <c r="M69" s="135">
        <v>70660940</v>
      </c>
      <c r="N69" s="135">
        <v>1360</v>
      </c>
      <c r="O69" s="135">
        <v>527</v>
      </c>
      <c r="P69" s="135">
        <v>6085200</v>
      </c>
      <c r="Q69" s="135">
        <v>3532700</v>
      </c>
      <c r="R69" s="135">
        <v>80000</v>
      </c>
      <c r="S69" s="135">
        <v>1079345</v>
      </c>
      <c r="T69" s="135">
        <v>1032900</v>
      </c>
      <c r="U69" s="135">
        <v>1477455</v>
      </c>
      <c r="V69" s="135">
        <v>6085200</v>
      </c>
      <c r="W69" s="135">
        <v>4286100</v>
      </c>
      <c r="X69" s="135">
        <v>80000</v>
      </c>
      <c r="Y69" s="135">
        <v>1176345</v>
      </c>
      <c r="Z69" s="135">
        <v>2715000</v>
      </c>
      <c r="AA69" s="135">
        <v>1477455</v>
      </c>
      <c r="AB69" s="135">
        <v>-1423900</v>
      </c>
      <c r="AC69" s="135">
        <v>-79077</v>
      </c>
      <c r="AD69" s="135">
        <v>208016</v>
      </c>
      <c r="AE69" s="135"/>
      <c r="AF69" s="135"/>
      <c r="AG69" s="135">
        <v>283641</v>
      </c>
      <c r="AH69" s="135">
        <v>0</v>
      </c>
      <c r="AI69" s="135">
        <v>146407</v>
      </c>
      <c r="AJ69" s="169"/>
      <c r="AK69" s="160">
        <v>106329259</v>
      </c>
      <c r="AL69" s="161">
        <v>2104417</v>
      </c>
      <c r="AM69" s="135"/>
      <c r="AN69" s="135">
        <v>11427143</v>
      </c>
      <c r="AO69" s="135">
        <v>362212</v>
      </c>
      <c r="AP69" s="135">
        <v>8411777</v>
      </c>
      <c r="AQ69" s="135">
        <v>12913288</v>
      </c>
      <c r="AR69" s="135">
        <v>10985736</v>
      </c>
      <c r="AS69" s="135"/>
      <c r="AT69" s="135">
        <v>138893</v>
      </c>
      <c r="AU69" s="135"/>
      <c r="AV69" s="135"/>
      <c r="AW69" s="135"/>
      <c r="AX69" s="135">
        <v>4862760</v>
      </c>
      <c r="AY69" s="135">
        <v>3500</v>
      </c>
      <c r="AZ69" s="160">
        <v>6581128.4900000002</v>
      </c>
      <c r="BA69" s="160">
        <v>3553809</v>
      </c>
      <c r="BB69" s="162">
        <v>47151652.153367877</v>
      </c>
      <c r="BC69" s="162">
        <v>4073241</v>
      </c>
      <c r="BD69" s="162">
        <v>6079464</v>
      </c>
      <c r="BE69" s="117">
        <v>78093239</v>
      </c>
      <c r="BF69" s="117">
        <v>78093239</v>
      </c>
      <c r="BG69" s="117">
        <v>65902255</v>
      </c>
      <c r="BH69" s="117">
        <v>53110171</v>
      </c>
      <c r="BI69" s="117">
        <v>0</v>
      </c>
      <c r="BJ69" s="117">
        <v>0</v>
      </c>
      <c r="BK69" s="138"/>
      <c r="BL69" s="163">
        <v>650983811</v>
      </c>
      <c r="BM69" s="163">
        <v>403719675</v>
      </c>
      <c r="BN69" s="164">
        <v>1743400</v>
      </c>
      <c r="BP69" s="166">
        <f t="shared" si="2"/>
        <v>378870625</v>
      </c>
      <c r="BQ69" s="167">
        <f>AK69</f>
        <v>106329259</v>
      </c>
      <c r="BR69" s="167">
        <f>AL69</f>
        <v>2104417</v>
      </c>
      <c r="BS69" s="166">
        <f>AN69+AO69+AQ69+AS69</f>
        <v>24702643</v>
      </c>
      <c r="BT69" s="166">
        <f t="shared" si="3"/>
        <v>512006944</v>
      </c>
    </row>
    <row r="70" spans="1:72" x14ac:dyDescent="0.25">
      <c r="A70" s="168" t="s">
        <v>124</v>
      </c>
      <c r="B70" s="135">
        <v>682266720</v>
      </c>
      <c r="C70" s="135">
        <v>243153691</v>
      </c>
      <c r="D70" s="135">
        <v>156026630</v>
      </c>
      <c r="E70" s="135">
        <v>0</v>
      </c>
      <c r="F70" s="135">
        <v>88465355</v>
      </c>
      <c r="G70" s="135">
        <v>23036489</v>
      </c>
      <c r="H70" s="135">
        <v>25611611</v>
      </c>
      <c r="I70" s="135">
        <v>3563819</v>
      </c>
      <c r="J70" s="135">
        <v>415800</v>
      </c>
      <c r="K70" s="135">
        <v>46350</v>
      </c>
      <c r="L70" s="135">
        <v>325087960</v>
      </c>
      <c r="M70" s="135">
        <v>158547352</v>
      </c>
      <c r="N70" s="135">
        <v>2729</v>
      </c>
      <c r="O70" s="135">
        <v>709</v>
      </c>
      <c r="P70" s="135">
        <v>12278023</v>
      </c>
      <c r="Q70" s="135">
        <v>10159559</v>
      </c>
      <c r="R70" s="135">
        <v>1163200</v>
      </c>
      <c r="S70" s="135">
        <v>4369795</v>
      </c>
      <c r="T70" s="135">
        <v>2584851</v>
      </c>
      <c r="U70" s="135">
        <v>268600</v>
      </c>
      <c r="V70" s="135">
        <v>12278023</v>
      </c>
      <c r="W70" s="135">
        <v>11590266</v>
      </c>
      <c r="X70" s="135">
        <v>1163200</v>
      </c>
      <c r="Y70" s="135">
        <v>4369795</v>
      </c>
      <c r="Z70" s="135">
        <v>3182741</v>
      </c>
      <c r="AA70" s="135">
        <v>268600</v>
      </c>
      <c r="AB70" s="135">
        <v>7467660</v>
      </c>
      <c r="AC70" s="135">
        <v>163510</v>
      </c>
      <c r="AD70" s="135">
        <v>55544</v>
      </c>
      <c r="AE70" s="135"/>
      <c r="AF70" s="135"/>
      <c r="AG70" s="135">
        <v>198279</v>
      </c>
      <c r="AH70" s="135">
        <v>15871</v>
      </c>
      <c r="AI70" s="135">
        <v>0</v>
      </c>
      <c r="AJ70" s="169"/>
      <c r="AK70" s="160">
        <v>209230297</v>
      </c>
      <c r="AL70" s="161">
        <v>7327284</v>
      </c>
      <c r="AM70" s="135"/>
      <c r="AN70" s="135">
        <v>19201138</v>
      </c>
      <c r="AO70" s="135">
        <v>4329076</v>
      </c>
      <c r="AP70" s="135">
        <v>11837160</v>
      </c>
      <c r="AQ70" s="135">
        <v>21548386</v>
      </c>
      <c r="AR70" s="135">
        <v>7149225</v>
      </c>
      <c r="AS70" s="135">
        <v>16143967</v>
      </c>
      <c r="AT70" s="135">
        <v>6612642</v>
      </c>
      <c r="AU70" s="135"/>
      <c r="AV70" s="135">
        <v>65944</v>
      </c>
      <c r="AW70" s="135">
        <v>72181</v>
      </c>
      <c r="AX70" s="135">
        <v>364895</v>
      </c>
      <c r="AY70" s="135"/>
      <c r="AZ70" s="160">
        <v>12950071.15</v>
      </c>
      <c r="BA70" s="160">
        <v>6993038</v>
      </c>
      <c r="BB70" s="162">
        <v>0</v>
      </c>
      <c r="BC70" s="162">
        <v>3515706</v>
      </c>
      <c r="BD70" s="162">
        <v>5247322</v>
      </c>
      <c r="BE70" s="117">
        <v>71528511</v>
      </c>
      <c r="BF70" s="117">
        <v>71528511</v>
      </c>
      <c r="BG70" s="117">
        <v>155059724</v>
      </c>
      <c r="BH70" s="117">
        <v>150700049</v>
      </c>
      <c r="BI70" s="117">
        <v>0</v>
      </c>
      <c r="BJ70" s="117">
        <v>0</v>
      </c>
      <c r="BK70" s="138"/>
      <c r="BL70" s="163">
        <v>1575836397</v>
      </c>
      <c r="BM70" s="163">
        <v>1126541512</v>
      </c>
      <c r="BN70" s="164">
        <v>449000</v>
      </c>
      <c r="BP70" s="166">
        <f t="shared" si="2"/>
        <v>1081447041</v>
      </c>
      <c r="BQ70" s="167">
        <f>AK70</f>
        <v>209230297</v>
      </c>
      <c r="BR70" s="167">
        <f>AL70</f>
        <v>7327284</v>
      </c>
      <c r="BS70" s="166">
        <f>AN70+AO70+AQ70+AS70</f>
        <v>61222567</v>
      </c>
      <c r="BT70" s="166">
        <f t="shared" si="3"/>
        <v>1359227189</v>
      </c>
    </row>
    <row r="71" spans="1:72" x14ac:dyDescent="0.25">
      <c r="A71" s="168" t="s">
        <v>125</v>
      </c>
      <c r="B71" s="135">
        <v>315263658</v>
      </c>
      <c r="C71" s="135">
        <v>153841450</v>
      </c>
      <c r="D71" s="135">
        <v>108645534</v>
      </c>
      <c r="E71" s="135">
        <v>0</v>
      </c>
      <c r="F71" s="135">
        <v>43119750</v>
      </c>
      <c r="G71" s="135">
        <v>6779350</v>
      </c>
      <c r="H71" s="135">
        <v>11876200</v>
      </c>
      <c r="I71" s="135">
        <v>1144700</v>
      </c>
      <c r="J71" s="135">
        <v>139050</v>
      </c>
      <c r="K71" s="135">
        <v>0</v>
      </c>
      <c r="L71" s="135">
        <v>310484203</v>
      </c>
      <c r="M71" s="135">
        <v>81686800</v>
      </c>
      <c r="N71" s="135">
        <v>1268</v>
      </c>
      <c r="O71" s="135">
        <v>196</v>
      </c>
      <c r="P71" s="135">
        <v>8142002</v>
      </c>
      <c r="Q71" s="135">
        <v>1539700</v>
      </c>
      <c r="R71" s="135">
        <v>260000</v>
      </c>
      <c r="S71" s="135">
        <v>2212705</v>
      </c>
      <c r="T71" s="135">
        <v>789400</v>
      </c>
      <c r="U71" s="135">
        <v>853942</v>
      </c>
      <c r="V71" s="135">
        <v>8142002</v>
      </c>
      <c r="W71" s="135">
        <v>1647784</v>
      </c>
      <c r="X71" s="135">
        <v>260000</v>
      </c>
      <c r="Y71" s="135">
        <v>2212705</v>
      </c>
      <c r="Z71" s="135">
        <v>810992</v>
      </c>
      <c r="AA71" s="135">
        <v>853942</v>
      </c>
      <c r="AB71" s="135">
        <v>-1396400</v>
      </c>
      <c r="AC71" s="135">
        <v>0</v>
      </c>
      <c r="AD71" s="135">
        <v>85372</v>
      </c>
      <c r="AE71" s="135"/>
      <c r="AF71" s="135"/>
      <c r="AG71" s="135">
        <v>174965</v>
      </c>
      <c r="AH71" s="135">
        <v>0</v>
      </c>
      <c r="AI71" s="135">
        <v>12005390</v>
      </c>
      <c r="AJ71" s="169"/>
      <c r="AK71" s="160">
        <v>104915050</v>
      </c>
      <c r="AL71" s="161">
        <v>8712301</v>
      </c>
      <c r="AM71" s="135">
        <v>5504235</v>
      </c>
      <c r="AN71" s="135">
        <v>64338184</v>
      </c>
      <c r="AO71" s="135">
        <v>4996921</v>
      </c>
      <c r="AP71" s="135">
        <v>95559010</v>
      </c>
      <c r="AQ71" s="135">
        <v>64145932</v>
      </c>
      <c r="AR71" s="135">
        <v>3326106</v>
      </c>
      <c r="AS71" s="135">
        <v>16960190</v>
      </c>
      <c r="AT71" s="135">
        <v>2020002</v>
      </c>
      <c r="AU71" s="135"/>
      <c r="AV71" s="135"/>
      <c r="AW71" s="135"/>
      <c r="AX71" s="135"/>
      <c r="AY71" s="135"/>
      <c r="AZ71" s="160">
        <v>6493597.6399999997</v>
      </c>
      <c r="BA71" s="160">
        <v>3506543</v>
      </c>
      <c r="BB71" s="162">
        <v>84605066.761554405</v>
      </c>
      <c r="BC71" s="162">
        <v>559495</v>
      </c>
      <c r="BD71" s="162">
        <v>835067</v>
      </c>
      <c r="BE71" s="117">
        <v>168778206</v>
      </c>
      <c r="BF71" s="117">
        <v>168344311</v>
      </c>
      <c r="BG71" s="117">
        <v>63683345</v>
      </c>
      <c r="BH71" s="117">
        <v>63182497</v>
      </c>
      <c r="BI71" s="117">
        <v>0</v>
      </c>
      <c r="BJ71" s="117">
        <v>0</v>
      </c>
      <c r="BK71" s="138"/>
      <c r="BL71" s="163">
        <v>1072457266</v>
      </c>
      <c r="BM71" s="163">
        <v>723237069</v>
      </c>
      <c r="BN71" s="164">
        <v>519034</v>
      </c>
      <c r="BP71" s="166">
        <f t="shared" si="2"/>
        <v>577750642</v>
      </c>
      <c r="BQ71" s="167">
        <f>AK71</f>
        <v>104915050</v>
      </c>
      <c r="BR71" s="167">
        <f>AL71</f>
        <v>8712301</v>
      </c>
      <c r="BS71" s="166">
        <f>AN71+AO71+AQ71+AS71</f>
        <v>150441227</v>
      </c>
      <c r="BT71" s="166">
        <f t="shared" si="3"/>
        <v>841819220</v>
      </c>
    </row>
    <row r="72" spans="1:72" x14ac:dyDescent="0.25">
      <c r="A72" s="168" t="s">
        <v>126</v>
      </c>
      <c r="B72" s="135">
        <v>843585534</v>
      </c>
      <c r="C72" s="135">
        <v>400928190</v>
      </c>
      <c r="D72" s="135">
        <v>321574921</v>
      </c>
      <c r="E72" s="135">
        <v>0</v>
      </c>
      <c r="F72" s="135">
        <v>93700075</v>
      </c>
      <c r="G72" s="135">
        <v>16846212</v>
      </c>
      <c r="H72" s="135">
        <v>21320834</v>
      </c>
      <c r="I72" s="135">
        <v>1584621</v>
      </c>
      <c r="J72" s="135">
        <v>121700</v>
      </c>
      <c r="K72" s="135">
        <v>0</v>
      </c>
      <c r="L72" s="135">
        <v>1279321914</v>
      </c>
      <c r="M72" s="135">
        <v>158164127</v>
      </c>
      <c r="N72" s="135">
        <v>2652</v>
      </c>
      <c r="O72" s="135">
        <v>450</v>
      </c>
      <c r="P72" s="135">
        <v>14159667</v>
      </c>
      <c r="Q72" s="135">
        <v>2801176</v>
      </c>
      <c r="R72" s="135">
        <v>663000</v>
      </c>
      <c r="S72" s="135">
        <v>3818448</v>
      </c>
      <c r="T72" s="135">
        <v>2808896</v>
      </c>
      <c r="U72" s="135">
        <v>1502539</v>
      </c>
      <c r="V72" s="135">
        <v>14159667</v>
      </c>
      <c r="W72" s="135">
        <v>5311270</v>
      </c>
      <c r="X72" s="135">
        <v>663000</v>
      </c>
      <c r="Y72" s="135">
        <v>3818448</v>
      </c>
      <c r="Z72" s="135">
        <v>10093514</v>
      </c>
      <c r="AA72" s="135">
        <v>1502539</v>
      </c>
      <c r="AB72" s="135">
        <v>-2645274</v>
      </c>
      <c r="AC72" s="135">
        <v>-86703</v>
      </c>
      <c r="AD72" s="135">
        <v>109072</v>
      </c>
      <c r="AE72" s="135">
        <v>42</v>
      </c>
      <c r="AF72" s="135">
        <v>881977491</v>
      </c>
      <c r="AG72" s="135">
        <v>319108</v>
      </c>
      <c r="AH72" s="135">
        <v>25158</v>
      </c>
      <c r="AI72" s="135">
        <v>490232</v>
      </c>
      <c r="AJ72" s="169"/>
      <c r="AK72" s="160">
        <v>265980072</v>
      </c>
      <c r="AL72" s="161">
        <v>8489244</v>
      </c>
      <c r="AM72" s="135"/>
      <c r="AN72" s="135">
        <v>53692769</v>
      </c>
      <c r="AO72" s="135">
        <v>31294549</v>
      </c>
      <c r="AP72" s="135">
        <v>974635000</v>
      </c>
      <c r="AQ72" s="135">
        <v>105517263</v>
      </c>
      <c r="AR72" s="135">
        <v>515144231</v>
      </c>
      <c r="AS72" s="135">
        <v>146355924</v>
      </c>
      <c r="AT72" s="135">
        <v>5630138</v>
      </c>
      <c r="AU72" s="135"/>
      <c r="AV72" s="135">
        <v>248039</v>
      </c>
      <c r="AW72" s="135">
        <v>15135770</v>
      </c>
      <c r="AX72" s="135">
        <v>2907435</v>
      </c>
      <c r="AY72" s="135">
        <v>8386000</v>
      </c>
      <c r="AZ72" s="160">
        <v>16462533.890000001</v>
      </c>
      <c r="BA72" s="160">
        <v>8889768</v>
      </c>
      <c r="BB72" s="162">
        <v>0</v>
      </c>
      <c r="BC72" s="162">
        <v>4249614</v>
      </c>
      <c r="BD72" s="162">
        <v>6342708</v>
      </c>
      <c r="BE72" s="117">
        <v>24364609</v>
      </c>
      <c r="BF72" s="117">
        <v>24364609</v>
      </c>
      <c r="BG72" s="117">
        <v>77499969</v>
      </c>
      <c r="BH72" s="117">
        <v>70404717</v>
      </c>
      <c r="BI72" s="117">
        <v>0</v>
      </c>
      <c r="BJ72" s="117">
        <v>9307316</v>
      </c>
      <c r="BK72" s="138"/>
      <c r="BL72" s="163">
        <v>2148793956</v>
      </c>
      <c r="BM72" s="163">
        <v>1757108616</v>
      </c>
      <c r="BN72" s="164">
        <v>3729157</v>
      </c>
      <c r="BP72" s="166">
        <f t="shared" si="2"/>
        <v>1566088645</v>
      </c>
      <c r="BQ72" s="167">
        <f>AK72</f>
        <v>265980072</v>
      </c>
      <c r="BR72" s="167">
        <f>AL72</f>
        <v>8489244</v>
      </c>
      <c r="BS72" s="166">
        <f>AN72+AO72+AQ72+AS72</f>
        <v>336860505</v>
      </c>
      <c r="BT72" s="166">
        <f t="shared" si="3"/>
        <v>2177418466</v>
      </c>
    </row>
    <row r="73" spans="1:72" x14ac:dyDescent="0.25">
      <c r="A73" s="168" t="s">
        <v>127</v>
      </c>
      <c r="B73" s="135">
        <v>695227790</v>
      </c>
      <c r="C73" s="135">
        <v>83351654</v>
      </c>
      <c r="D73" s="135">
        <v>130002379</v>
      </c>
      <c r="E73" s="135">
        <v>0</v>
      </c>
      <c r="F73" s="135">
        <v>40357800</v>
      </c>
      <c r="G73" s="135">
        <v>7020850</v>
      </c>
      <c r="H73" s="135">
        <v>7477726</v>
      </c>
      <c r="I73" s="135">
        <v>973350</v>
      </c>
      <c r="J73" s="135">
        <v>185400</v>
      </c>
      <c r="K73" s="135">
        <v>0</v>
      </c>
      <c r="L73" s="135">
        <v>216023746</v>
      </c>
      <c r="M73" s="135">
        <v>62334722</v>
      </c>
      <c r="N73" s="135">
        <v>1066</v>
      </c>
      <c r="O73" s="135">
        <v>186</v>
      </c>
      <c r="P73" s="135">
        <v>5980675</v>
      </c>
      <c r="Q73" s="135">
        <v>225000</v>
      </c>
      <c r="R73" s="135">
        <v>2591000</v>
      </c>
      <c r="S73" s="135">
        <v>2346365</v>
      </c>
      <c r="T73" s="135">
        <v>744734</v>
      </c>
      <c r="U73" s="135">
        <v>1397085</v>
      </c>
      <c r="V73" s="135">
        <v>5980675</v>
      </c>
      <c r="W73" s="135">
        <v>225000</v>
      </c>
      <c r="X73" s="135">
        <v>2591000</v>
      </c>
      <c r="Y73" s="135">
        <v>2346365</v>
      </c>
      <c r="Z73" s="135">
        <v>5632500</v>
      </c>
      <c r="AA73" s="135">
        <v>1397085</v>
      </c>
      <c r="AB73" s="135">
        <v>-1789785</v>
      </c>
      <c r="AC73" s="135"/>
      <c r="AD73" s="135">
        <v>27526</v>
      </c>
      <c r="AE73" s="135"/>
      <c r="AF73" s="135"/>
      <c r="AG73" s="135">
        <v>67020</v>
      </c>
      <c r="AH73" s="135">
        <v>0</v>
      </c>
      <c r="AI73" s="135">
        <v>0</v>
      </c>
      <c r="AJ73" s="169"/>
      <c r="AK73" s="160">
        <v>98544567</v>
      </c>
      <c r="AL73" s="161">
        <v>25917640</v>
      </c>
      <c r="AM73" s="135">
        <v>1851644</v>
      </c>
      <c r="AN73" s="135">
        <v>16516166</v>
      </c>
      <c r="AO73" s="135">
        <v>558591</v>
      </c>
      <c r="AP73" s="135">
        <v>2108521</v>
      </c>
      <c r="AQ73" s="135">
        <v>10305842</v>
      </c>
      <c r="AR73" s="135">
        <v>15514727</v>
      </c>
      <c r="AS73" s="135">
        <v>25108474</v>
      </c>
      <c r="AT73" s="135">
        <v>1303086</v>
      </c>
      <c r="AU73" s="135"/>
      <c r="AV73" s="135">
        <v>2714</v>
      </c>
      <c r="AW73" s="135"/>
      <c r="AX73" s="135">
        <v>2080</v>
      </c>
      <c r="AY73" s="135"/>
      <c r="AZ73" s="160">
        <v>6099303.8399999999</v>
      </c>
      <c r="BA73" s="160">
        <v>3293624</v>
      </c>
      <c r="BB73" s="162">
        <v>35631646.22953368</v>
      </c>
      <c r="BC73" s="162">
        <v>1465857</v>
      </c>
      <c r="BD73" s="162">
        <v>2187847</v>
      </c>
      <c r="BE73" s="117">
        <v>12644335</v>
      </c>
      <c r="BF73" s="117">
        <v>10399328</v>
      </c>
      <c r="BG73" s="117">
        <v>30894720</v>
      </c>
      <c r="BH73" s="117">
        <v>29822042</v>
      </c>
      <c r="BI73" s="117">
        <v>0</v>
      </c>
      <c r="BJ73" s="117">
        <v>0</v>
      </c>
      <c r="BK73" s="138"/>
      <c r="BL73" s="163">
        <v>1105405480</v>
      </c>
      <c r="BM73" s="163">
        <v>935962422</v>
      </c>
      <c r="BN73" s="164">
        <v>684936</v>
      </c>
      <c r="BP73" s="166">
        <f t="shared" si="2"/>
        <v>908581823</v>
      </c>
      <c r="BQ73" s="167">
        <f>AK73</f>
        <v>98544567</v>
      </c>
      <c r="BR73" s="167">
        <f>AL73</f>
        <v>25917640</v>
      </c>
      <c r="BS73" s="166">
        <f>AN73+AO73+AQ73+AS73</f>
        <v>52489073</v>
      </c>
      <c r="BT73" s="166">
        <f t="shared" si="3"/>
        <v>1085533103</v>
      </c>
    </row>
    <row r="74" spans="1:72" x14ac:dyDescent="0.25">
      <c r="A74" s="168" t="s">
        <v>128</v>
      </c>
      <c r="B74" s="135">
        <v>3402278770</v>
      </c>
      <c r="C74" s="135">
        <v>234523654</v>
      </c>
      <c r="D74" s="135">
        <v>1653542353</v>
      </c>
      <c r="E74" s="135">
        <v>9235235</v>
      </c>
      <c r="F74" s="135">
        <v>312231332</v>
      </c>
      <c r="G74" s="135">
        <v>22137805</v>
      </c>
      <c r="H74" s="135">
        <v>16460314</v>
      </c>
      <c r="I74" s="135">
        <v>648900</v>
      </c>
      <c r="J74" s="135">
        <v>877250</v>
      </c>
      <c r="K74" s="135">
        <v>0</v>
      </c>
      <c r="L74" s="135">
        <v>264249100</v>
      </c>
      <c r="M74" s="135">
        <v>185298195</v>
      </c>
      <c r="N74" s="135">
        <v>7378</v>
      </c>
      <c r="O74" s="135">
        <v>570</v>
      </c>
      <c r="P74" s="135">
        <v>42696169</v>
      </c>
      <c r="Q74" s="135">
        <v>10587344</v>
      </c>
      <c r="R74" s="135">
        <v>126586855</v>
      </c>
      <c r="S74" s="135">
        <v>23889039</v>
      </c>
      <c r="T74" s="135">
        <v>15127016</v>
      </c>
      <c r="U74" s="135">
        <v>17370567</v>
      </c>
      <c r="V74" s="135">
        <v>42696169</v>
      </c>
      <c r="W74" s="135">
        <v>14125562</v>
      </c>
      <c r="X74" s="135">
        <v>126586855</v>
      </c>
      <c r="Y74" s="135">
        <v>23889039</v>
      </c>
      <c r="Z74" s="135">
        <v>5737098</v>
      </c>
      <c r="AA74" s="135">
        <v>17370567</v>
      </c>
      <c r="AB74" s="135">
        <v>-16339405</v>
      </c>
      <c r="AC74" s="135">
        <v>16568542</v>
      </c>
      <c r="AD74" s="135"/>
      <c r="AE74" s="135"/>
      <c r="AF74" s="135"/>
      <c r="AG74" s="135">
        <v>14428</v>
      </c>
      <c r="AH74" s="135">
        <v>0</v>
      </c>
      <c r="AI74" s="135">
        <v>9500</v>
      </c>
      <c r="AJ74" s="169"/>
      <c r="AK74" s="160">
        <v>714128724</v>
      </c>
      <c r="AL74" s="161">
        <v>26648019</v>
      </c>
      <c r="AM74" s="135"/>
      <c r="AN74" s="135">
        <v>253892270</v>
      </c>
      <c r="AO74" s="135">
        <v>15611935</v>
      </c>
      <c r="AP74" s="135">
        <v>62637042</v>
      </c>
      <c r="AQ74" s="135">
        <v>313293763</v>
      </c>
      <c r="AR74" s="135">
        <v>114910086</v>
      </c>
      <c r="AS74" s="135">
        <v>75644166</v>
      </c>
      <c r="AT74" s="135">
        <v>2354696</v>
      </c>
      <c r="AU74" s="135">
        <v>0</v>
      </c>
      <c r="AV74" s="135">
        <v>0</v>
      </c>
      <c r="AW74" s="135">
        <v>0</v>
      </c>
      <c r="AX74" s="135">
        <v>1346715</v>
      </c>
      <c r="AY74" s="135">
        <v>18826444</v>
      </c>
      <c r="AZ74" s="160">
        <v>44200184.75</v>
      </c>
      <c r="BA74" s="160">
        <v>23868100</v>
      </c>
      <c r="BB74" s="162">
        <v>34399273.502797924</v>
      </c>
      <c r="BC74" s="162">
        <v>7655577</v>
      </c>
      <c r="BD74" s="162">
        <v>11426234</v>
      </c>
      <c r="BE74" s="117">
        <v>137366404</v>
      </c>
      <c r="BF74" s="117">
        <v>127386063</v>
      </c>
      <c r="BG74" s="117">
        <v>170568949</v>
      </c>
      <c r="BH74" s="117">
        <v>139983628</v>
      </c>
      <c r="BI74" s="117">
        <v>23978</v>
      </c>
      <c r="BJ74" s="117">
        <v>72207238</v>
      </c>
      <c r="BK74" s="138"/>
      <c r="BL74" s="163">
        <v>6985053572</v>
      </c>
      <c r="BM74" s="163">
        <v>5873152245</v>
      </c>
      <c r="BN74" s="164">
        <v>3081207</v>
      </c>
      <c r="BP74" s="166">
        <f t="shared" si="2"/>
        <v>5290344777</v>
      </c>
      <c r="BQ74" s="167">
        <f>AK74</f>
        <v>714128724</v>
      </c>
      <c r="BR74" s="167">
        <f>AL74</f>
        <v>26648019</v>
      </c>
      <c r="BS74" s="166">
        <f>AN74+AO74+AQ74+AS74</f>
        <v>658442134</v>
      </c>
      <c r="BT74" s="166">
        <f t="shared" si="3"/>
        <v>6689563654</v>
      </c>
    </row>
    <row r="75" spans="1:72" x14ac:dyDescent="0.25">
      <c r="A75" s="168" t="s">
        <v>129</v>
      </c>
      <c r="B75" s="135">
        <v>296552949</v>
      </c>
      <c r="C75" s="135">
        <v>60231038</v>
      </c>
      <c r="D75" s="135">
        <v>100922910</v>
      </c>
      <c r="E75" s="135">
        <v>0</v>
      </c>
      <c r="F75" s="135">
        <v>50574350</v>
      </c>
      <c r="G75" s="135">
        <v>20874229</v>
      </c>
      <c r="H75" s="135">
        <v>8180200</v>
      </c>
      <c r="I75" s="135">
        <v>2054850</v>
      </c>
      <c r="J75" s="135">
        <v>20000</v>
      </c>
      <c r="K75" s="135">
        <v>0</v>
      </c>
      <c r="L75" s="135">
        <v>41351512</v>
      </c>
      <c r="M75" s="135">
        <v>0</v>
      </c>
      <c r="N75" s="135">
        <v>1463</v>
      </c>
      <c r="O75" s="135">
        <v>636</v>
      </c>
      <c r="P75" s="135">
        <v>6167491</v>
      </c>
      <c r="Q75" s="135">
        <v>5592300</v>
      </c>
      <c r="R75" s="135">
        <v>1954500</v>
      </c>
      <c r="S75" s="135">
        <v>6044700</v>
      </c>
      <c r="T75" s="135">
        <v>932000</v>
      </c>
      <c r="U75" s="135">
        <v>1553550</v>
      </c>
      <c r="V75" s="135">
        <v>6167491</v>
      </c>
      <c r="W75" s="135">
        <v>8319300</v>
      </c>
      <c r="X75" s="135">
        <v>1954500</v>
      </c>
      <c r="Y75" s="135">
        <v>6044700</v>
      </c>
      <c r="Z75" s="135">
        <v>936000</v>
      </c>
      <c r="AA75" s="135">
        <v>1553550</v>
      </c>
      <c r="AB75" s="135">
        <v>-3339837</v>
      </c>
      <c r="AC75" s="135">
        <v>-346615</v>
      </c>
      <c r="AD75" s="135">
        <v>31825</v>
      </c>
      <c r="AE75" s="135"/>
      <c r="AF75" s="135"/>
      <c r="AG75" s="135">
        <v>47807</v>
      </c>
      <c r="AH75" s="135">
        <v>0</v>
      </c>
      <c r="AI75" s="135">
        <v>330100</v>
      </c>
      <c r="AJ75" s="169">
        <v>22000</v>
      </c>
      <c r="AK75" s="160">
        <v>99158426</v>
      </c>
      <c r="AL75" s="161">
        <v>3183324</v>
      </c>
      <c r="AM75" s="135"/>
      <c r="AN75" s="135">
        <v>9305462</v>
      </c>
      <c r="AO75" s="135">
        <v>194533</v>
      </c>
      <c r="AP75" s="135">
        <v>11548507</v>
      </c>
      <c r="AQ75" s="135">
        <v>11431659</v>
      </c>
      <c r="AR75" s="135">
        <v>21719351</v>
      </c>
      <c r="AS75" s="135"/>
      <c r="AT75" s="135">
        <v>710925</v>
      </c>
      <c r="AU75" s="135"/>
      <c r="AV75" s="135"/>
      <c r="AW75" s="135"/>
      <c r="AX75" s="135"/>
      <c r="AY75" s="135">
        <v>3500</v>
      </c>
      <c r="AZ75" s="160">
        <v>6137297.9400000004</v>
      </c>
      <c r="BA75" s="160">
        <v>3314141</v>
      </c>
      <c r="BB75" s="162">
        <v>0</v>
      </c>
      <c r="BC75" s="162">
        <v>5273559</v>
      </c>
      <c r="BD75" s="162">
        <v>7870983</v>
      </c>
      <c r="BE75" s="117">
        <v>48907432</v>
      </c>
      <c r="BF75" s="117">
        <v>48907432</v>
      </c>
      <c r="BG75" s="117">
        <v>43074328</v>
      </c>
      <c r="BH75" s="117">
        <v>37795864</v>
      </c>
      <c r="BI75" s="117">
        <v>0</v>
      </c>
      <c r="BJ75" s="117">
        <v>0</v>
      </c>
      <c r="BK75" s="138"/>
      <c r="BL75" s="163">
        <v>676623397</v>
      </c>
      <c r="BM75" s="163">
        <v>478990651</v>
      </c>
      <c r="BN75" s="164">
        <v>642100</v>
      </c>
      <c r="BP75" s="166">
        <f t="shared" si="2"/>
        <v>457706897</v>
      </c>
      <c r="BQ75" s="167">
        <f>AK75</f>
        <v>99158426</v>
      </c>
      <c r="BR75" s="167">
        <f>AL75</f>
        <v>3183324</v>
      </c>
      <c r="BS75" s="166">
        <f>AN75+AO75+AQ75+AS75</f>
        <v>20931654</v>
      </c>
      <c r="BT75" s="166">
        <f t="shared" si="3"/>
        <v>580980301</v>
      </c>
    </row>
    <row r="76" spans="1:72" x14ac:dyDescent="0.25">
      <c r="A76" s="168" t="s">
        <v>130</v>
      </c>
      <c r="B76" s="135">
        <v>235529886</v>
      </c>
      <c r="C76" s="135">
        <v>169326441</v>
      </c>
      <c r="D76" s="135">
        <v>69120629</v>
      </c>
      <c r="E76" s="135">
        <v>0</v>
      </c>
      <c r="F76" s="171">
        <v>36376210</v>
      </c>
      <c r="G76" s="171">
        <v>10347317</v>
      </c>
      <c r="H76" s="171">
        <v>8497550</v>
      </c>
      <c r="I76" s="171">
        <v>918250</v>
      </c>
      <c r="J76" s="171">
        <v>46350</v>
      </c>
      <c r="K76" s="171">
        <v>0</v>
      </c>
      <c r="L76" s="171">
        <v>553697167</v>
      </c>
      <c r="M76" s="171">
        <v>59093641</v>
      </c>
      <c r="N76" s="171">
        <v>1063</v>
      </c>
      <c r="O76" s="171">
        <v>286</v>
      </c>
      <c r="P76" s="171">
        <v>2969490</v>
      </c>
      <c r="Q76" s="171">
        <v>856520</v>
      </c>
      <c r="R76" s="171">
        <v>220400</v>
      </c>
      <c r="S76" s="171">
        <v>538476</v>
      </c>
      <c r="T76" s="171">
        <v>135800</v>
      </c>
      <c r="U76" s="171">
        <v>0</v>
      </c>
      <c r="V76" s="171">
        <v>2969490</v>
      </c>
      <c r="W76" s="171">
        <v>856520</v>
      </c>
      <c r="X76" s="171">
        <v>220400</v>
      </c>
      <c r="Y76" s="171">
        <v>538476</v>
      </c>
      <c r="Z76" s="171">
        <v>135800</v>
      </c>
      <c r="AA76" s="171">
        <v>0</v>
      </c>
      <c r="AB76" s="171">
        <v>-9550214</v>
      </c>
      <c r="AC76" s="171">
        <v>-82340</v>
      </c>
      <c r="AD76" s="171">
        <v>15572</v>
      </c>
      <c r="AE76" s="171">
        <v>2941</v>
      </c>
      <c r="AF76" s="171">
        <v>6182280</v>
      </c>
      <c r="AG76" s="171">
        <v>152085</v>
      </c>
      <c r="AH76" s="135">
        <v>7832142</v>
      </c>
      <c r="AI76" s="171">
        <v>1100</v>
      </c>
      <c r="AJ76" s="169">
        <v>900500</v>
      </c>
      <c r="AK76" s="160">
        <v>103987575</v>
      </c>
      <c r="AL76" s="161">
        <v>3718827</v>
      </c>
      <c r="AN76" s="171">
        <v>14037143</v>
      </c>
      <c r="AO76" s="171">
        <v>2082331</v>
      </c>
      <c r="AP76" s="171">
        <v>6002648</v>
      </c>
      <c r="AQ76" s="171">
        <v>22399526</v>
      </c>
      <c r="AR76" s="171">
        <v>6384610</v>
      </c>
      <c r="AS76" s="171">
        <v>56102</v>
      </c>
      <c r="AT76" s="171">
        <v>13721307</v>
      </c>
      <c r="AV76" s="171">
        <v>1794499</v>
      </c>
      <c r="AW76" s="171">
        <v>17375400</v>
      </c>
      <c r="AY76" s="171">
        <v>315721</v>
      </c>
      <c r="AZ76" s="160">
        <v>6436192.6299999999</v>
      </c>
      <c r="BA76" s="160">
        <v>3475544</v>
      </c>
      <c r="BB76" s="162">
        <v>15324286.949844562</v>
      </c>
      <c r="BC76" s="162">
        <v>0</v>
      </c>
      <c r="BD76" s="162">
        <v>0</v>
      </c>
      <c r="BE76" s="117">
        <v>6769790</v>
      </c>
      <c r="BF76" s="117">
        <v>6769790</v>
      </c>
      <c r="BG76" s="117">
        <v>34409864</v>
      </c>
      <c r="BH76" s="117">
        <v>34409864</v>
      </c>
      <c r="BI76" s="117">
        <v>0</v>
      </c>
      <c r="BJ76" s="117">
        <v>0</v>
      </c>
      <c r="BK76" s="172"/>
      <c r="BL76" s="163">
        <v>673591298</v>
      </c>
      <c r="BM76" s="163">
        <v>521229698</v>
      </c>
      <c r="BN76" s="164">
        <v>585842</v>
      </c>
      <c r="BP76" s="166">
        <f t="shared" si="2"/>
        <v>473976956</v>
      </c>
      <c r="BQ76" s="167">
        <f>AK76</f>
        <v>103987575</v>
      </c>
      <c r="BR76" s="167">
        <f>AL76</f>
        <v>3718827</v>
      </c>
      <c r="BS76" s="166">
        <f>AN76+AO76+AQ76+AS76</f>
        <v>38575102</v>
      </c>
      <c r="BT76" s="166">
        <f t="shared" si="3"/>
        <v>620258460</v>
      </c>
    </row>
    <row r="77" spans="1:72" x14ac:dyDescent="0.25">
      <c r="A77" s="168" t="s">
        <v>131</v>
      </c>
      <c r="B77" s="135">
        <v>4591308803</v>
      </c>
      <c r="C77" s="135">
        <v>442051796</v>
      </c>
      <c r="D77" s="135">
        <v>1542994167</v>
      </c>
      <c r="E77" s="135">
        <v>0</v>
      </c>
      <c r="F77" s="135">
        <v>314194429</v>
      </c>
      <c r="G77" s="135">
        <v>27024485</v>
      </c>
      <c r="H77" s="135">
        <v>28090344</v>
      </c>
      <c r="I77" s="135">
        <v>1436850</v>
      </c>
      <c r="J77" s="135">
        <v>648900</v>
      </c>
      <c r="K77" s="135">
        <v>0</v>
      </c>
      <c r="L77" s="135">
        <v>1037243229</v>
      </c>
      <c r="M77" s="135">
        <v>261363302</v>
      </c>
      <c r="N77" s="135">
        <v>7605</v>
      </c>
      <c r="O77" s="135">
        <v>656</v>
      </c>
      <c r="P77" s="135">
        <v>174751049</v>
      </c>
      <c r="Q77" s="135">
        <v>12297300</v>
      </c>
      <c r="R77" s="135">
        <v>26812826</v>
      </c>
      <c r="S77" s="135">
        <v>14789626</v>
      </c>
      <c r="T77" s="135">
        <v>3109275</v>
      </c>
      <c r="U77" s="135">
        <v>5480930</v>
      </c>
      <c r="V77" s="135">
        <v>174751049</v>
      </c>
      <c r="W77" s="135">
        <v>14367200</v>
      </c>
      <c r="X77" s="135">
        <v>26812826</v>
      </c>
      <c r="Y77" s="135">
        <v>14789626</v>
      </c>
      <c r="Z77" s="135">
        <v>16572567</v>
      </c>
      <c r="AA77" s="135">
        <v>5480930</v>
      </c>
      <c r="AB77" s="135">
        <v>10741989</v>
      </c>
      <c r="AC77" s="135">
        <v>264383</v>
      </c>
      <c r="AD77" s="135">
        <v>1993</v>
      </c>
      <c r="AE77" s="135">
        <v>21058.15</v>
      </c>
      <c r="AF77" s="135">
        <v>98672743</v>
      </c>
      <c r="AG77" s="135">
        <v>207613.3199</v>
      </c>
      <c r="AH77" s="135">
        <v>0</v>
      </c>
      <c r="AI77" s="135">
        <v>1396974</v>
      </c>
      <c r="AJ77" s="169"/>
      <c r="AK77" s="160">
        <v>918215833</v>
      </c>
      <c r="AL77" s="161">
        <v>24539523</v>
      </c>
      <c r="AM77" s="135"/>
      <c r="AN77" s="135">
        <v>170933977</v>
      </c>
      <c r="AO77" s="135">
        <v>26618638</v>
      </c>
      <c r="AP77" s="135">
        <v>592819847</v>
      </c>
      <c r="AQ77" s="135">
        <v>158015684</v>
      </c>
      <c r="AR77" s="135">
        <v>276753078</v>
      </c>
      <c r="AS77" s="135">
        <v>99276665</v>
      </c>
      <c r="AT77" s="135">
        <f>56048916+195918216</f>
        <v>251967132</v>
      </c>
      <c r="AU77" s="135"/>
      <c r="AV77" s="135"/>
      <c r="AW77" s="135">
        <v>1439947</v>
      </c>
      <c r="AX77" s="135">
        <v>6372162</v>
      </c>
      <c r="AY77" s="135">
        <v>1321957</v>
      </c>
      <c r="AZ77" s="160">
        <v>56831924.130000003</v>
      </c>
      <c r="BA77" s="160">
        <v>30689239</v>
      </c>
      <c r="BB77" s="162">
        <v>0</v>
      </c>
      <c r="BC77" s="162">
        <v>2883702</v>
      </c>
      <c r="BD77" s="162">
        <v>4304033</v>
      </c>
      <c r="BE77" s="117">
        <v>72971978</v>
      </c>
      <c r="BF77" s="117">
        <v>72971978</v>
      </c>
      <c r="BG77" s="117">
        <v>263281249</v>
      </c>
      <c r="BH77" s="117">
        <v>257685557</v>
      </c>
      <c r="BI77" s="117">
        <v>0</v>
      </c>
      <c r="BJ77" s="117">
        <v>0</v>
      </c>
      <c r="BK77" s="138"/>
      <c r="BL77" s="163">
        <v>8240305871</v>
      </c>
      <c r="BM77" s="163">
        <v>6933320039</v>
      </c>
      <c r="BN77" s="164">
        <v>3304114</v>
      </c>
      <c r="BP77" s="166">
        <f t="shared" si="2"/>
        <v>6576354766</v>
      </c>
      <c r="BQ77" s="167">
        <f>AK77</f>
        <v>918215833</v>
      </c>
      <c r="BR77" s="167">
        <f>AL77</f>
        <v>24539523</v>
      </c>
      <c r="BS77" s="166">
        <f>AN77+AO77+AQ77+AS77</f>
        <v>454844964</v>
      </c>
      <c r="BT77" s="166">
        <f t="shared" si="3"/>
        <v>7973955086</v>
      </c>
    </row>
    <row r="78" spans="1:72" x14ac:dyDescent="0.25">
      <c r="A78" s="168" t="s">
        <v>132</v>
      </c>
      <c r="B78" s="135">
        <v>119541200</v>
      </c>
      <c r="C78" s="135">
        <v>50197995</v>
      </c>
      <c r="D78" s="135">
        <v>57344718</v>
      </c>
      <c r="E78" s="135">
        <v>0</v>
      </c>
      <c r="F78" s="135">
        <v>24586500</v>
      </c>
      <c r="G78" s="135">
        <v>25173860</v>
      </c>
      <c r="H78" s="135">
        <v>11230291</v>
      </c>
      <c r="I78" s="135">
        <v>7080240</v>
      </c>
      <c r="J78" s="135">
        <v>92700</v>
      </c>
      <c r="K78" s="135">
        <v>0</v>
      </c>
      <c r="L78" s="135">
        <v>85523583</v>
      </c>
      <c r="M78" s="135">
        <v>41360950</v>
      </c>
      <c r="N78" s="135">
        <v>1117</v>
      </c>
      <c r="O78" s="135">
        <v>1148</v>
      </c>
      <c r="P78" s="135">
        <v>2023500</v>
      </c>
      <c r="Q78" s="135">
        <v>885400</v>
      </c>
      <c r="R78" s="135">
        <v>0</v>
      </c>
      <c r="S78" s="135">
        <v>1519900</v>
      </c>
      <c r="T78" s="135">
        <v>440800</v>
      </c>
      <c r="U78" s="135">
        <v>15000</v>
      </c>
      <c r="V78" s="135">
        <v>2023500</v>
      </c>
      <c r="W78" s="135">
        <v>870000</v>
      </c>
      <c r="X78" s="135">
        <v>0</v>
      </c>
      <c r="Y78" s="135">
        <v>1519900</v>
      </c>
      <c r="Z78" s="135">
        <v>475400</v>
      </c>
      <c r="AA78" s="135">
        <v>15000</v>
      </c>
      <c r="AB78" s="135">
        <v>-1824157</v>
      </c>
      <c r="AC78" s="135"/>
      <c r="AD78" s="135">
        <v>146273</v>
      </c>
      <c r="AE78" s="135">
        <v>0</v>
      </c>
      <c r="AF78" s="135">
        <v>0</v>
      </c>
      <c r="AG78" s="135">
        <v>2450952</v>
      </c>
      <c r="AH78" s="135">
        <v>7866269</v>
      </c>
      <c r="AI78" s="135">
        <v>1726886</v>
      </c>
      <c r="AJ78" s="169">
        <v>25000</v>
      </c>
      <c r="AK78" s="160">
        <v>98710135</v>
      </c>
      <c r="AL78" s="161">
        <v>2714124</v>
      </c>
      <c r="AM78" s="135"/>
      <c r="AN78" s="135">
        <v>12885464</v>
      </c>
      <c r="AO78" s="135">
        <v>107729</v>
      </c>
      <c r="AP78" s="135">
        <v>1451371</v>
      </c>
      <c r="AQ78" s="135">
        <v>6355862</v>
      </c>
      <c r="AR78" s="135">
        <v>281963</v>
      </c>
      <c r="AS78" s="135"/>
      <c r="AT78" s="135">
        <v>243926</v>
      </c>
      <c r="AU78" s="135"/>
      <c r="AV78" s="135"/>
      <c r="AW78" s="135"/>
      <c r="AX78" s="135"/>
      <c r="AY78" s="135"/>
      <c r="AZ78" s="160">
        <v>6109551.4800000004</v>
      </c>
      <c r="BA78" s="160">
        <v>3299158</v>
      </c>
      <c r="BB78" s="162">
        <v>0</v>
      </c>
      <c r="BC78" s="162">
        <v>0</v>
      </c>
      <c r="BD78" s="162">
        <v>0</v>
      </c>
      <c r="BE78" s="117">
        <v>772624</v>
      </c>
      <c r="BF78" s="117">
        <v>772624</v>
      </c>
      <c r="BG78" s="117">
        <v>45613942</v>
      </c>
      <c r="BH78" s="117">
        <v>45613942</v>
      </c>
      <c r="BI78" s="117">
        <v>0</v>
      </c>
      <c r="BJ78" s="117">
        <v>0</v>
      </c>
      <c r="BK78" s="138"/>
      <c r="BL78" s="163">
        <v>407161106</v>
      </c>
      <c r="BM78" s="163">
        <v>256051123</v>
      </c>
      <c r="BN78" s="164">
        <v>332166</v>
      </c>
      <c r="BP78" s="166">
        <f t="shared" si="2"/>
        <v>227083913</v>
      </c>
      <c r="BQ78" s="167">
        <f>AK78</f>
        <v>98710135</v>
      </c>
      <c r="BR78" s="167">
        <f>AL78</f>
        <v>2714124</v>
      </c>
      <c r="BS78" s="166">
        <f>AN78+AO78+AQ78+AS78</f>
        <v>19349055</v>
      </c>
      <c r="BT78" s="166">
        <f t="shared" si="3"/>
        <v>347857227</v>
      </c>
    </row>
    <row r="79" spans="1:72" x14ac:dyDescent="0.25">
      <c r="A79" s="168" t="s">
        <v>133</v>
      </c>
      <c r="B79" s="135">
        <v>665804524</v>
      </c>
      <c r="C79" s="135">
        <v>229248131</v>
      </c>
      <c r="D79" s="135">
        <v>402824182</v>
      </c>
      <c r="E79" s="135">
        <v>47776000</v>
      </c>
      <c r="F79" s="135">
        <v>67743100</v>
      </c>
      <c r="G79" s="135">
        <v>14116160</v>
      </c>
      <c r="H79" s="135">
        <v>19102050</v>
      </c>
      <c r="I79" s="135">
        <v>2813700</v>
      </c>
      <c r="J79" s="135">
        <v>179550</v>
      </c>
      <c r="K79" s="135">
        <v>0</v>
      </c>
      <c r="L79" s="135">
        <v>508137581</v>
      </c>
      <c r="M79" s="135">
        <v>159574400</v>
      </c>
      <c r="N79" s="135">
        <v>1926</v>
      </c>
      <c r="O79" s="135">
        <v>402</v>
      </c>
      <c r="P79" s="135">
        <v>9013000</v>
      </c>
      <c r="Q79" s="135">
        <v>2805500</v>
      </c>
      <c r="R79" s="135">
        <v>8857000</v>
      </c>
      <c r="S79" s="135">
        <v>2306661</v>
      </c>
      <c r="T79" s="135">
        <v>1826100</v>
      </c>
      <c r="U79" s="135">
        <v>532500</v>
      </c>
      <c r="V79" s="135">
        <v>9013000</v>
      </c>
      <c r="W79" s="135">
        <v>3028690</v>
      </c>
      <c r="X79" s="135">
        <v>8857000</v>
      </c>
      <c r="Y79" s="135">
        <v>2306661</v>
      </c>
      <c r="Z79" s="135">
        <v>2478603</v>
      </c>
      <c r="AA79" s="135">
        <v>532500</v>
      </c>
      <c r="AB79" s="135">
        <v>-1216750</v>
      </c>
      <c r="AC79" s="135">
        <v>-10225</v>
      </c>
      <c r="AD79" s="135">
        <v>53178</v>
      </c>
      <c r="AE79" s="135"/>
      <c r="AF79" s="135"/>
      <c r="AG79" s="135">
        <v>236551</v>
      </c>
      <c r="AH79" s="135">
        <v>0</v>
      </c>
      <c r="AI79" s="135">
        <v>216796</v>
      </c>
      <c r="AJ79" s="169"/>
      <c r="AK79" s="160">
        <v>178883101</v>
      </c>
      <c r="AL79" s="161">
        <v>4452109</v>
      </c>
      <c r="AM79" s="135"/>
      <c r="AN79" s="135">
        <v>46792475</v>
      </c>
      <c r="AO79" s="135">
        <v>19538000</v>
      </c>
      <c r="AP79" s="135">
        <v>313929516</v>
      </c>
      <c r="AQ79" s="135">
        <v>50012567</v>
      </c>
      <c r="AR79" s="135">
        <v>114410952</v>
      </c>
      <c r="AS79" s="135">
        <v>12977191</v>
      </c>
      <c r="AT79" s="135">
        <v>12084579</v>
      </c>
      <c r="AU79" s="135"/>
      <c r="AV79" s="135">
        <v>1302400</v>
      </c>
      <c r="AW79" s="135">
        <v>140866</v>
      </c>
      <c r="AX79" s="135">
        <v>220937</v>
      </c>
      <c r="AY79" s="135">
        <v>21000</v>
      </c>
      <c r="AZ79" s="160">
        <v>11071765.98</v>
      </c>
      <c r="BA79" s="160">
        <v>5978754</v>
      </c>
      <c r="BB79" s="162">
        <v>0</v>
      </c>
      <c r="BC79" s="162">
        <v>0</v>
      </c>
      <c r="BD79" s="162">
        <v>0</v>
      </c>
      <c r="BE79" s="117">
        <v>51510547</v>
      </c>
      <c r="BF79" s="117">
        <v>51510547</v>
      </c>
      <c r="BG79" s="117">
        <v>59437275</v>
      </c>
      <c r="BH79" s="117">
        <v>59256246</v>
      </c>
      <c r="BI79" s="117">
        <v>325404892</v>
      </c>
      <c r="BJ79" s="117">
        <v>0</v>
      </c>
      <c r="BK79" s="138"/>
      <c r="BL79" s="163">
        <v>2039922324</v>
      </c>
      <c r="BM79" s="163">
        <v>1414436675</v>
      </c>
      <c r="BN79" s="164">
        <v>1115000</v>
      </c>
      <c r="BP79" s="166">
        <f t="shared" si="2"/>
        <v>1297876837</v>
      </c>
      <c r="BQ79" s="167">
        <f>AK79</f>
        <v>178883101</v>
      </c>
      <c r="BR79" s="167">
        <f>AL79</f>
        <v>4452109</v>
      </c>
      <c r="BS79" s="166">
        <f>AN79+AO79+AQ79+AS79</f>
        <v>129320233</v>
      </c>
      <c r="BT79" s="166">
        <f t="shared" si="3"/>
        <v>1610532280</v>
      </c>
    </row>
    <row r="80" spans="1:72" x14ac:dyDescent="0.25">
      <c r="A80" s="168" t="s">
        <v>134</v>
      </c>
      <c r="B80" s="135">
        <v>1598018235</v>
      </c>
      <c r="C80" s="135">
        <v>258920830</v>
      </c>
      <c r="D80" s="135">
        <v>587842709</v>
      </c>
      <c r="E80" s="135">
        <v>0</v>
      </c>
      <c r="F80" s="135">
        <v>159402544</v>
      </c>
      <c r="G80" s="135">
        <v>20858350</v>
      </c>
      <c r="H80" s="135">
        <v>26089597</v>
      </c>
      <c r="I80" s="135">
        <v>2003407</v>
      </c>
      <c r="J80" s="135">
        <v>672400</v>
      </c>
      <c r="K80" s="135">
        <v>46350</v>
      </c>
      <c r="L80" s="135">
        <v>337636256</v>
      </c>
      <c r="M80" s="135">
        <v>192804802</v>
      </c>
      <c r="N80" s="135">
        <v>4228</v>
      </c>
      <c r="O80" s="135">
        <v>561</v>
      </c>
      <c r="P80" s="135">
        <v>30791546</v>
      </c>
      <c r="Q80" s="135">
        <v>11643681</v>
      </c>
      <c r="R80" s="135">
        <v>89697240</v>
      </c>
      <c r="S80" s="135">
        <v>93498283</v>
      </c>
      <c r="T80" s="135">
        <v>1710806</v>
      </c>
      <c r="U80" s="135">
        <v>3442000</v>
      </c>
      <c r="V80" s="135">
        <v>31179896</v>
      </c>
      <c r="W80" s="135">
        <v>13534300</v>
      </c>
      <c r="X80" s="135">
        <v>89697240</v>
      </c>
      <c r="Y80" s="135">
        <v>93654043</v>
      </c>
      <c r="Z80" s="135">
        <v>2090000</v>
      </c>
      <c r="AA80" s="135">
        <v>3482500</v>
      </c>
      <c r="AB80" s="135">
        <v>-9641261</v>
      </c>
      <c r="AC80" s="135">
        <v>-302619</v>
      </c>
      <c r="AD80" s="135"/>
      <c r="AE80" s="135"/>
      <c r="AF80" s="135"/>
      <c r="AG80" s="135">
        <v>129612.79</v>
      </c>
      <c r="AH80" s="135">
        <v>0</v>
      </c>
      <c r="AI80" s="135">
        <v>22276</v>
      </c>
      <c r="AJ80" s="169"/>
      <c r="AK80" s="160">
        <v>380979549</v>
      </c>
      <c r="AL80" s="161">
        <v>46435137</v>
      </c>
      <c r="AM80" s="135">
        <v>1427461</v>
      </c>
      <c r="AN80" s="135">
        <v>119787130</v>
      </c>
      <c r="AO80" s="135">
        <v>52465197</v>
      </c>
      <c r="AP80" s="135">
        <v>1008996065</v>
      </c>
      <c r="AQ80" s="135">
        <v>118287045</v>
      </c>
      <c r="AR80" s="135">
        <v>184077008</v>
      </c>
      <c r="AS80" s="135">
        <v>125368158</v>
      </c>
      <c r="AT80" s="135">
        <v>5549041</v>
      </c>
      <c r="AU80" s="135"/>
      <c r="AV80" s="135">
        <v>514300</v>
      </c>
      <c r="AW80" s="135">
        <v>197182</v>
      </c>
      <c r="AX80" s="135">
        <v>192952</v>
      </c>
      <c r="AY80" s="135">
        <v>250984</v>
      </c>
      <c r="AZ80" s="160">
        <v>23580295.66</v>
      </c>
      <c r="BA80" s="160">
        <v>12733360</v>
      </c>
      <c r="BB80" s="162">
        <v>18914242.284248702</v>
      </c>
      <c r="BC80" s="162">
        <v>1743155</v>
      </c>
      <c r="BD80" s="162">
        <v>2601724</v>
      </c>
      <c r="BE80" s="117">
        <v>26560961</v>
      </c>
      <c r="BF80" s="117">
        <v>20695254</v>
      </c>
      <c r="BG80" s="117">
        <v>67870058</v>
      </c>
      <c r="BH80" s="117">
        <v>66417692</v>
      </c>
      <c r="BI80" s="117">
        <v>0</v>
      </c>
      <c r="BJ80" s="117">
        <v>11908527</v>
      </c>
      <c r="BK80" s="138"/>
      <c r="BL80" s="163">
        <v>3276256096</v>
      </c>
      <c r="BM80" s="163">
        <v>2735343422</v>
      </c>
      <c r="BN80" s="164"/>
      <c r="BP80" s="166">
        <f t="shared" si="2"/>
        <v>2444781774</v>
      </c>
      <c r="BQ80" s="167">
        <f>AK80</f>
        <v>380979549</v>
      </c>
      <c r="BR80" s="167">
        <f>AL80</f>
        <v>46435137</v>
      </c>
      <c r="BS80" s="166">
        <f>AN80+AO80+AQ80+AS80</f>
        <v>415907530</v>
      </c>
      <c r="BT80" s="166">
        <f t="shared" si="3"/>
        <v>3288103990</v>
      </c>
    </row>
    <row r="81" spans="1:72" x14ac:dyDescent="0.25">
      <c r="A81" s="168" t="s">
        <v>135</v>
      </c>
      <c r="B81" s="135">
        <v>99867483</v>
      </c>
      <c r="C81" s="135">
        <v>30818568</v>
      </c>
      <c r="D81" s="135">
        <v>82811821</v>
      </c>
      <c r="E81" s="135">
        <v>0</v>
      </c>
      <c r="F81" s="135">
        <v>31627625</v>
      </c>
      <c r="G81" s="135">
        <v>15852351</v>
      </c>
      <c r="H81" s="135">
        <v>9936210</v>
      </c>
      <c r="I81" s="135">
        <v>2864000</v>
      </c>
      <c r="J81" s="135">
        <v>92700</v>
      </c>
      <c r="K81" s="135">
        <v>0</v>
      </c>
      <c r="L81" s="135">
        <v>16901781</v>
      </c>
      <c r="M81" s="135">
        <v>29344075</v>
      </c>
      <c r="N81" s="135">
        <v>1209</v>
      </c>
      <c r="O81" s="135">
        <v>608</v>
      </c>
      <c r="P81" s="135">
        <v>855000</v>
      </c>
      <c r="Q81" s="135">
        <v>352250</v>
      </c>
      <c r="R81" s="135">
        <v>1448500</v>
      </c>
      <c r="S81" s="135">
        <v>1041550</v>
      </c>
      <c r="T81" s="135">
        <v>235625</v>
      </c>
      <c r="U81" s="135">
        <v>141000</v>
      </c>
      <c r="V81" s="135">
        <v>855000</v>
      </c>
      <c r="W81" s="135">
        <v>344000</v>
      </c>
      <c r="X81" s="135">
        <v>1448500</v>
      </c>
      <c r="Y81" s="135">
        <v>1041550</v>
      </c>
      <c r="Z81" s="135">
        <v>214825</v>
      </c>
      <c r="AA81" s="135">
        <v>141000</v>
      </c>
      <c r="AB81" s="135">
        <v>-1469802</v>
      </c>
      <c r="AC81" s="135"/>
      <c r="AD81" s="135">
        <v>1</v>
      </c>
      <c r="AE81" s="135">
        <v>0</v>
      </c>
      <c r="AF81" s="135">
        <v>0</v>
      </c>
      <c r="AG81" s="135">
        <v>60</v>
      </c>
      <c r="AH81" s="135">
        <v>998700</v>
      </c>
      <c r="AI81" s="135">
        <v>21993072</v>
      </c>
      <c r="AJ81" s="169">
        <v>7500300</v>
      </c>
      <c r="AK81" s="160">
        <v>108417580</v>
      </c>
      <c r="AL81" s="161">
        <v>3286564</v>
      </c>
      <c r="AM81" s="135"/>
      <c r="AN81" s="135">
        <v>10911493</v>
      </c>
      <c r="AO81" s="135">
        <v>456803</v>
      </c>
      <c r="AP81" s="135">
        <v>20756071</v>
      </c>
      <c r="AQ81" s="135">
        <v>9606543</v>
      </c>
      <c r="AR81" s="135">
        <v>3059259</v>
      </c>
      <c r="AS81" s="135"/>
      <c r="AT81" s="135">
        <v>127852</v>
      </c>
      <c r="AU81" s="135"/>
      <c r="AV81" s="135"/>
      <c r="AW81" s="135"/>
      <c r="AX81" s="135"/>
      <c r="AY81" s="135">
        <v>5692358</v>
      </c>
      <c r="AZ81" s="160">
        <v>6710382.7400000002</v>
      </c>
      <c r="BA81" s="160">
        <v>3623607</v>
      </c>
      <c r="BB81" s="162">
        <v>0</v>
      </c>
      <c r="BC81" s="162">
        <v>5937898</v>
      </c>
      <c r="BD81" s="162">
        <v>8862534</v>
      </c>
      <c r="BE81" s="117">
        <v>38875038</v>
      </c>
      <c r="BF81" s="117">
        <v>38875038</v>
      </c>
      <c r="BG81" s="117">
        <v>52980972</v>
      </c>
      <c r="BH81" s="117">
        <v>49154250</v>
      </c>
      <c r="BI81" s="117">
        <v>0</v>
      </c>
      <c r="BJ81" s="117">
        <v>0</v>
      </c>
      <c r="BK81" s="138"/>
      <c r="BL81" s="163">
        <v>474259720</v>
      </c>
      <c r="BM81" s="163">
        <v>264964783</v>
      </c>
      <c r="BN81" s="164">
        <v>1298730</v>
      </c>
      <c r="BP81" s="166">
        <f t="shared" si="2"/>
        <v>213497872</v>
      </c>
      <c r="BQ81" s="167">
        <f>AK81</f>
        <v>108417580</v>
      </c>
      <c r="BR81" s="167">
        <f>AL81</f>
        <v>3286564</v>
      </c>
      <c r="BS81" s="166">
        <f>AN81+AO81+AQ81+AS81</f>
        <v>20974839</v>
      </c>
      <c r="BT81" s="166">
        <f t="shared" si="3"/>
        <v>346176855</v>
      </c>
    </row>
    <row r="82" spans="1:72" x14ac:dyDescent="0.25">
      <c r="A82" s="168" t="s">
        <v>136</v>
      </c>
      <c r="B82" s="135">
        <v>464913841</v>
      </c>
      <c r="C82" s="135">
        <v>131187342</v>
      </c>
      <c r="D82" s="135">
        <v>290421147</v>
      </c>
      <c r="E82" s="135">
        <v>0</v>
      </c>
      <c r="F82" s="135">
        <v>61322480</v>
      </c>
      <c r="G82" s="135">
        <v>9594243</v>
      </c>
      <c r="H82" s="135">
        <v>9522646</v>
      </c>
      <c r="I82" s="135">
        <v>1106550</v>
      </c>
      <c r="J82" s="135">
        <v>139050</v>
      </c>
      <c r="K82" s="135">
        <v>0</v>
      </c>
      <c r="L82" s="135">
        <v>302148492</v>
      </c>
      <c r="M82" s="135">
        <v>83335064</v>
      </c>
      <c r="N82" s="135">
        <v>1619</v>
      </c>
      <c r="O82" s="135">
        <v>258</v>
      </c>
      <c r="P82" s="135">
        <v>5907759</v>
      </c>
      <c r="Q82" s="135">
        <v>3718912</v>
      </c>
      <c r="R82" s="135">
        <v>31867884</v>
      </c>
      <c r="S82" s="135">
        <v>994410</v>
      </c>
      <c r="T82" s="135">
        <v>107200</v>
      </c>
      <c r="U82" s="135">
        <v>1430247</v>
      </c>
      <c r="V82" s="135">
        <v>5907759</v>
      </c>
      <c r="W82" s="135">
        <v>4227699</v>
      </c>
      <c r="X82" s="135">
        <v>31867884</v>
      </c>
      <c r="Y82" s="135">
        <v>994410</v>
      </c>
      <c r="Z82" s="135">
        <v>643704</v>
      </c>
      <c r="AA82" s="135">
        <v>1430247</v>
      </c>
      <c r="AB82" s="135">
        <v>-3610462</v>
      </c>
      <c r="AC82" s="135">
        <v>163711</v>
      </c>
      <c r="AD82" s="135">
        <v>1800</v>
      </c>
      <c r="AE82" s="135">
        <v>0</v>
      </c>
      <c r="AF82" s="135">
        <v>0</v>
      </c>
      <c r="AG82" s="135">
        <v>132436</v>
      </c>
      <c r="AH82" s="135">
        <v>0</v>
      </c>
      <c r="AI82" s="135">
        <v>975500</v>
      </c>
      <c r="AJ82" s="169"/>
      <c r="AK82" s="160">
        <v>154365379</v>
      </c>
      <c r="AL82" s="161">
        <v>3219523</v>
      </c>
      <c r="AM82" s="135"/>
      <c r="AN82" s="135">
        <v>71868736</v>
      </c>
      <c r="AO82" s="135">
        <v>20380070</v>
      </c>
      <c r="AP82" s="135">
        <v>301841326</v>
      </c>
      <c r="AQ82" s="135">
        <v>92424814</v>
      </c>
      <c r="AR82" s="135">
        <v>53355820</v>
      </c>
      <c r="AS82" s="135">
        <v>3333965</v>
      </c>
      <c r="AT82" s="135"/>
      <c r="AU82" s="135"/>
      <c r="AV82" s="135"/>
      <c r="AW82" s="135">
        <v>82379</v>
      </c>
      <c r="AX82" s="135">
        <v>58905</v>
      </c>
      <c r="AY82" s="135">
        <v>586000</v>
      </c>
      <c r="AZ82" s="160">
        <v>9554269.4800000004</v>
      </c>
      <c r="BA82" s="160">
        <v>5159306</v>
      </c>
      <c r="BB82" s="162">
        <v>21325406.31481865</v>
      </c>
      <c r="BC82" s="162">
        <v>5066810</v>
      </c>
      <c r="BD82" s="162">
        <v>7562403</v>
      </c>
      <c r="BE82" s="117">
        <v>311128000</v>
      </c>
      <c r="BF82" s="117">
        <v>311128000</v>
      </c>
      <c r="BG82" s="117">
        <v>114686095</v>
      </c>
      <c r="BH82" s="117">
        <v>107979976</v>
      </c>
      <c r="BI82" s="117">
        <v>90289</v>
      </c>
      <c r="BJ82" s="117">
        <v>0</v>
      </c>
      <c r="BK82" s="138"/>
      <c r="BL82" s="163">
        <v>1659180733</v>
      </c>
      <c r="BM82" s="163">
        <v>1072171450</v>
      </c>
      <c r="BN82" s="164">
        <v>502076</v>
      </c>
      <c r="BP82" s="166">
        <f t="shared" si="2"/>
        <v>886522330</v>
      </c>
      <c r="BQ82" s="167">
        <f>AK82</f>
        <v>154365379</v>
      </c>
      <c r="BR82" s="167">
        <f>AL82</f>
        <v>3219523</v>
      </c>
      <c r="BS82" s="166">
        <f>AN82+AO82+AQ82+AS82</f>
        <v>188007585</v>
      </c>
      <c r="BT82" s="166">
        <f t="shared" si="3"/>
        <v>1232114817</v>
      </c>
    </row>
    <row r="83" spans="1:72" x14ac:dyDescent="0.25">
      <c r="A83" s="168" t="s">
        <v>137</v>
      </c>
      <c r="B83" s="135">
        <v>1185002561</v>
      </c>
      <c r="C83" s="135">
        <v>218311992</v>
      </c>
      <c r="D83" s="135">
        <v>177643000</v>
      </c>
      <c r="E83" s="135">
        <v>0</v>
      </c>
      <c r="F83" s="135">
        <v>99313291</v>
      </c>
      <c r="G83" s="135">
        <v>19045528</v>
      </c>
      <c r="H83" s="135">
        <v>20754008</v>
      </c>
      <c r="I83" s="135">
        <v>1978000</v>
      </c>
      <c r="J83" s="135">
        <v>177550</v>
      </c>
      <c r="K83" s="135">
        <v>0</v>
      </c>
      <c r="L83" s="135">
        <v>493630050</v>
      </c>
      <c r="M83" s="135">
        <v>163602700</v>
      </c>
      <c r="N83" s="135">
        <v>2708</v>
      </c>
      <c r="O83" s="135">
        <v>482</v>
      </c>
      <c r="P83" s="135">
        <v>33014550</v>
      </c>
      <c r="Q83" s="135">
        <v>3399800</v>
      </c>
      <c r="R83" s="135">
        <v>6650600</v>
      </c>
      <c r="S83" s="135">
        <v>1537100</v>
      </c>
      <c r="T83" s="135">
        <v>790100</v>
      </c>
      <c r="U83" s="135">
        <v>136000</v>
      </c>
      <c r="V83" s="135">
        <v>33014550</v>
      </c>
      <c r="W83" s="135">
        <v>3399800</v>
      </c>
      <c r="X83" s="135">
        <v>6650600</v>
      </c>
      <c r="Y83" s="135">
        <v>1537100</v>
      </c>
      <c r="Z83" s="135">
        <v>790100</v>
      </c>
      <c r="AA83" s="135">
        <v>136000</v>
      </c>
      <c r="AB83" s="135">
        <v>-2811211</v>
      </c>
      <c r="AC83" s="135">
        <v>-167</v>
      </c>
      <c r="AD83" s="135">
        <v>56992</v>
      </c>
      <c r="AE83" s="135">
        <v>0</v>
      </c>
      <c r="AF83" s="135">
        <v>0</v>
      </c>
      <c r="AG83" s="135">
        <v>137508</v>
      </c>
      <c r="AH83" s="135">
        <v>0</v>
      </c>
      <c r="AI83" s="135">
        <v>7942581</v>
      </c>
      <c r="AJ83" s="169"/>
      <c r="AK83" s="160">
        <v>295078764</v>
      </c>
      <c r="AL83" s="161">
        <v>12774530</v>
      </c>
      <c r="AM83" s="135"/>
      <c r="AN83" s="135">
        <v>49392544</v>
      </c>
      <c r="AO83" s="135">
        <v>5278487</v>
      </c>
      <c r="AP83" s="135">
        <v>99928268</v>
      </c>
      <c r="AQ83" s="135">
        <v>31207421</v>
      </c>
      <c r="AR83" s="135">
        <v>32897270</v>
      </c>
      <c r="AS83" s="135">
        <v>22707662</v>
      </c>
      <c r="AT83" s="135">
        <v>1405542</v>
      </c>
      <c r="AU83" s="135"/>
      <c r="AV83" s="135"/>
      <c r="AW83" s="135">
        <v>98285846</v>
      </c>
      <c r="AX83" s="135">
        <v>10047</v>
      </c>
      <c r="AY83" s="135"/>
      <c r="AZ83" s="160">
        <v>18263564.32</v>
      </c>
      <c r="BA83" s="160">
        <v>9862325</v>
      </c>
      <c r="BB83" s="162">
        <v>61082822.107772022</v>
      </c>
      <c r="BC83" s="162">
        <v>2695570</v>
      </c>
      <c r="BD83" s="162">
        <v>4023240</v>
      </c>
      <c r="BE83" s="117">
        <v>31326933</v>
      </c>
      <c r="BF83" s="117">
        <v>30851660</v>
      </c>
      <c r="BG83" s="117">
        <v>114964261</v>
      </c>
      <c r="BH83" s="117">
        <v>112391998</v>
      </c>
      <c r="BI83" s="117">
        <v>0</v>
      </c>
      <c r="BJ83" s="117">
        <v>0</v>
      </c>
      <c r="BK83" s="138"/>
      <c r="BL83" s="163">
        <v>2138433433</v>
      </c>
      <c r="BM83" s="163">
        <v>1674778586</v>
      </c>
      <c r="BN83" s="164">
        <v>4170300</v>
      </c>
      <c r="BP83" s="166">
        <f t="shared" si="2"/>
        <v>1580957553</v>
      </c>
      <c r="BQ83" s="167">
        <f>AK83</f>
        <v>295078764</v>
      </c>
      <c r="BR83" s="167">
        <f>AL83</f>
        <v>12774530</v>
      </c>
      <c r="BS83" s="166">
        <f>AN83+AO83+AQ83+AS83</f>
        <v>108586114</v>
      </c>
      <c r="BT83" s="166">
        <f t="shared" si="3"/>
        <v>1997396961</v>
      </c>
    </row>
    <row r="84" spans="1:72" x14ac:dyDescent="0.25">
      <c r="A84" s="168" t="s">
        <v>138</v>
      </c>
      <c r="B84" s="135">
        <v>129721258</v>
      </c>
      <c r="C84" s="135">
        <v>38354472</v>
      </c>
      <c r="D84" s="135">
        <v>13540446</v>
      </c>
      <c r="E84" s="135">
        <v>0</v>
      </c>
      <c r="F84" s="135">
        <v>15983873</v>
      </c>
      <c r="G84" s="135">
        <v>13308420</v>
      </c>
      <c r="H84" s="135">
        <v>6180565</v>
      </c>
      <c r="I84" s="135">
        <v>2579585</v>
      </c>
      <c r="J84" s="135">
        <v>0</v>
      </c>
      <c r="K84" s="135">
        <v>0</v>
      </c>
      <c r="L84" s="135">
        <v>43570516</v>
      </c>
      <c r="M84" s="135">
        <v>27235906</v>
      </c>
      <c r="N84" s="135">
        <v>574</v>
      </c>
      <c r="O84" s="135">
        <v>427</v>
      </c>
      <c r="P84" s="135">
        <v>1382000</v>
      </c>
      <c r="Q84" s="135">
        <v>0</v>
      </c>
      <c r="R84" s="135">
        <v>0</v>
      </c>
      <c r="S84" s="135">
        <v>110000</v>
      </c>
      <c r="T84" s="135">
        <v>0</v>
      </c>
      <c r="U84" s="135">
        <v>0</v>
      </c>
      <c r="V84" s="135">
        <v>1382000</v>
      </c>
      <c r="W84" s="135">
        <v>0</v>
      </c>
      <c r="X84" s="135">
        <v>0</v>
      </c>
      <c r="Y84" s="135">
        <v>110000</v>
      </c>
      <c r="Z84" s="135">
        <v>0</v>
      </c>
      <c r="AA84" s="135">
        <v>0</v>
      </c>
      <c r="AB84" s="135">
        <v>-4023130</v>
      </c>
      <c r="AC84" s="135">
        <v>0</v>
      </c>
      <c r="AD84" s="135"/>
      <c r="AE84" s="135"/>
      <c r="AF84" s="135"/>
      <c r="AG84" s="135"/>
      <c r="AH84" s="135">
        <v>0</v>
      </c>
      <c r="AI84" s="135">
        <v>184016</v>
      </c>
      <c r="AJ84" s="169"/>
      <c r="AK84" s="160">
        <v>48564342</v>
      </c>
      <c r="AL84" s="161">
        <v>1946258</v>
      </c>
      <c r="AM84" s="165"/>
      <c r="AN84" s="135">
        <v>2749998</v>
      </c>
      <c r="AO84" s="135">
        <v>144632</v>
      </c>
      <c r="AP84" s="135">
        <v>8175052</v>
      </c>
      <c r="AQ84" s="135">
        <v>4283238</v>
      </c>
      <c r="AR84" s="135">
        <v>4120032</v>
      </c>
      <c r="AS84" s="135">
        <v>100585</v>
      </c>
      <c r="AT84" s="135">
        <v>278775</v>
      </c>
      <c r="AU84" s="165"/>
      <c r="AV84" s="165"/>
      <c r="AW84" s="165"/>
      <c r="AX84" s="135">
        <v>1028</v>
      </c>
      <c r="AY84" s="165"/>
      <c r="AZ84" s="160">
        <v>3005834.69</v>
      </c>
      <c r="BA84" s="160">
        <v>1623151</v>
      </c>
      <c r="BB84" s="162">
        <v>0</v>
      </c>
      <c r="BC84" s="162">
        <v>0</v>
      </c>
      <c r="BD84" s="162">
        <v>0</v>
      </c>
      <c r="BE84" s="117">
        <v>5334421</v>
      </c>
      <c r="BF84" s="117">
        <v>5334421</v>
      </c>
      <c r="BG84" s="117">
        <v>46696029</v>
      </c>
      <c r="BH84" s="117">
        <v>46689740</v>
      </c>
      <c r="BI84" s="117">
        <v>0</v>
      </c>
      <c r="BJ84" s="117">
        <v>0</v>
      </c>
      <c r="BK84" s="138"/>
      <c r="BL84" s="163">
        <v>343317365</v>
      </c>
      <c r="BM84" s="163">
        <v>239159453</v>
      </c>
      <c r="BN84" s="164"/>
      <c r="BP84" s="166">
        <f t="shared" si="2"/>
        <v>181616176</v>
      </c>
      <c r="BQ84" s="167">
        <f>AK84</f>
        <v>48564342</v>
      </c>
      <c r="BR84" s="167">
        <f>AL84</f>
        <v>1946258</v>
      </c>
      <c r="BS84" s="166">
        <f>AN85+AO85+AQ85+AS85</f>
        <v>57359261</v>
      </c>
      <c r="BT84" s="166">
        <f t="shared" si="3"/>
        <v>289486037</v>
      </c>
    </row>
    <row r="85" spans="1:72" x14ac:dyDescent="0.25">
      <c r="A85" s="168" t="s">
        <v>139</v>
      </c>
      <c r="B85" s="135">
        <v>1004579430</v>
      </c>
      <c r="C85" s="135">
        <v>316020675</v>
      </c>
      <c r="D85" s="135">
        <v>252673648</v>
      </c>
      <c r="E85" s="135">
        <v>0</v>
      </c>
      <c r="F85" s="135">
        <v>85157957</v>
      </c>
      <c r="G85" s="135">
        <v>13946842</v>
      </c>
      <c r="H85" s="135">
        <v>24751961</v>
      </c>
      <c r="I85" s="135">
        <v>3698052</v>
      </c>
      <c r="J85" s="135">
        <v>139050</v>
      </c>
      <c r="K85" s="135">
        <v>71350</v>
      </c>
      <c r="L85" s="135">
        <v>439300646</v>
      </c>
      <c r="M85" s="135">
        <v>257799822</v>
      </c>
      <c r="N85" s="135">
        <v>2414</v>
      </c>
      <c r="O85" s="135">
        <v>395</v>
      </c>
      <c r="P85" s="135">
        <v>30671888</v>
      </c>
      <c r="Q85" s="135">
        <v>8627157</v>
      </c>
      <c r="R85" s="135">
        <v>4791784</v>
      </c>
      <c r="S85" s="135">
        <v>3482655</v>
      </c>
      <c r="T85" s="135">
        <v>306465</v>
      </c>
      <c r="U85" s="135">
        <v>7592113</v>
      </c>
      <c r="V85" s="135">
        <v>30671888</v>
      </c>
      <c r="W85" s="135">
        <v>8765717</v>
      </c>
      <c r="X85" s="135">
        <v>4791784</v>
      </c>
      <c r="Y85" s="135">
        <v>3482655</v>
      </c>
      <c r="Z85" s="135">
        <v>2147369</v>
      </c>
      <c r="AA85" s="135">
        <v>7592110</v>
      </c>
      <c r="AB85" s="135">
        <v>-7234932</v>
      </c>
      <c r="AC85" s="135">
        <v>2453</v>
      </c>
      <c r="AD85" s="135">
        <v>3932</v>
      </c>
      <c r="AE85" s="135"/>
      <c r="AF85" s="135"/>
      <c r="AG85" s="135">
        <v>134269</v>
      </c>
      <c r="AH85" s="135">
        <v>0</v>
      </c>
      <c r="AI85" s="135">
        <v>250653</v>
      </c>
      <c r="AJ85" s="169"/>
      <c r="AK85" s="160">
        <v>236874563</v>
      </c>
      <c r="AL85" s="161">
        <v>13847509</v>
      </c>
      <c r="AM85" s="135">
        <v>209078</v>
      </c>
      <c r="AN85" s="135">
        <v>30528263</v>
      </c>
      <c r="AO85" s="135">
        <v>6248206</v>
      </c>
      <c r="AP85" s="135">
        <v>533466792</v>
      </c>
      <c r="AQ85" s="135">
        <v>20582792</v>
      </c>
      <c r="AR85" s="135">
        <v>94133294</v>
      </c>
      <c r="AS85" s="135"/>
      <c r="AT85" s="135">
        <f>20382+282749417</f>
        <v>282769799</v>
      </c>
      <c r="AU85" s="135"/>
      <c r="AV85" s="135"/>
      <c r="AW85" s="135">
        <v>28562</v>
      </c>
      <c r="AX85" s="135">
        <v>159788</v>
      </c>
      <c r="AY85" s="135"/>
      <c r="AZ85" s="160">
        <v>14661081.529999999</v>
      </c>
      <c r="BA85" s="160">
        <v>7916984</v>
      </c>
      <c r="BB85" s="162">
        <v>0</v>
      </c>
      <c r="BC85" s="162">
        <v>3369708</v>
      </c>
      <c r="BD85" s="162">
        <v>5029415</v>
      </c>
      <c r="BE85" s="117">
        <v>77845929</v>
      </c>
      <c r="BF85" s="117">
        <v>77845929</v>
      </c>
      <c r="BG85" s="117">
        <v>86047993</v>
      </c>
      <c r="BH85" s="117">
        <v>83401394</v>
      </c>
      <c r="BI85" s="117">
        <v>0</v>
      </c>
      <c r="BJ85" s="117">
        <v>0</v>
      </c>
      <c r="BK85" s="138"/>
      <c r="BL85" s="163">
        <v>2024050082</v>
      </c>
      <c r="BM85" s="163">
        <v>1600793995</v>
      </c>
      <c r="BN85" s="164">
        <v>868913</v>
      </c>
      <c r="BP85" s="166">
        <f t="shared" si="2"/>
        <v>1573273753</v>
      </c>
      <c r="BQ85" s="167">
        <f>AK85</f>
        <v>236874563</v>
      </c>
      <c r="BR85" s="167">
        <f>AL85</f>
        <v>13847509</v>
      </c>
      <c r="BS85" s="166" t="e">
        <f>#REF!+#REF!+#REF!+#REF!</f>
        <v>#REF!</v>
      </c>
      <c r="BT85" s="166" t="e">
        <f t="shared" si="3"/>
        <v>#REF!</v>
      </c>
    </row>
    <row r="86" spans="1:72" x14ac:dyDescent="0.25">
      <c r="A86" s="168" t="s">
        <v>140</v>
      </c>
      <c r="B86" s="135">
        <v>153906387</v>
      </c>
      <c r="C86" s="135">
        <v>130951977</v>
      </c>
      <c r="D86" s="135">
        <v>59159337</v>
      </c>
      <c r="E86" s="135">
        <v>0</v>
      </c>
      <c r="F86" s="135">
        <v>29855100</v>
      </c>
      <c r="G86" s="135">
        <v>8457540</v>
      </c>
      <c r="H86" s="135">
        <v>19053440</v>
      </c>
      <c r="I86" s="135">
        <v>2581636</v>
      </c>
      <c r="J86" s="135">
        <v>132250</v>
      </c>
      <c r="K86" s="135">
        <v>0</v>
      </c>
      <c r="L86" s="135">
        <v>306427920</v>
      </c>
      <c r="M86" s="135">
        <v>92585602</v>
      </c>
      <c r="N86" s="135">
        <v>1151</v>
      </c>
      <c r="O86" s="135">
        <v>312</v>
      </c>
      <c r="P86" s="135">
        <v>2710100</v>
      </c>
      <c r="Q86" s="135">
        <v>3227302</v>
      </c>
      <c r="R86" s="135">
        <v>2780000</v>
      </c>
      <c r="S86" s="135">
        <v>842923</v>
      </c>
      <c r="T86" s="135">
        <v>294112</v>
      </c>
      <c r="U86" s="135">
        <v>880000</v>
      </c>
      <c r="V86" s="135">
        <v>2710100</v>
      </c>
      <c r="W86" s="135">
        <v>4470116</v>
      </c>
      <c r="X86" s="135">
        <v>2780000</v>
      </c>
      <c r="Y86" s="135">
        <v>842923</v>
      </c>
      <c r="Z86" s="135">
        <v>209725</v>
      </c>
      <c r="AA86" s="135">
        <v>880000</v>
      </c>
      <c r="AB86" s="135">
        <v>-1125958</v>
      </c>
      <c r="AC86" s="135"/>
      <c r="AD86" s="135">
        <v>71876</v>
      </c>
      <c r="AE86" s="135">
        <v>25</v>
      </c>
      <c r="AF86" s="135"/>
      <c r="AG86" s="135">
        <v>229726</v>
      </c>
      <c r="AH86" s="135">
        <v>302500</v>
      </c>
      <c r="AI86" s="135">
        <v>0</v>
      </c>
      <c r="AJ86" s="169"/>
      <c r="AK86" s="160">
        <v>82017152</v>
      </c>
      <c r="AL86" s="161">
        <v>2618354</v>
      </c>
      <c r="AM86" s="135"/>
      <c r="AN86" s="135">
        <v>9169162</v>
      </c>
      <c r="AO86" s="135">
        <v>2880111</v>
      </c>
      <c r="AP86" s="135">
        <v>112414355</v>
      </c>
      <c r="AQ86" s="135">
        <v>15220316</v>
      </c>
      <c r="AR86" s="135">
        <v>48871625</v>
      </c>
      <c r="AS86" s="135">
        <v>4167966</v>
      </c>
      <c r="AT86" s="135">
        <v>1683718</v>
      </c>
      <c r="AU86" s="135"/>
      <c r="AV86" s="135"/>
      <c r="AW86" s="135"/>
      <c r="AX86" s="135"/>
      <c r="AY86" s="135"/>
      <c r="AZ86" s="160">
        <v>5076358.29</v>
      </c>
      <c r="BA86" s="160">
        <v>2741233</v>
      </c>
      <c r="BB86" s="162">
        <v>0</v>
      </c>
      <c r="BC86" s="162">
        <v>0</v>
      </c>
      <c r="BD86" s="162">
        <v>0</v>
      </c>
      <c r="BE86" s="117">
        <v>41746068</v>
      </c>
      <c r="BF86" s="117">
        <v>41746068</v>
      </c>
      <c r="BG86" s="117">
        <v>115400415</v>
      </c>
      <c r="BH86" s="117">
        <v>115388994</v>
      </c>
      <c r="BI86" s="117">
        <v>0</v>
      </c>
      <c r="BJ86" s="117">
        <v>0</v>
      </c>
      <c r="BK86" s="138"/>
      <c r="BL86" s="163">
        <v>616101591</v>
      </c>
      <c r="BM86" s="163">
        <v>371589790</v>
      </c>
      <c r="BN86" s="164">
        <v>593398</v>
      </c>
      <c r="BP86" s="166">
        <f t="shared" si="2"/>
        <v>344017701</v>
      </c>
      <c r="BQ86" s="167">
        <f>AK86</f>
        <v>82017152</v>
      </c>
      <c r="BR86" s="167">
        <f>AL86</f>
        <v>2618354</v>
      </c>
      <c r="BS86" s="166">
        <f>AN86+AO86+AQ86+AS86</f>
        <v>31437555</v>
      </c>
      <c r="BT86" s="166">
        <f t="shared" si="3"/>
        <v>460090762</v>
      </c>
    </row>
    <row r="87" spans="1:72" x14ac:dyDescent="0.25">
      <c r="A87" s="168" t="s">
        <v>141</v>
      </c>
      <c r="B87" s="135">
        <v>245599847</v>
      </c>
      <c r="C87" s="135">
        <v>180365505</v>
      </c>
      <c r="D87" s="135">
        <v>72217912</v>
      </c>
      <c r="E87" s="135">
        <v>0</v>
      </c>
      <c r="F87" s="135">
        <v>38994925</v>
      </c>
      <c r="G87" s="135">
        <v>8029000</v>
      </c>
      <c r="H87" s="135">
        <v>13024500</v>
      </c>
      <c r="I87" s="135">
        <v>1021400</v>
      </c>
      <c r="J87" s="135">
        <v>0</v>
      </c>
      <c r="K87" s="135">
        <v>0</v>
      </c>
      <c r="L87" s="135">
        <v>449248471</v>
      </c>
      <c r="M87" s="135">
        <v>0</v>
      </c>
      <c r="N87" s="135">
        <v>1208</v>
      </c>
      <c r="O87" s="135">
        <v>250</v>
      </c>
      <c r="P87" s="135">
        <v>3866200</v>
      </c>
      <c r="Q87" s="135">
        <v>6502726</v>
      </c>
      <c r="R87" s="135">
        <v>470500</v>
      </c>
      <c r="S87" s="135">
        <v>3588885</v>
      </c>
      <c r="T87" s="135">
        <v>2309555</v>
      </c>
      <c r="U87" s="135">
        <v>313000</v>
      </c>
      <c r="V87" s="135">
        <v>3866200</v>
      </c>
      <c r="W87" s="135">
        <v>8012766</v>
      </c>
      <c r="X87" s="135">
        <v>470500</v>
      </c>
      <c r="Y87" s="135">
        <v>3588885</v>
      </c>
      <c r="Z87" s="135">
        <v>3328780</v>
      </c>
      <c r="AA87" s="135">
        <v>313000</v>
      </c>
      <c r="AB87" s="135">
        <v>-1004220</v>
      </c>
      <c r="AC87" s="135">
        <v>-10233</v>
      </c>
      <c r="AD87" s="135">
        <v>86911</v>
      </c>
      <c r="AE87" s="135">
        <v>0</v>
      </c>
      <c r="AF87" s="135">
        <v>0</v>
      </c>
      <c r="AG87" s="135">
        <v>197642</v>
      </c>
      <c r="AH87" s="135">
        <v>335994</v>
      </c>
      <c r="AI87" s="135">
        <v>150000</v>
      </c>
      <c r="AJ87" s="169"/>
      <c r="AK87" s="160">
        <v>92800963</v>
      </c>
      <c r="AL87" s="161">
        <v>1997502</v>
      </c>
      <c r="AM87" s="135"/>
      <c r="AN87" s="135">
        <v>33354556</v>
      </c>
      <c r="AO87" s="135">
        <v>326383</v>
      </c>
      <c r="AP87" s="135">
        <v>34180106</v>
      </c>
      <c r="AQ87" s="135">
        <v>27199682</v>
      </c>
      <c r="AR87" s="135">
        <v>26798960</v>
      </c>
      <c r="AS87" s="135">
        <v>94873</v>
      </c>
      <c r="AT87" s="135">
        <v>1878688</v>
      </c>
      <c r="AU87" s="135"/>
      <c r="AV87" s="135"/>
      <c r="AW87" s="135"/>
      <c r="AX87" s="135">
        <v>2165</v>
      </c>
      <c r="AY87" s="135"/>
      <c r="AZ87" s="160">
        <v>5743810.0099999998</v>
      </c>
      <c r="BA87" s="160">
        <v>3101657</v>
      </c>
      <c r="BB87" s="162">
        <v>0</v>
      </c>
      <c r="BC87" s="162">
        <v>0</v>
      </c>
      <c r="BD87" s="162">
        <v>0</v>
      </c>
      <c r="BE87" s="117">
        <v>28709391</v>
      </c>
      <c r="BF87" s="117">
        <v>28709391</v>
      </c>
      <c r="BG87" s="117">
        <v>99140202</v>
      </c>
      <c r="BH87" s="117">
        <v>99116305</v>
      </c>
      <c r="BI87" s="117">
        <v>0</v>
      </c>
      <c r="BJ87" s="117">
        <v>0</v>
      </c>
      <c r="BK87" s="138"/>
      <c r="BL87" s="163">
        <v>785275697</v>
      </c>
      <c r="BM87" s="163">
        <v>559549879</v>
      </c>
      <c r="BN87" s="164">
        <v>405300</v>
      </c>
      <c r="BP87" s="166">
        <f t="shared" si="2"/>
        <v>498183264</v>
      </c>
      <c r="BQ87" s="167">
        <f>AK87</f>
        <v>92800963</v>
      </c>
      <c r="BR87" s="167">
        <f>AL87</f>
        <v>1997502</v>
      </c>
      <c r="BS87" s="166">
        <f>AN87+AO87+AQ87+AS87</f>
        <v>60975494</v>
      </c>
      <c r="BT87" s="166">
        <f t="shared" si="3"/>
        <v>653957223</v>
      </c>
    </row>
    <row r="88" spans="1:72" x14ac:dyDescent="0.25">
      <c r="A88" s="168" t="s">
        <v>142</v>
      </c>
      <c r="B88" s="135">
        <v>902373210</v>
      </c>
      <c r="C88" s="135">
        <v>142121900</v>
      </c>
      <c r="D88" s="135">
        <v>392093079</v>
      </c>
      <c r="E88" s="135">
        <v>19360000</v>
      </c>
      <c r="F88" s="135">
        <v>91569761</v>
      </c>
      <c r="G88" s="135">
        <v>22083300</v>
      </c>
      <c r="H88" s="135">
        <v>14114900</v>
      </c>
      <c r="I88" s="135">
        <v>3131450</v>
      </c>
      <c r="J88" s="135">
        <v>185400</v>
      </c>
      <c r="K88" s="135">
        <v>0</v>
      </c>
      <c r="L88" s="135">
        <v>293793273</v>
      </c>
      <c r="M88" s="135">
        <v>115664150</v>
      </c>
      <c r="N88" s="135">
        <v>2388</v>
      </c>
      <c r="O88" s="135">
        <v>627</v>
      </c>
      <c r="P88" s="135">
        <v>11725800</v>
      </c>
      <c r="Q88" s="135">
        <v>3118000</v>
      </c>
      <c r="R88" s="135">
        <v>9118000</v>
      </c>
      <c r="S88" s="135">
        <v>1417450</v>
      </c>
      <c r="T88" s="135">
        <v>286000</v>
      </c>
      <c r="U88" s="135">
        <v>1108000</v>
      </c>
      <c r="V88" s="135">
        <v>11725800</v>
      </c>
      <c r="W88" s="135">
        <v>3158000</v>
      </c>
      <c r="X88" s="135">
        <v>9118000</v>
      </c>
      <c r="Y88" s="135">
        <v>1417450</v>
      </c>
      <c r="Z88" s="135">
        <v>460902</v>
      </c>
      <c r="AA88" s="135">
        <v>1108000</v>
      </c>
      <c r="AB88" s="135">
        <v>-6022300</v>
      </c>
      <c r="AC88" s="135">
        <v>-306304</v>
      </c>
      <c r="AD88" s="135">
        <v>5573</v>
      </c>
      <c r="AE88" s="135">
        <v>1012018</v>
      </c>
      <c r="AF88" s="135">
        <v>0</v>
      </c>
      <c r="AG88" s="135">
        <v>110172</v>
      </c>
      <c r="AH88" s="135">
        <v>0</v>
      </c>
      <c r="AI88" s="135">
        <v>105800</v>
      </c>
      <c r="AJ88" s="169"/>
      <c r="AK88" s="160">
        <v>266201725</v>
      </c>
      <c r="AL88" s="161">
        <v>7322053</v>
      </c>
      <c r="AM88" s="135"/>
      <c r="AN88" s="135">
        <v>63717744</v>
      </c>
      <c r="AO88" s="135">
        <v>18941491</v>
      </c>
      <c r="AP88" s="135">
        <v>200383480</v>
      </c>
      <c r="AQ88" s="135">
        <v>67897453</v>
      </c>
      <c r="AR88" s="135">
        <v>109611477</v>
      </c>
      <c r="AS88" s="135">
        <v>36319083</v>
      </c>
      <c r="AT88" s="135">
        <v>937866</v>
      </c>
      <c r="AU88" s="135">
        <v>2195687</v>
      </c>
      <c r="AV88" s="135"/>
      <c r="AW88" s="135">
        <v>1606627</v>
      </c>
      <c r="AX88" s="135">
        <v>509701</v>
      </c>
      <c r="AY88" s="135">
        <v>2723103</v>
      </c>
      <c r="AZ88" s="180">
        <v>16476252.85</v>
      </c>
      <c r="BA88" s="160">
        <v>8897177</v>
      </c>
      <c r="BB88" s="162">
        <v>0</v>
      </c>
      <c r="BC88" s="162">
        <v>0</v>
      </c>
      <c r="BD88" s="162">
        <v>0</v>
      </c>
      <c r="BE88" s="117">
        <v>53860491</v>
      </c>
      <c r="BF88" s="117">
        <v>53860491</v>
      </c>
      <c r="BG88" s="117">
        <v>66786413</v>
      </c>
      <c r="BH88" s="117">
        <v>65897269</v>
      </c>
      <c r="BI88" s="117">
        <v>0</v>
      </c>
      <c r="BJ88" s="117">
        <v>0</v>
      </c>
      <c r="BK88" s="138"/>
      <c r="BL88" s="163">
        <v>1989429392</v>
      </c>
      <c r="BM88" s="163">
        <v>1587250677</v>
      </c>
      <c r="BN88" s="164">
        <v>1307100</v>
      </c>
      <c r="BP88" s="166">
        <f t="shared" si="2"/>
        <v>1436588189</v>
      </c>
      <c r="BQ88" s="167">
        <f>AK88</f>
        <v>266201725</v>
      </c>
      <c r="BR88" s="167">
        <f>AL88</f>
        <v>7322053</v>
      </c>
      <c r="BS88" s="166">
        <f>AN88+AO88+AQ88+AS88</f>
        <v>186875771</v>
      </c>
      <c r="BT88" s="166">
        <f t="shared" si="3"/>
        <v>1896987738</v>
      </c>
    </row>
    <row r="89" spans="1:72" x14ac:dyDescent="0.25">
      <c r="A89" s="168" t="s">
        <v>143</v>
      </c>
      <c r="B89" s="135">
        <v>144302650</v>
      </c>
      <c r="C89" s="135">
        <v>105793600</v>
      </c>
      <c r="D89" s="135">
        <v>58607690</v>
      </c>
      <c r="E89" s="135">
        <v>0</v>
      </c>
      <c r="F89" s="135">
        <v>25031400</v>
      </c>
      <c r="G89" s="135">
        <v>19721100</v>
      </c>
      <c r="H89" s="135">
        <v>14823700</v>
      </c>
      <c r="I89" s="135">
        <v>9277750</v>
      </c>
      <c r="J89" s="135">
        <v>46350</v>
      </c>
      <c r="K89" s="135">
        <v>0</v>
      </c>
      <c r="L89" s="135">
        <v>98708475</v>
      </c>
      <c r="M89" s="135">
        <v>48189500</v>
      </c>
      <c r="N89" s="135">
        <v>1061</v>
      </c>
      <c r="O89" s="135">
        <v>833</v>
      </c>
      <c r="P89" s="135">
        <v>3471000</v>
      </c>
      <c r="Q89" s="135">
        <v>1641000</v>
      </c>
      <c r="R89" s="135">
        <v>2951500</v>
      </c>
      <c r="S89" s="135">
        <v>265000</v>
      </c>
      <c r="T89" s="135">
        <v>40000</v>
      </c>
      <c r="U89" s="135">
        <v>75000</v>
      </c>
      <c r="V89" s="135">
        <v>3471000</v>
      </c>
      <c r="W89" s="135">
        <v>2049500</v>
      </c>
      <c r="X89" s="135">
        <v>2951500</v>
      </c>
      <c r="Y89" s="135">
        <v>265000</v>
      </c>
      <c r="Z89" s="135">
        <v>60000</v>
      </c>
      <c r="AA89" s="135">
        <v>75000</v>
      </c>
      <c r="AB89" s="135">
        <v>-1592000</v>
      </c>
      <c r="AC89" s="135">
        <v>-332603</v>
      </c>
      <c r="AD89" s="135">
        <v>175215</v>
      </c>
      <c r="AE89" s="135">
        <v>50</v>
      </c>
      <c r="AF89" s="135">
        <v>0</v>
      </c>
      <c r="AG89" s="135">
        <v>190185</v>
      </c>
      <c r="AH89" s="135">
        <v>232322</v>
      </c>
      <c r="AI89" s="135">
        <v>180880</v>
      </c>
      <c r="AJ89" s="169">
        <v>7500</v>
      </c>
      <c r="AK89" s="164">
        <v>109882850</v>
      </c>
      <c r="AL89" s="161">
        <v>2460436</v>
      </c>
      <c r="AM89" s="135"/>
      <c r="AN89" s="135">
        <v>18601531</v>
      </c>
      <c r="AO89" s="135">
        <v>217095</v>
      </c>
      <c r="AP89" s="135">
        <v>2053418</v>
      </c>
      <c r="AQ89" s="135">
        <v>8508156</v>
      </c>
      <c r="AR89" s="135">
        <v>12565525</v>
      </c>
      <c r="AS89" s="135"/>
      <c r="AT89" s="135">
        <v>1845207</v>
      </c>
      <c r="AU89" s="135"/>
      <c r="AV89" s="135"/>
      <c r="AW89" s="135"/>
      <c r="AX89" s="135">
        <v>42575</v>
      </c>
      <c r="AY89" s="135">
        <v>246831</v>
      </c>
      <c r="AZ89" s="160">
        <v>6801073.96</v>
      </c>
      <c r="BA89" s="160">
        <v>3672580</v>
      </c>
      <c r="BB89" s="162">
        <v>0</v>
      </c>
      <c r="BC89" s="162">
        <v>0</v>
      </c>
      <c r="BD89" s="162">
        <v>0</v>
      </c>
      <c r="BE89" s="117">
        <v>1943193</v>
      </c>
      <c r="BF89" s="117">
        <v>1943193</v>
      </c>
      <c r="BG89" s="117">
        <v>51148467</v>
      </c>
      <c r="BH89" s="117">
        <v>50128615</v>
      </c>
      <c r="BI89" s="117">
        <v>0</v>
      </c>
      <c r="BJ89" s="117">
        <v>0</v>
      </c>
      <c r="BK89" s="138"/>
      <c r="BL89" s="163">
        <v>504539098</v>
      </c>
      <c r="BM89" s="163">
        <v>336451424</v>
      </c>
      <c r="BN89" s="164">
        <v>5755500</v>
      </c>
      <c r="BP89" s="166">
        <f t="shared" si="2"/>
        <v>308703940</v>
      </c>
      <c r="BQ89" s="167">
        <f>AK89</f>
        <v>109882850</v>
      </c>
      <c r="BR89" s="167">
        <f>AL89</f>
        <v>2460436</v>
      </c>
      <c r="BS89" s="166">
        <f>AN89+AO89+AQ89+AS89</f>
        <v>27326782</v>
      </c>
      <c r="BT89" s="166">
        <f t="shared" si="3"/>
        <v>448374008</v>
      </c>
    </row>
    <row r="90" spans="1:72" x14ac:dyDescent="0.25">
      <c r="A90" s="168" t="s">
        <v>144</v>
      </c>
      <c r="B90" s="135">
        <v>736152666</v>
      </c>
      <c r="C90" s="135">
        <v>216191784</v>
      </c>
      <c r="D90" s="135">
        <v>278529175</v>
      </c>
      <c r="E90" s="135">
        <v>0</v>
      </c>
      <c r="F90" s="135">
        <v>111564975</v>
      </c>
      <c r="G90" s="135">
        <v>33141513</v>
      </c>
      <c r="H90" s="135">
        <v>16731000</v>
      </c>
      <c r="I90" s="135">
        <v>2795550</v>
      </c>
      <c r="J90" s="135">
        <v>147700</v>
      </c>
      <c r="K90" s="135">
        <v>92700</v>
      </c>
      <c r="L90" s="135">
        <v>238810324</v>
      </c>
      <c r="M90" s="135">
        <v>124783690</v>
      </c>
      <c r="N90" s="135">
        <v>3048</v>
      </c>
      <c r="O90" s="135">
        <v>944</v>
      </c>
      <c r="P90" s="135">
        <v>8249535</v>
      </c>
      <c r="Q90" s="135">
        <v>9899050</v>
      </c>
      <c r="R90" s="135">
        <v>4957400</v>
      </c>
      <c r="S90" s="135">
        <v>5042805</v>
      </c>
      <c r="T90" s="135">
        <v>3147230</v>
      </c>
      <c r="U90" s="135">
        <v>8481040</v>
      </c>
      <c r="V90" s="135">
        <v>8249535</v>
      </c>
      <c r="W90" s="135">
        <v>12180580</v>
      </c>
      <c r="X90" s="135">
        <v>4957400</v>
      </c>
      <c r="Y90" s="135">
        <v>5042805</v>
      </c>
      <c r="Z90" s="135">
        <v>5132620</v>
      </c>
      <c r="AA90" s="135">
        <v>8841040</v>
      </c>
      <c r="AB90" s="135">
        <v>-10821990</v>
      </c>
      <c r="AC90" s="135">
        <v>1703478</v>
      </c>
      <c r="AD90" s="135">
        <v>73199</v>
      </c>
      <c r="AE90" s="135">
        <v>131117</v>
      </c>
      <c r="AF90" s="135">
        <v>12218</v>
      </c>
      <c r="AG90" s="135">
        <v>191958</v>
      </c>
      <c r="AH90" s="135">
        <v>8588219</v>
      </c>
      <c r="AI90" s="135">
        <v>261862</v>
      </c>
      <c r="AJ90" s="169">
        <v>7959590</v>
      </c>
      <c r="AK90" s="160">
        <v>278311633</v>
      </c>
      <c r="AL90" s="161">
        <v>9245028</v>
      </c>
      <c r="AM90" s="135"/>
      <c r="AN90" s="135">
        <v>52815200</v>
      </c>
      <c r="AO90" s="135">
        <v>4690935</v>
      </c>
      <c r="AP90" s="135">
        <v>33842432</v>
      </c>
      <c r="AQ90" s="135">
        <v>76927219</v>
      </c>
      <c r="AR90" s="135">
        <v>26926722</v>
      </c>
      <c r="AS90" s="135">
        <v>17581655</v>
      </c>
      <c r="AT90" s="135">
        <v>58962329</v>
      </c>
      <c r="AU90" s="135"/>
      <c r="AV90" s="135"/>
      <c r="AW90" s="135">
        <v>3979813</v>
      </c>
      <c r="AX90" s="135"/>
      <c r="AY90" s="135">
        <v>148314</v>
      </c>
      <c r="AZ90" s="160">
        <v>17225781.829999998</v>
      </c>
      <c r="BA90" s="160">
        <v>9301922</v>
      </c>
      <c r="BB90" s="162">
        <v>8546236.952797927</v>
      </c>
      <c r="BC90" s="162">
        <v>5266700</v>
      </c>
      <c r="BD90" s="162">
        <v>7860746</v>
      </c>
      <c r="BE90" s="117">
        <v>132496509</v>
      </c>
      <c r="BF90" s="117">
        <v>128546887</v>
      </c>
      <c r="BG90" s="117">
        <v>223125939</v>
      </c>
      <c r="BH90" s="117">
        <v>220638130</v>
      </c>
      <c r="BI90" s="117">
        <v>128458</v>
      </c>
      <c r="BJ90" s="117">
        <v>0</v>
      </c>
      <c r="BK90" s="138"/>
      <c r="BL90" s="163">
        <v>2033555408</v>
      </c>
      <c r="BM90" s="163">
        <v>1382116650</v>
      </c>
      <c r="BN90" s="164">
        <v>1080000</v>
      </c>
      <c r="BP90" s="166">
        <f t="shared" si="2"/>
        <v>1230873625</v>
      </c>
      <c r="BQ90" s="167">
        <f>AK90</f>
        <v>278311633</v>
      </c>
      <c r="BR90" s="167">
        <f>AL90</f>
        <v>9245028</v>
      </c>
      <c r="BS90" s="166">
        <f>AN90+AO90+AQ90+AS90</f>
        <v>152015009</v>
      </c>
      <c r="BT90" s="166">
        <f t="shared" si="3"/>
        <v>1670445295</v>
      </c>
    </row>
    <row r="91" spans="1:72" x14ac:dyDescent="0.25">
      <c r="A91" s="168" t="s">
        <v>145</v>
      </c>
      <c r="B91" s="135">
        <v>2735078773</v>
      </c>
      <c r="C91" s="135">
        <v>548604145</v>
      </c>
      <c r="D91" s="135">
        <v>891991058</v>
      </c>
      <c r="E91" s="135">
        <v>114362672</v>
      </c>
      <c r="F91" s="135">
        <v>181362110</v>
      </c>
      <c r="G91" s="135">
        <v>20624664</v>
      </c>
      <c r="H91" s="135">
        <v>37350135</v>
      </c>
      <c r="I91" s="135">
        <v>2203030</v>
      </c>
      <c r="J91" s="135">
        <v>231750</v>
      </c>
      <c r="K91" s="135">
        <v>0</v>
      </c>
      <c r="L91" s="135">
        <v>1103161731</v>
      </c>
      <c r="M91" s="135">
        <v>478415660</v>
      </c>
      <c r="N91" s="135">
        <v>4775</v>
      </c>
      <c r="O91" s="135">
        <v>512</v>
      </c>
      <c r="P91" s="135">
        <v>62349144</v>
      </c>
      <c r="Q91" s="135">
        <v>12450435</v>
      </c>
      <c r="R91" s="135">
        <v>50359123</v>
      </c>
      <c r="S91" s="135">
        <v>452325</v>
      </c>
      <c r="T91" s="135">
        <v>6270</v>
      </c>
      <c r="U91" s="135">
        <v>50000</v>
      </c>
      <c r="V91" s="135">
        <v>62349144</v>
      </c>
      <c r="W91" s="135">
        <v>20617252</v>
      </c>
      <c r="X91" s="135">
        <v>50377123</v>
      </c>
      <c r="Y91" s="135">
        <v>452325</v>
      </c>
      <c r="Z91" s="135">
        <v>109760</v>
      </c>
      <c r="AA91" s="135">
        <v>50000</v>
      </c>
      <c r="AB91" s="135">
        <v>-16789287</v>
      </c>
      <c r="AC91" s="135">
        <v>-1527322</v>
      </c>
      <c r="AD91" s="135">
        <v>27647</v>
      </c>
      <c r="AE91" s="135">
        <v>1012019</v>
      </c>
      <c r="AF91" s="135">
        <v>803793</v>
      </c>
      <c r="AG91" s="135">
        <v>254322</v>
      </c>
      <c r="AH91" s="135">
        <v>0</v>
      </c>
      <c r="AI91" s="135">
        <v>1917551</v>
      </c>
      <c r="AJ91" s="169"/>
      <c r="AK91" s="160">
        <v>532276139</v>
      </c>
      <c r="AL91" s="161">
        <v>16445093</v>
      </c>
      <c r="AM91" s="135"/>
      <c r="AN91" s="135">
        <v>141448124</v>
      </c>
      <c r="AO91" s="135">
        <v>15506930</v>
      </c>
      <c r="AP91" s="135">
        <v>412136486</v>
      </c>
      <c r="AQ91" s="135">
        <v>141281276</v>
      </c>
      <c r="AR91" s="135">
        <v>152299452</v>
      </c>
      <c r="AS91" s="164">
        <v>33974081</v>
      </c>
      <c r="AT91" s="135">
        <v>8782951</v>
      </c>
      <c r="AU91" s="135"/>
      <c r="AV91" s="135"/>
      <c r="AW91" s="135">
        <v>15432216</v>
      </c>
      <c r="AX91" s="135">
        <v>431798</v>
      </c>
      <c r="AY91" s="135">
        <v>3558728</v>
      </c>
      <c r="AZ91" s="160">
        <v>32944625.940000001</v>
      </c>
      <c r="BA91" s="160">
        <v>17790098</v>
      </c>
      <c r="BB91" s="162">
        <v>0</v>
      </c>
      <c r="BC91" s="162">
        <v>1404127</v>
      </c>
      <c r="BD91" s="162">
        <v>2095711</v>
      </c>
      <c r="BE91" s="117">
        <v>15693242</v>
      </c>
      <c r="BF91" s="117">
        <v>14883769</v>
      </c>
      <c r="BG91" s="117">
        <v>65322823</v>
      </c>
      <c r="BH91" s="117">
        <v>64542155</v>
      </c>
      <c r="BI91" s="117">
        <v>1051380310</v>
      </c>
      <c r="BJ91" s="117">
        <v>0</v>
      </c>
      <c r="BK91" s="138"/>
      <c r="BL91" s="163">
        <v>6174549548</v>
      </c>
      <c r="BM91" s="163">
        <v>4475827857</v>
      </c>
      <c r="BN91" s="164">
        <v>3865890</v>
      </c>
      <c r="BP91" s="166">
        <f t="shared" si="2"/>
        <v>4175673976</v>
      </c>
      <c r="BQ91" s="167">
        <f>AK91</f>
        <v>532276139</v>
      </c>
      <c r="BR91" s="167">
        <f>AL91</f>
        <v>16445093</v>
      </c>
      <c r="BS91" s="166">
        <f>AN91+AO91+AQ91+AS91</f>
        <v>332210411</v>
      </c>
      <c r="BT91" s="166">
        <f t="shared" si="3"/>
        <v>5056605619</v>
      </c>
    </row>
    <row r="92" spans="1:72" x14ac:dyDescent="0.25">
      <c r="A92" s="168" t="s">
        <v>146</v>
      </c>
      <c r="B92" s="135">
        <v>130616510</v>
      </c>
      <c r="C92" s="135">
        <v>112732587</v>
      </c>
      <c r="D92" s="135">
        <v>19890433</v>
      </c>
      <c r="E92" s="135">
        <v>0</v>
      </c>
      <c r="F92" s="135">
        <v>26280300</v>
      </c>
      <c r="G92" s="135">
        <v>4328850</v>
      </c>
      <c r="H92" s="135">
        <v>11141875</v>
      </c>
      <c r="I92" s="135">
        <v>1636500</v>
      </c>
      <c r="J92" s="135">
        <v>0</v>
      </c>
      <c r="K92" s="135">
        <v>39300</v>
      </c>
      <c r="L92" s="135">
        <v>129268468</v>
      </c>
      <c r="M92" s="135">
        <v>96881157</v>
      </c>
      <c r="N92" s="135">
        <v>833</v>
      </c>
      <c r="O92" s="135">
        <v>141</v>
      </c>
      <c r="P92" s="135">
        <v>3776025</v>
      </c>
      <c r="Q92" s="135">
        <v>6268714</v>
      </c>
      <c r="R92" s="135">
        <v>3074500</v>
      </c>
      <c r="S92" s="135">
        <v>1498784</v>
      </c>
      <c r="T92" s="135">
        <v>1379205</v>
      </c>
      <c r="U92" s="135">
        <v>136500</v>
      </c>
      <c r="V92" s="135">
        <v>3776025</v>
      </c>
      <c r="W92" s="135">
        <v>6457585</v>
      </c>
      <c r="X92" s="135">
        <v>3074500</v>
      </c>
      <c r="Y92" s="135">
        <v>1498784</v>
      </c>
      <c r="Z92" s="135">
        <v>1896595</v>
      </c>
      <c r="AA92" s="135">
        <v>136500</v>
      </c>
      <c r="AB92" s="135">
        <v>-545735</v>
      </c>
      <c r="AC92" s="135"/>
      <c r="AD92" s="135"/>
      <c r="AE92" s="135"/>
      <c r="AF92" s="135"/>
      <c r="AG92" s="135"/>
      <c r="AH92" s="135">
        <v>0</v>
      </c>
      <c r="AI92" s="135">
        <v>0</v>
      </c>
      <c r="AJ92" s="169"/>
      <c r="AK92" s="160">
        <v>67009226</v>
      </c>
      <c r="AL92" s="161">
        <v>1594817</v>
      </c>
      <c r="AM92" s="135">
        <v>25500</v>
      </c>
      <c r="AN92" s="135">
        <v>2614281</v>
      </c>
      <c r="AO92" s="135">
        <v>66414</v>
      </c>
      <c r="AP92" s="135">
        <v>1066583</v>
      </c>
      <c r="AQ92" s="135">
        <v>1227165</v>
      </c>
      <c r="AR92" s="135">
        <v>44084</v>
      </c>
      <c r="AS92" s="135"/>
      <c r="AT92" s="135">
        <v>74475</v>
      </c>
      <c r="AU92" s="135"/>
      <c r="AV92" s="135"/>
      <c r="AW92" s="135"/>
      <c r="AX92" s="135"/>
      <c r="AY92" s="135"/>
      <c r="AZ92" s="160">
        <v>4147459.79</v>
      </c>
      <c r="BA92" s="160">
        <v>2239628</v>
      </c>
      <c r="BB92" s="162">
        <v>0</v>
      </c>
      <c r="BC92" s="162">
        <v>1542286</v>
      </c>
      <c r="BD92" s="162">
        <v>2301919</v>
      </c>
      <c r="BE92" s="117">
        <v>31806026</v>
      </c>
      <c r="BF92" s="117">
        <v>31806026</v>
      </c>
      <c r="BG92" s="117">
        <v>29122630</v>
      </c>
      <c r="BH92" s="117">
        <v>28493123</v>
      </c>
      <c r="BI92" s="117">
        <v>0</v>
      </c>
      <c r="BJ92" s="117">
        <v>0</v>
      </c>
      <c r="BK92" s="138"/>
      <c r="BL92" s="163">
        <v>399832496</v>
      </c>
      <c r="BM92" s="163">
        <v>267147390</v>
      </c>
      <c r="BN92" s="164">
        <v>269950</v>
      </c>
      <c r="BP92" s="166">
        <f t="shared" si="2"/>
        <v>263239530</v>
      </c>
      <c r="BQ92" s="167">
        <f>AK92</f>
        <v>67009226</v>
      </c>
      <c r="BR92" s="167">
        <f>AL92</f>
        <v>1594817</v>
      </c>
      <c r="BS92" s="166">
        <f>AN92+AO92+AQ92+AS92</f>
        <v>3907860</v>
      </c>
      <c r="BT92" s="166">
        <f t="shared" si="3"/>
        <v>335751433</v>
      </c>
    </row>
    <row r="93" spans="1:72" x14ac:dyDescent="0.25">
      <c r="A93" s="168" t="s">
        <v>147</v>
      </c>
      <c r="B93" s="135">
        <v>484032914</v>
      </c>
      <c r="C93" s="135">
        <v>226426251</v>
      </c>
      <c r="D93" s="135">
        <v>136981496</v>
      </c>
      <c r="E93" s="135">
        <v>0</v>
      </c>
      <c r="F93" s="135">
        <v>64091397</v>
      </c>
      <c r="G93" s="135">
        <v>24247968</v>
      </c>
      <c r="H93" s="135">
        <v>22760917</v>
      </c>
      <c r="I93" s="135">
        <v>5555045</v>
      </c>
      <c r="J93" s="135">
        <v>185400</v>
      </c>
      <c r="K93" s="135">
        <v>0</v>
      </c>
      <c r="L93" s="135">
        <v>433960044</v>
      </c>
      <c r="M93" s="135">
        <v>21631010</v>
      </c>
      <c r="N93" s="135">
        <v>2116</v>
      </c>
      <c r="O93" s="135">
        <v>802</v>
      </c>
      <c r="P93" s="135">
        <v>5502095</v>
      </c>
      <c r="Q93" s="135">
        <v>3198320</v>
      </c>
      <c r="R93" s="135">
        <v>2367100</v>
      </c>
      <c r="S93" s="135">
        <v>1007520</v>
      </c>
      <c r="T93" s="135">
        <v>170670</v>
      </c>
      <c r="U93" s="135">
        <v>99260</v>
      </c>
      <c r="V93" s="135">
        <v>5502095</v>
      </c>
      <c r="W93" s="135">
        <v>3122590</v>
      </c>
      <c r="X93" s="135">
        <v>2367100</v>
      </c>
      <c r="Y93" s="135">
        <v>1007520</v>
      </c>
      <c r="Z93" s="135">
        <v>148450</v>
      </c>
      <c r="AA93" s="135">
        <v>99260</v>
      </c>
      <c r="AB93" s="135">
        <v>-3005505</v>
      </c>
      <c r="AC93" s="135">
        <v>-96826</v>
      </c>
      <c r="AD93" s="135">
        <v>330106</v>
      </c>
      <c r="AE93" s="135">
        <v>19129</v>
      </c>
      <c r="AF93" s="135">
        <v>23885396</v>
      </c>
      <c r="AG93" s="135">
        <v>330227</v>
      </c>
      <c r="AH93" s="135">
        <v>4860389</v>
      </c>
      <c r="AI93" s="135">
        <v>284427</v>
      </c>
      <c r="AJ93" s="169">
        <v>1900300</v>
      </c>
      <c r="AK93" s="160">
        <v>176664840</v>
      </c>
      <c r="AL93" s="161">
        <v>6303164</v>
      </c>
      <c r="AM93" s="135"/>
      <c r="AN93" s="135">
        <v>34366262</v>
      </c>
      <c r="AO93" s="135">
        <v>4893879</v>
      </c>
      <c r="AP93" s="135">
        <v>93207664</v>
      </c>
      <c r="AQ93" s="135">
        <v>20134276</v>
      </c>
      <c r="AR93" s="135">
        <v>21313664</v>
      </c>
      <c r="AS93" s="135">
        <v>8579899</v>
      </c>
      <c r="AT93" s="135">
        <v>5044520</v>
      </c>
      <c r="AU93" s="135"/>
      <c r="AV93" s="135"/>
      <c r="AW93" s="135">
        <v>1722692</v>
      </c>
      <c r="AX93" s="135">
        <v>245253</v>
      </c>
      <c r="AY93" s="135">
        <v>158000</v>
      </c>
      <c r="AZ93" s="160">
        <v>10934469.24</v>
      </c>
      <c r="BA93" s="160">
        <v>5904613</v>
      </c>
      <c r="BB93" s="162">
        <v>10073307.505492229</v>
      </c>
      <c r="BC93" s="162">
        <v>3167859</v>
      </c>
      <c r="BD93" s="162">
        <v>4728147</v>
      </c>
      <c r="BE93" s="117">
        <v>54954338</v>
      </c>
      <c r="BF93" s="117">
        <v>50106300</v>
      </c>
      <c r="BG93" s="117">
        <v>96701469</v>
      </c>
      <c r="BH93" s="117">
        <v>94116160</v>
      </c>
      <c r="BI93" s="117">
        <v>29412547</v>
      </c>
      <c r="BJ93" s="117">
        <v>0</v>
      </c>
      <c r="BK93" s="138"/>
      <c r="BL93" s="163">
        <v>1279555677</v>
      </c>
      <c r="BM93" s="163">
        <v>913880194</v>
      </c>
      <c r="BN93" s="164">
        <v>787523</v>
      </c>
      <c r="BP93" s="166">
        <f t="shared" si="2"/>
        <v>847440661</v>
      </c>
      <c r="BQ93" s="167">
        <f>AK93</f>
        <v>176664840</v>
      </c>
      <c r="BR93" s="167">
        <f>AL93</f>
        <v>6303164</v>
      </c>
      <c r="BS93" s="166">
        <f>AN93+AO93+AQ93+AS93</f>
        <v>67974316</v>
      </c>
      <c r="BT93" s="166">
        <f t="shared" si="3"/>
        <v>1098382981</v>
      </c>
    </row>
    <row r="94" spans="1:72" x14ac:dyDescent="0.25">
      <c r="A94" s="168" t="s">
        <v>148</v>
      </c>
      <c r="B94" s="135">
        <v>6953419035</v>
      </c>
      <c r="C94" s="135">
        <v>309737976</v>
      </c>
      <c r="D94" s="135">
        <v>600318655</v>
      </c>
      <c r="E94" s="135">
        <v>0</v>
      </c>
      <c r="F94" s="135">
        <v>231527882</v>
      </c>
      <c r="G94" s="135">
        <v>9651300</v>
      </c>
      <c r="H94" s="135">
        <v>10660500</v>
      </c>
      <c r="I94" s="135">
        <v>324450</v>
      </c>
      <c r="J94" s="135">
        <v>370800</v>
      </c>
      <c r="K94" s="135">
        <v>0</v>
      </c>
      <c r="L94" s="135">
        <v>583405600</v>
      </c>
      <c r="M94" s="135">
        <v>256760725</v>
      </c>
      <c r="N94" s="135">
        <v>5258</v>
      </c>
      <c r="O94" s="135">
        <v>218</v>
      </c>
      <c r="P94" s="135">
        <v>232734255</v>
      </c>
      <c r="Q94" s="135">
        <v>13599500</v>
      </c>
      <c r="R94" s="135">
        <v>9783400</v>
      </c>
      <c r="S94" s="135">
        <v>16644127</v>
      </c>
      <c r="T94" s="135">
        <v>6687799</v>
      </c>
      <c r="U94" s="135">
        <v>8472061</v>
      </c>
      <c r="V94" s="135">
        <v>226748665</v>
      </c>
      <c r="W94" s="135">
        <v>17535500</v>
      </c>
      <c r="X94" s="135">
        <v>9783400</v>
      </c>
      <c r="Y94" s="135">
        <v>16239127</v>
      </c>
      <c r="Z94" s="135">
        <v>16896799</v>
      </c>
      <c r="AA94" s="135">
        <v>11222061</v>
      </c>
      <c r="AB94" s="135">
        <v>-10114174</v>
      </c>
      <c r="AC94" s="135">
        <v>-378350</v>
      </c>
      <c r="AD94" s="135">
        <v>11160</v>
      </c>
      <c r="AE94" s="135">
        <v>11160</v>
      </c>
      <c r="AF94" s="135">
        <v>0</v>
      </c>
      <c r="AG94" s="135">
        <v>60826</v>
      </c>
      <c r="AH94" s="135">
        <v>0</v>
      </c>
      <c r="AI94" s="135">
        <v>588400</v>
      </c>
      <c r="AJ94" s="169"/>
      <c r="AK94" s="160">
        <v>833603129</v>
      </c>
      <c r="AL94" s="161">
        <v>27629107</v>
      </c>
      <c r="AM94" s="135">
        <v>2330089</v>
      </c>
      <c r="AN94" s="135">
        <v>65603855</v>
      </c>
      <c r="AO94" s="135">
        <v>8692101</v>
      </c>
      <c r="AP94" s="135">
        <v>56294376</v>
      </c>
      <c r="AQ94" s="135">
        <v>51333652</v>
      </c>
      <c r="AR94" s="135">
        <v>80117392</v>
      </c>
      <c r="AS94" s="135">
        <v>14839109</v>
      </c>
      <c r="AT94" s="135">
        <v>6411764</v>
      </c>
      <c r="AU94" s="135"/>
      <c r="AV94" s="135"/>
      <c r="AW94" s="135"/>
      <c r="AX94" s="135">
        <v>3897060</v>
      </c>
      <c r="AY94" s="135"/>
      <c r="AZ94" s="160">
        <v>51594917.100000001</v>
      </c>
      <c r="BA94" s="160">
        <v>27861255</v>
      </c>
      <c r="BB94" s="162">
        <v>17360381.020103626</v>
      </c>
      <c r="BC94" s="162">
        <v>1458998</v>
      </c>
      <c r="BD94" s="162">
        <v>2177609</v>
      </c>
      <c r="BE94" s="117">
        <v>48317291</v>
      </c>
      <c r="BF94" s="117">
        <v>48317291</v>
      </c>
      <c r="BG94" s="117">
        <v>135721808</v>
      </c>
      <c r="BH94" s="117">
        <v>133797142</v>
      </c>
      <c r="BI94" s="117">
        <v>10537115</v>
      </c>
      <c r="BJ94" s="117">
        <v>0</v>
      </c>
      <c r="BK94" s="138"/>
      <c r="BL94" s="163">
        <v>9072897711</v>
      </c>
      <c r="BM94" s="163">
        <v>7989693674</v>
      </c>
      <c r="BN94" s="164">
        <v>1842615</v>
      </c>
      <c r="BP94" s="166">
        <f t="shared" si="2"/>
        <v>7863475666</v>
      </c>
      <c r="BQ94" s="167">
        <f>AK94</f>
        <v>833603129</v>
      </c>
      <c r="BR94" s="167">
        <f>AL94</f>
        <v>27629107</v>
      </c>
      <c r="BS94" s="166">
        <f>AN94+AO94+AQ94+AS94</f>
        <v>140468717</v>
      </c>
      <c r="BT94" s="166">
        <f t="shared" si="3"/>
        <v>8865176619</v>
      </c>
    </row>
    <row r="95" spans="1:72" x14ac:dyDescent="0.25">
      <c r="A95" s="168" t="s">
        <v>149</v>
      </c>
      <c r="B95" s="135">
        <v>378252685</v>
      </c>
      <c r="C95" s="135">
        <v>192097729</v>
      </c>
      <c r="D95" s="135">
        <v>47677478</v>
      </c>
      <c r="E95" s="135">
        <v>0</v>
      </c>
      <c r="F95" s="135">
        <v>34221550</v>
      </c>
      <c r="G95" s="171">
        <v>4179750</v>
      </c>
      <c r="H95" s="171">
        <v>17248650</v>
      </c>
      <c r="I95" s="171">
        <v>718200</v>
      </c>
      <c r="J95" s="171">
        <v>75650</v>
      </c>
      <c r="K95" s="171">
        <v>0</v>
      </c>
      <c r="L95" s="135">
        <v>345621501</v>
      </c>
      <c r="M95" s="135">
        <v>155700300</v>
      </c>
      <c r="N95" s="135">
        <v>1163</v>
      </c>
      <c r="O95" s="135">
        <v>123</v>
      </c>
      <c r="P95" s="135">
        <v>6109870</v>
      </c>
      <c r="Q95" s="135">
        <v>6259700</v>
      </c>
      <c r="R95" s="135">
        <v>1760600</v>
      </c>
      <c r="S95" s="135">
        <v>1270800</v>
      </c>
      <c r="T95" s="135">
        <v>554500</v>
      </c>
      <c r="U95" s="140">
        <v>0</v>
      </c>
      <c r="V95" s="135">
        <v>6109870</v>
      </c>
      <c r="W95" s="135">
        <v>7090400</v>
      </c>
      <c r="X95" s="135">
        <v>1760600</v>
      </c>
      <c r="Y95" s="135">
        <v>1270800</v>
      </c>
      <c r="Z95" s="135">
        <v>543570</v>
      </c>
      <c r="AA95" s="135">
        <v>0</v>
      </c>
      <c r="AB95" s="135">
        <v>-2116651</v>
      </c>
      <c r="AC95" s="135">
        <v>-1131</v>
      </c>
      <c r="AD95" s="135">
        <v>69314</v>
      </c>
      <c r="AE95" s="135"/>
      <c r="AF95" s="135"/>
      <c r="AG95" s="135">
        <v>199536</v>
      </c>
      <c r="AH95" s="135">
        <v>0</v>
      </c>
      <c r="AI95" s="135">
        <v>0</v>
      </c>
      <c r="AJ95" s="169"/>
      <c r="AK95" s="160">
        <v>119891563</v>
      </c>
      <c r="AL95" s="161">
        <v>4060361</v>
      </c>
      <c r="AM95" s="135"/>
      <c r="AN95" s="135">
        <v>9861525</v>
      </c>
      <c r="AO95" s="135">
        <v>66062</v>
      </c>
      <c r="AP95" s="135">
        <v>488508</v>
      </c>
      <c r="AQ95" s="135">
        <v>10385239</v>
      </c>
      <c r="AR95" s="135">
        <v>1472748</v>
      </c>
      <c r="AS95" s="135"/>
      <c r="AT95" s="135">
        <v>1567823</v>
      </c>
      <c r="AU95" s="135"/>
      <c r="AV95" s="135">
        <v>58636</v>
      </c>
      <c r="AW95" s="135"/>
      <c r="AX95" s="135">
        <v>4215</v>
      </c>
      <c r="AY95" s="135">
        <v>268000</v>
      </c>
      <c r="AZ95" s="160">
        <v>7420551.8700000001</v>
      </c>
      <c r="BA95" s="160">
        <v>4007098</v>
      </c>
      <c r="BB95" s="162">
        <v>5304560.8672538856</v>
      </c>
      <c r="BC95" s="162">
        <v>0</v>
      </c>
      <c r="BD95" s="162">
        <v>0</v>
      </c>
      <c r="BE95" s="117">
        <v>61009120</v>
      </c>
      <c r="BF95" s="117">
        <v>61009120</v>
      </c>
      <c r="BG95" s="117">
        <v>53027914</v>
      </c>
      <c r="BH95" s="117">
        <v>52951121</v>
      </c>
      <c r="BI95" s="117">
        <v>0</v>
      </c>
      <c r="BJ95" s="117">
        <v>0</v>
      </c>
      <c r="BK95" s="138"/>
      <c r="BL95" s="163">
        <v>880259981</v>
      </c>
      <c r="BM95" s="163">
        <v>638340718</v>
      </c>
      <c r="BN95" s="164">
        <v>257145</v>
      </c>
      <c r="BP95" s="166">
        <f t="shared" si="2"/>
        <v>618027892</v>
      </c>
      <c r="BQ95" s="167">
        <f>AK95</f>
        <v>119891563</v>
      </c>
      <c r="BR95" s="167">
        <f>AL95</f>
        <v>4060361</v>
      </c>
      <c r="BS95" s="166">
        <f>AN95+AO95+AQ95+AS95</f>
        <v>20312826</v>
      </c>
      <c r="BT95" s="166">
        <f t="shared" si="3"/>
        <v>762292642</v>
      </c>
    </row>
    <row r="96" spans="1:72" x14ac:dyDescent="0.25">
      <c r="A96" s="168" t="s">
        <v>150</v>
      </c>
      <c r="B96" s="135">
        <v>38279951</v>
      </c>
      <c r="C96" s="135">
        <v>41773441</v>
      </c>
      <c r="D96" s="135">
        <v>14503075</v>
      </c>
      <c r="E96" s="135">
        <v>0</v>
      </c>
      <c r="F96" s="135">
        <v>7633500</v>
      </c>
      <c r="G96" s="135">
        <v>9678650</v>
      </c>
      <c r="H96" s="135">
        <v>6023465</v>
      </c>
      <c r="I96" s="135">
        <v>4624445</v>
      </c>
      <c r="J96" s="135">
        <v>0</v>
      </c>
      <c r="K96" s="135">
        <v>0</v>
      </c>
      <c r="L96" s="135">
        <v>86372159</v>
      </c>
      <c r="M96" s="135">
        <v>24419650</v>
      </c>
      <c r="N96" s="135">
        <v>342</v>
      </c>
      <c r="O96" s="135">
        <v>394</v>
      </c>
      <c r="P96" s="135">
        <v>712000</v>
      </c>
      <c r="Q96" s="135">
        <v>1149400</v>
      </c>
      <c r="R96" s="135">
        <v>1358500</v>
      </c>
      <c r="S96" s="135">
        <v>428300</v>
      </c>
      <c r="T96" s="135">
        <v>262586</v>
      </c>
      <c r="U96" s="135">
        <v>0</v>
      </c>
      <c r="V96" s="135">
        <v>712000</v>
      </c>
      <c r="W96" s="135">
        <v>1187400</v>
      </c>
      <c r="X96" s="135">
        <v>1358500</v>
      </c>
      <c r="Y96" s="135">
        <v>428300</v>
      </c>
      <c r="Z96" s="135">
        <v>340500</v>
      </c>
      <c r="AA96" s="135">
        <v>0</v>
      </c>
      <c r="AB96" s="135">
        <v>-1596500</v>
      </c>
      <c r="AC96" s="135"/>
      <c r="AD96" s="135">
        <v>50378</v>
      </c>
      <c r="AE96" s="135"/>
      <c r="AF96" s="135">
        <v>107597</v>
      </c>
      <c r="AG96" s="135"/>
      <c r="AH96" s="135">
        <v>0</v>
      </c>
      <c r="AI96" s="135">
        <v>95527</v>
      </c>
      <c r="AJ96" s="169">
        <v>300000</v>
      </c>
      <c r="AK96" s="160">
        <v>28883729</v>
      </c>
      <c r="AL96" s="161">
        <v>620511</v>
      </c>
      <c r="AM96" s="135"/>
      <c r="AN96" s="135">
        <v>1101458</v>
      </c>
      <c r="AO96" s="135">
        <v>7732</v>
      </c>
      <c r="AP96" s="135">
        <v>0</v>
      </c>
      <c r="AQ96" s="135">
        <v>1217517</v>
      </c>
      <c r="AR96" s="135">
        <v>0</v>
      </c>
      <c r="AS96" s="135"/>
      <c r="AT96" s="135">
        <v>85965</v>
      </c>
      <c r="AU96" s="135"/>
      <c r="AV96" s="135"/>
      <c r="AW96" s="135"/>
      <c r="AX96" s="135"/>
      <c r="AY96" s="135"/>
      <c r="AZ96" s="160">
        <v>1787725.54</v>
      </c>
      <c r="BA96" s="160">
        <v>965372</v>
      </c>
      <c r="BB96" s="162">
        <v>0</v>
      </c>
      <c r="BC96" s="162">
        <v>0</v>
      </c>
      <c r="BD96" s="162">
        <v>0</v>
      </c>
      <c r="BE96" s="117">
        <v>1837843</v>
      </c>
      <c r="BF96" s="117">
        <v>1837843</v>
      </c>
      <c r="BG96" s="117">
        <v>16397513</v>
      </c>
      <c r="BH96" s="117">
        <v>16396255</v>
      </c>
      <c r="BI96" s="117">
        <v>0</v>
      </c>
      <c r="BJ96" s="117">
        <v>0</v>
      </c>
      <c r="BK96" s="138"/>
      <c r="BL96" s="163">
        <v>145982411</v>
      </c>
      <c r="BM96" s="163">
        <v>97278701</v>
      </c>
      <c r="BN96" s="164"/>
      <c r="BP96" s="166">
        <f t="shared" si="2"/>
        <v>94556467</v>
      </c>
      <c r="BQ96" s="167">
        <f>AK96</f>
        <v>28883729</v>
      </c>
      <c r="BR96" s="167">
        <f>AL96</f>
        <v>620511</v>
      </c>
      <c r="BS96" s="166" t="e">
        <f>#REF!+#REF!+#REF!+#REF!</f>
        <v>#REF!</v>
      </c>
      <c r="BT96" s="166" t="e">
        <f t="shared" si="3"/>
        <v>#REF!</v>
      </c>
    </row>
    <row r="97" spans="1:72" x14ac:dyDescent="0.25">
      <c r="A97" s="168" t="s">
        <v>151</v>
      </c>
      <c r="B97" s="135">
        <v>388282727</v>
      </c>
      <c r="C97" s="135">
        <v>229762895</v>
      </c>
      <c r="D97" s="135">
        <v>71911300</v>
      </c>
      <c r="E97" s="135">
        <v>0</v>
      </c>
      <c r="F97" s="135">
        <v>42439650</v>
      </c>
      <c r="G97" s="135">
        <v>7260580</v>
      </c>
      <c r="H97" s="135">
        <v>25562370</v>
      </c>
      <c r="I97" s="135">
        <v>1619000</v>
      </c>
      <c r="J97" s="135">
        <v>46350</v>
      </c>
      <c r="K97" s="135">
        <v>0</v>
      </c>
      <c r="L97" s="135">
        <v>320112002</v>
      </c>
      <c r="M97" s="135">
        <v>186869153</v>
      </c>
      <c r="N97" s="135">
        <v>1521</v>
      </c>
      <c r="O97" s="135">
        <v>208</v>
      </c>
      <c r="P97" s="135">
        <v>9338149</v>
      </c>
      <c r="Q97" s="135">
        <v>8403439</v>
      </c>
      <c r="R97" s="135">
        <v>1440800</v>
      </c>
      <c r="S97" s="135">
        <v>3684709</v>
      </c>
      <c r="T97" s="135">
        <v>2383898</v>
      </c>
      <c r="U97" s="135">
        <v>822700</v>
      </c>
      <c r="V97" s="135">
        <v>9338149</v>
      </c>
      <c r="W97" s="135">
        <v>9495950</v>
      </c>
      <c r="X97" s="135">
        <v>1440800</v>
      </c>
      <c r="Y97" s="135">
        <v>3684709</v>
      </c>
      <c r="Z97" s="135">
        <v>2973033</v>
      </c>
      <c r="AA97" s="135">
        <v>822700</v>
      </c>
      <c r="AB97" s="135">
        <v>-2311650</v>
      </c>
      <c r="AC97" s="135">
        <v>80699</v>
      </c>
      <c r="AD97" s="135">
        <v>0</v>
      </c>
      <c r="AE97" s="135">
        <v>11</v>
      </c>
      <c r="AF97" s="135">
        <v>0</v>
      </c>
      <c r="AG97" s="135">
        <v>180439</v>
      </c>
      <c r="AH97" s="135">
        <v>0</v>
      </c>
      <c r="AI97" s="135">
        <v>7151288</v>
      </c>
      <c r="AJ97" s="169"/>
      <c r="AK97" s="160">
        <v>146163312</v>
      </c>
      <c r="AL97" s="161">
        <v>4085832</v>
      </c>
      <c r="AM97" s="135"/>
      <c r="AN97" s="135">
        <v>27276506</v>
      </c>
      <c r="AO97" s="135">
        <v>8682700</v>
      </c>
      <c r="AP97" s="135">
        <v>91134485</v>
      </c>
      <c r="AQ97" s="135">
        <v>7696256</v>
      </c>
      <c r="AR97" s="135">
        <v>5386181</v>
      </c>
      <c r="AS97" s="135">
        <v>6860712</v>
      </c>
      <c r="AT97" s="135">
        <v>302074</v>
      </c>
      <c r="AU97" s="135"/>
      <c r="AV97" s="135"/>
      <c r="AW97" s="135"/>
      <c r="AX97" s="135">
        <v>20374</v>
      </c>
      <c r="AY97" s="135">
        <v>784500</v>
      </c>
      <c r="AZ97" s="160">
        <v>9046611.8699999992</v>
      </c>
      <c r="BA97" s="160">
        <v>4885170</v>
      </c>
      <c r="BB97" s="162">
        <v>3643536.7573056994</v>
      </c>
      <c r="BC97" s="162">
        <v>4076181</v>
      </c>
      <c r="BD97" s="162">
        <v>6083852</v>
      </c>
      <c r="BE97" s="117">
        <v>26178241</v>
      </c>
      <c r="BF97" s="117">
        <v>26178241</v>
      </c>
      <c r="BG97" s="117">
        <v>75255716</v>
      </c>
      <c r="BH97" s="117">
        <v>68107748</v>
      </c>
      <c r="BI97" s="117">
        <v>0</v>
      </c>
      <c r="BJ97" s="117">
        <v>0</v>
      </c>
      <c r="BK97" s="138"/>
      <c r="BL97" s="163">
        <v>994260156</v>
      </c>
      <c r="BM97" s="163">
        <v>740763672</v>
      </c>
      <c r="BN97" s="164">
        <v>516085</v>
      </c>
      <c r="BP97" s="166">
        <f t="shared" si="2"/>
        <v>689956922</v>
      </c>
      <c r="BQ97" s="167">
        <f>AK97</f>
        <v>146163312</v>
      </c>
      <c r="BR97" s="167">
        <f>AL97</f>
        <v>4085832</v>
      </c>
      <c r="BS97" s="166">
        <f>AN97+AO97+AQ97+AS97</f>
        <v>50516174</v>
      </c>
      <c r="BT97" s="166">
        <f t="shared" si="3"/>
        <v>890722240</v>
      </c>
    </row>
    <row r="98" spans="1:72" x14ac:dyDescent="0.25">
      <c r="A98" s="168" t="s">
        <v>152</v>
      </c>
      <c r="B98" s="135">
        <v>478917847</v>
      </c>
      <c r="C98" s="135">
        <v>59579160</v>
      </c>
      <c r="D98" s="135">
        <v>299505839</v>
      </c>
      <c r="E98" s="135">
        <v>0</v>
      </c>
      <c r="F98" s="135">
        <v>72274763</v>
      </c>
      <c r="G98" s="135">
        <v>53067307</v>
      </c>
      <c r="H98" s="135">
        <v>11447675</v>
      </c>
      <c r="I98" s="135">
        <v>5091950</v>
      </c>
      <c r="J98" s="135">
        <v>493150</v>
      </c>
      <c r="K98" s="135">
        <v>278100</v>
      </c>
      <c r="L98" s="135">
        <v>68188828</v>
      </c>
      <c r="M98" s="135">
        <v>45044305</v>
      </c>
      <c r="N98" s="135">
        <v>2223</v>
      </c>
      <c r="O98" s="135">
        <v>1705</v>
      </c>
      <c r="P98" s="135">
        <v>2633500</v>
      </c>
      <c r="Q98" s="135">
        <v>470000</v>
      </c>
      <c r="R98" s="135">
        <v>16590000</v>
      </c>
      <c r="S98" s="135">
        <v>3957575</v>
      </c>
      <c r="T98" s="135">
        <v>405600</v>
      </c>
      <c r="U98" s="135">
        <v>109000</v>
      </c>
      <c r="V98" s="135">
        <v>2633500</v>
      </c>
      <c r="W98" s="135">
        <v>470000</v>
      </c>
      <c r="X98" s="135">
        <v>16590000</v>
      </c>
      <c r="Y98" s="135">
        <v>3957575</v>
      </c>
      <c r="Z98" s="135">
        <v>405600</v>
      </c>
      <c r="AA98" s="135">
        <v>109000</v>
      </c>
      <c r="AB98" s="135">
        <v>-7426340</v>
      </c>
      <c r="AC98" s="135">
        <v>-7808</v>
      </c>
      <c r="AD98" s="135">
        <v>127444</v>
      </c>
      <c r="AE98" s="135">
        <v>35</v>
      </c>
      <c r="AF98" s="135">
        <v>0</v>
      </c>
      <c r="AG98" s="135">
        <v>154519</v>
      </c>
      <c r="AH98" s="135">
        <v>8965081</v>
      </c>
      <c r="AI98" s="135">
        <v>25558200</v>
      </c>
      <c r="AJ98" s="169">
        <v>9650900</v>
      </c>
      <c r="AK98" s="160">
        <v>247064497</v>
      </c>
      <c r="AL98" s="161">
        <v>6165398</v>
      </c>
      <c r="AM98" s="135"/>
      <c r="AN98" s="135">
        <v>97207576</v>
      </c>
      <c r="AO98" s="135">
        <v>5058098</v>
      </c>
      <c r="AP98" s="135">
        <v>25437148</v>
      </c>
      <c r="AQ98" s="135">
        <v>53001232</v>
      </c>
      <c r="AR98" s="135">
        <v>29724841</v>
      </c>
      <c r="AS98" s="135">
        <v>8646135</v>
      </c>
      <c r="AT98" s="135">
        <v>628336</v>
      </c>
      <c r="AU98" s="135"/>
      <c r="AV98" s="135"/>
      <c r="AW98" s="135"/>
      <c r="AX98" s="135">
        <v>26346</v>
      </c>
      <c r="AY98" s="135">
        <v>13851548</v>
      </c>
      <c r="AZ98" s="160">
        <v>15291775.9</v>
      </c>
      <c r="BA98" s="160">
        <v>8257559</v>
      </c>
      <c r="BB98" s="162">
        <v>0</v>
      </c>
      <c r="BC98" s="162">
        <v>10360946</v>
      </c>
      <c r="BD98" s="162">
        <v>15464098</v>
      </c>
      <c r="BE98" s="117">
        <v>33736735</v>
      </c>
      <c r="BF98" s="117">
        <v>33736735</v>
      </c>
      <c r="BG98" s="117">
        <v>155222002</v>
      </c>
      <c r="BH98" s="117">
        <v>143846725</v>
      </c>
      <c r="BI98" s="117">
        <v>0</v>
      </c>
      <c r="BJ98" s="117">
        <v>0</v>
      </c>
      <c r="BK98" s="138"/>
      <c r="BL98" s="163">
        <v>1486875793</v>
      </c>
      <c r="BM98" s="163">
        <v>1037443933</v>
      </c>
      <c r="BN98" s="164">
        <v>1061467</v>
      </c>
      <c r="BP98" s="166">
        <f t="shared" si="2"/>
        <v>838002846</v>
      </c>
      <c r="BQ98" s="167">
        <f>AK98</f>
        <v>247064497</v>
      </c>
      <c r="BR98" s="167">
        <f>AL98</f>
        <v>6165398</v>
      </c>
      <c r="BS98" s="166">
        <f>AN98+AO98+AQ98+AS98</f>
        <v>163913041</v>
      </c>
      <c r="BT98" s="166">
        <f t="shared" si="3"/>
        <v>1255145782</v>
      </c>
    </row>
    <row r="99" spans="1:72" x14ac:dyDescent="0.25">
      <c r="A99" s="168" t="s">
        <v>153</v>
      </c>
      <c r="B99" s="135">
        <v>1056608769</v>
      </c>
      <c r="C99" s="135">
        <v>141572978</v>
      </c>
      <c r="D99" s="135">
        <v>462074246</v>
      </c>
      <c r="E99" s="135">
        <v>0</v>
      </c>
      <c r="F99" s="171">
        <v>166863950</v>
      </c>
      <c r="G99" s="171">
        <v>158946560</v>
      </c>
      <c r="H99" s="171">
        <v>32939000</v>
      </c>
      <c r="I99" s="171">
        <v>24581400</v>
      </c>
      <c r="J99" s="171">
        <v>503500</v>
      </c>
      <c r="K99" s="171">
        <v>324400</v>
      </c>
      <c r="L99" s="171">
        <v>167148209</v>
      </c>
      <c r="M99" s="171">
        <v>151674282</v>
      </c>
      <c r="N99" s="171">
        <v>5480</v>
      </c>
      <c r="O99" s="171">
        <v>5660</v>
      </c>
      <c r="P99" s="171">
        <v>10522750</v>
      </c>
      <c r="Q99" s="171">
        <v>724500</v>
      </c>
      <c r="R99" s="171">
        <v>6772787</v>
      </c>
      <c r="S99" s="171">
        <v>10301765</v>
      </c>
      <c r="T99" s="171">
        <v>1412750</v>
      </c>
      <c r="U99" s="171">
        <v>4016287</v>
      </c>
      <c r="V99" s="171">
        <v>10522750</v>
      </c>
      <c r="W99" s="171">
        <v>1111100</v>
      </c>
      <c r="X99" s="171">
        <v>6772787</v>
      </c>
      <c r="Y99" s="171">
        <v>10301765</v>
      </c>
      <c r="Z99" s="171">
        <v>1609500</v>
      </c>
      <c r="AA99" s="171">
        <v>4016287</v>
      </c>
      <c r="AB99" s="171">
        <v>-8106450</v>
      </c>
      <c r="AC99" s="171">
        <v>-106642</v>
      </c>
      <c r="AD99" s="171">
        <v>375352</v>
      </c>
      <c r="AG99" s="171">
        <v>404204</v>
      </c>
      <c r="AH99" s="135">
        <v>8958541</v>
      </c>
      <c r="AI99" s="171">
        <v>95201322</v>
      </c>
      <c r="AJ99" s="169">
        <v>56780500</v>
      </c>
      <c r="AK99" s="160">
        <v>575497060</v>
      </c>
      <c r="AL99" s="161">
        <v>10027476</v>
      </c>
      <c r="AM99" s="171">
        <v>19629</v>
      </c>
      <c r="AN99" s="171">
        <v>155027619</v>
      </c>
      <c r="AO99" s="171">
        <v>9536352</v>
      </c>
      <c r="AP99" s="171">
        <v>153219364</v>
      </c>
      <c r="AQ99" s="171">
        <v>125371470</v>
      </c>
      <c r="AR99" s="171">
        <v>53529047</v>
      </c>
      <c r="AS99" s="171">
        <v>1978524</v>
      </c>
      <c r="AT99" s="171">
        <v>200405</v>
      </c>
      <c r="AU99" s="171">
        <v>145498</v>
      </c>
      <c r="AX99" s="171">
        <v>595948</v>
      </c>
      <c r="AY99" s="171">
        <v>975565</v>
      </c>
      <c r="AZ99" s="160">
        <v>35619735.659999996</v>
      </c>
      <c r="BA99" s="160">
        <v>19234657</v>
      </c>
      <c r="BB99" s="162">
        <v>0</v>
      </c>
      <c r="BC99" s="162">
        <v>11480916</v>
      </c>
      <c r="BD99" s="162">
        <v>17135695</v>
      </c>
      <c r="BE99" s="117">
        <v>117979902</v>
      </c>
      <c r="BF99" s="117">
        <v>117979902</v>
      </c>
      <c r="BG99" s="117">
        <v>264358477</v>
      </c>
      <c r="BH99" s="117">
        <v>253667369</v>
      </c>
      <c r="BI99" s="117">
        <v>15122</v>
      </c>
      <c r="BJ99" s="117">
        <v>0</v>
      </c>
      <c r="BK99" s="172"/>
      <c r="BL99" s="163">
        <v>3099034299</v>
      </c>
      <c r="BM99" s="163">
        <v>2111131797</v>
      </c>
      <c r="BN99" s="164">
        <v>10585593</v>
      </c>
      <c r="BP99" s="166">
        <f t="shared" si="2"/>
        <v>1660255993</v>
      </c>
      <c r="BQ99" s="167">
        <f>AK99</f>
        <v>575497060</v>
      </c>
      <c r="BR99" s="167">
        <f>AL99</f>
        <v>10027476</v>
      </c>
      <c r="BS99" s="166">
        <f>AN99+AO99+AQ99+AS99</f>
        <v>291913965</v>
      </c>
      <c r="BT99" s="166">
        <f t="shared" si="3"/>
        <v>2537694494</v>
      </c>
    </row>
    <row r="100" spans="1:72" x14ac:dyDescent="0.25">
      <c r="A100" s="168" t="s">
        <v>154</v>
      </c>
      <c r="B100" s="135">
        <v>305613153</v>
      </c>
      <c r="C100" s="135">
        <v>76084305</v>
      </c>
      <c r="D100" s="135">
        <v>96361617</v>
      </c>
      <c r="E100" s="135">
        <v>0</v>
      </c>
      <c r="F100" s="135">
        <v>36004994</v>
      </c>
      <c r="G100" s="135">
        <v>16200598</v>
      </c>
      <c r="H100" s="135">
        <v>6026762</v>
      </c>
      <c r="I100" s="135">
        <v>2083735</v>
      </c>
      <c r="J100" s="135">
        <v>103350</v>
      </c>
      <c r="K100" s="135">
        <v>68850</v>
      </c>
      <c r="L100" s="135">
        <v>35387052</v>
      </c>
      <c r="M100" s="135">
        <v>35398368</v>
      </c>
      <c r="N100" s="135">
        <v>1071</v>
      </c>
      <c r="O100" s="135">
        <v>529</v>
      </c>
      <c r="P100" s="135">
        <v>6199210</v>
      </c>
      <c r="Q100" s="135">
        <v>1190400</v>
      </c>
      <c r="R100" s="135">
        <v>391175</v>
      </c>
      <c r="S100" s="135">
        <v>3326243</v>
      </c>
      <c r="T100" s="135">
        <v>1267080</v>
      </c>
      <c r="U100" s="135">
        <v>160000</v>
      </c>
      <c r="V100" s="135">
        <v>6199210</v>
      </c>
      <c r="W100" s="135">
        <v>56000</v>
      </c>
      <c r="X100" s="135">
        <v>391175</v>
      </c>
      <c r="Y100" s="135">
        <v>3326243</v>
      </c>
      <c r="Z100" s="135">
        <v>305000</v>
      </c>
      <c r="AA100" s="135">
        <v>160000</v>
      </c>
      <c r="AB100" s="135">
        <v>-2959215</v>
      </c>
      <c r="AC100" s="135">
        <v>-291172</v>
      </c>
      <c r="AD100" s="135">
        <v>63379</v>
      </c>
      <c r="AE100" s="135"/>
      <c r="AF100" s="135"/>
      <c r="AG100" s="135">
        <v>77269</v>
      </c>
      <c r="AH100" s="135">
        <v>275262</v>
      </c>
      <c r="AI100" s="135">
        <v>802500</v>
      </c>
      <c r="AJ100" s="169"/>
      <c r="AK100" s="160">
        <v>110597990</v>
      </c>
      <c r="AL100" s="161">
        <v>2747907</v>
      </c>
      <c r="AM100" s="135"/>
      <c r="AN100" s="135">
        <v>13556634</v>
      </c>
      <c r="AO100" s="135">
        <v>152434</v>
      </c>
      <c r="AP100" s="135">
        <v>9356725</v>
      </c>
      <c r="AQ100" s="135">
        <v>9745086</v>
      </c>
      <c r="AR100" s="135">
        <v>9833043</v>
      </c>
      <c r="AS100" s="135">
        <v>302190</v>
      </c>
      <c r="AT100" s="135">
        <v>4682</v>
      </c>
      <c r="AU100" s="135"/>
      <c r="AV100" s="135">
        <v>4000</v>
      </c>
      <c r="AW100" s="135"/>
      <c r="AX100" s="135">
        <v>9245265</v>
      </c>
      <c r="AY100" s="135">
        <v>183500</v>
      </c>
      <c r="AZ100" s="160">
        <v>6845336.7400000002</v>
      </c>
      <c r="BA100" s="160">
        <v>3696482</v>
      </c>
      <c r="BB100" s="162">
        <v>0</v>
      </c>
      <c r="BC100" s="162">
        <v>0</v>
      </c>
      <c r="BD100" s="162">
        <v>0</v>
      </c>
      <c r="BE100" s="117">
        <v>14085882</v>
      </c>
      <c r="BF100" s="117">
        <v>14085882</v>
      </c>
      <c r="BG100" s="117">
        <v>193187977</v>
      </c>
      <c r="BH100" s="117">
        <v>193180431</v>
      </c>
      <c r="BI100" s="117">
        <v>0</v>
      </c>
      <c r="BJ100" s="117">
        <v>0</v>
      </c>
      <c r="BK100" s="138"/>
      <c r="BL100" s="163">
        <v>826899683</v>
      </c>
      <c r="BM100" s="163">
        <v>502590991</v>
      </c>
      <c r="BN100" s="164"/>
      <c r="BP100" s="166">
        <f t="shared" si="2"/>
        <v>478059075</v>
      </c>
      <c r="BQ100" s="167">
        <f>AK100</f>
        <v>110597990</v>
      </c>
      <c r="BR100" s="167">
        <f>AL100</f>
        <v>2747907</v>
      </c>
      <c r="BS100" s="166">
        <f>AN100+AO100+AQ100+AS100</f>
        <v>23756344</v>
      </c>
      <c r="BT100" s="166">
        <f t="shared" si="3"/>
        <v>615161316</v>
      </c>
    </row>
    <row r="101" spans="1:72" x14ac:dyDescent="0.25">
      <c r="A101" s="168" t="s">
        <v>155</v>
      </c>
      <c r="B101" s="135">
        <v>2876450834</v>
      </c>
      <c r="C101" s="135">
        <v>424776280</v>
      </c>
      <c r="D101" s="135">
        <v>1038306001</v>
      </c>
      <c r="E101" s="135">
        <v>0</v>
      </c>
      <c r="F101" s="135">
        <v>256789417</v>
      </c>
      <c r="G101" s="135">
        <v>38416085</v>
      </c>
      <c r="H101" s="135">
        <v>41951655</v>
      </c>
      <c r="I101" s="135">
        <v>4022300</v>
      </c>
      <c r="J101" s="135">
        <v>185400</v>
      </c>
      <c r="K101" s="135">
        <v>46350</v>
      </c>
      <c r="L101" s="135">
        <v>685819293</v>
      </c>
      <c r="M101" s="135">
        <v>307585650</v>
      </c>
      <c r="N101" s="135">
        <v>6697</v>
      </c>
      <c r="O101" s="135">
        <v>1065</v>
      </c>
      <c r="P101" s="135">
        <v>38232200</v>
      </c>
      <c r="Q101" s="135">
        <v>6748000</v>
      </c>
      <c r="R101" s="135">
        <v>34749500</v>
      </c>
      <c r="S101" s="135">
        <v>2114469</v>
      </c>
      <c r="T101" s="135">
        <v>30000</v>
      </c>
      <c r="U101" s="135">
        <v>327000</v>
      </c>
      <c r="V101" s="135">
        <v>38232200</v>
      </c>
      <c r="W101" s="135">
        <v>6748000</v>
      </c>
      <c r="X101" s="135">
        <v>34749500</v>
      </c>
      <c r="Y101" s="135">
        <v>2114469</v>
      </c>
      <c r="Z101" s="135">
        <v>30000</v>
      </c>
      <c r="AA101" s="135">
        <v>327000</v>
      </c>
      <c r="AB101" s="135">
        <v>-12146335</v>
      </c>
      <c r="AC101" s="135">
        <v>-70277</v>
      </c>
      <c r="AD101" s="135">
        <v>45060</v>
      </c>
      <c r="AE101" s="135"/>
      <c r="AF101" s="135"/>
      <c r="AG101" s="135">
        <v>298072</v>
      </c>
      <c r="AH101" s="135">
        <v>0</v>
      </c>
      <c r="AI101" s="135">
        <v>680500</v>
      </c>
      <c r="AJ101" s="169"/>
      <c r="AK101" s="160">
        <v>668285991</v>
      </c>
      <c r="AL101" s="161">
        <v>49252469</v>
      </c>
      <c r="AM101" s="135">
        <v>7077954</v>
      </c>
      <c r="AN101" s="135">
        <v>167546054</v>
      </c>
      <c r="AO101" s="135">
        <v>27077784</v>
      </c>
      <c r="AP101" s="135">
        <v>302333079</v>
      </c>
      <c r="AQ101" s="135">
        <v>171673311</v>
      </c>
      <c r="AR101" s="135">
        <v>178141757</v>
      </c>
      <c r="AS101" s="135">
        <v>48842226</v>
      </c>
      <c r="AT101" s="135">
        <v>31682344</v>
      </c>
      <c r="AU101" s="135"/>
      <c r="AV101" s="135">
        <v>178576</v>
      </c>
      <c r="AW101" s="135"/>
      <c r="AX101" s="135">
        <v>1680663</v>
      </c>
      <c r="AY101" s="135">
        <v>24486439</v>
      </c>
      <c r="AZ101" s="160">
        <v>41362800.960000001</v>
      </c>
      <c r="BA101" s="160">
        <v>22335913</v>
      </c>
      <c r="BB101" s="162">
        <v>0</v>
      </c>
      <c r="BC101" s="162">
        <v>7851547</v>
      </c>
      <c r="BD101" s="162">
        <v>11718727</v>
      </c>
      <c r="BE101" s="117">
        <v>110891393</v>
      </c>
      <c r="BF101" s="117">
        <v>110891393</v>
      </c>
      <c r="BG101" s="117">
        <v>173329174</v>
      </c>
      <c r="BH101" s="117">
        <v>164222726</v>
      </c>
      <c r="BI101" s="117">
        <v>0</v>
      </c>
      <c r="BJ101" s="117">
        <v>0</v>
      </c>
      <c r="BK101" s="138"/>
      <c r="BL101" s="163">
        <v>5729350803</v>
      </c>
      <c r="BM101" s="163">
        <v>4706510764</v>
      </c>
      <c r="BN101" s="164"/>
      <c r="BP101" s="166">
        <f t="shared" si="2"/>
        <v>4339533115</v>
      </c>
      <c r="BQ101" s="167">
        <f>AK101</f>
        <v>668285991</v>
      </c>
      <c r="BR101" s="167">
        <f>AL101</f>
        <v>49252469</v>
      </c>
      <c r="BS101" s="166">
        <f>AN101+AO101+AQ101+AS101</f>
        <v>415139375</v>
      </c>
      <c r="BT101" s="166">
        <f t="shared" si="3"/>
        <v>5472210950</v>
      </c>
    </row>
    <row r="102" spans="1:72" x14ac:dyDescent="0.25">
      <c r="A102" s="168" t="s">
        <v>156</v>
      </c>
      <c r="B102" s="135">
        <v>28850320</v>
      </c>
      <c r="C102" s="135">
        <v>45319917</v>
      </c>
      <c r="D102" s="135">
        <v>4752967</v>
      </c>
      <c r="E102" s="135">
        <v>0</v>
      </c>
      <c r="F102" s="135">
        <v>4948590</v>
      </c>
      <c r="G102" s="135">
        <v>1579500</v>
      </c>
      <c r="H102" s="135">
        <v>4453882</v>
      </c>
      <c r="I102" s="135">
        <v>1489951</v>
      </c>
      <c r="J102" s="135">
        <v>0</v>
      </c>
      <c r="K102" s="135">
        <v>0</v>
      </c>
      <c r="L102" s="135">
        <v>97359164</v>
      </c>
      <c r="M102" s="135">
        <v>28250329</v>
      </c>
      <c r="N102" s="135">
        <v>245</v>
      </c>
      <c r="O102" s="135">
        <v>83</v>
      </c>
      <c r="P102" s="135">
        <v>604200</v>
      </c>
      <c r="Q102" s="135">
        <v>1201589</v>
      </c>
      <c r="R102" s="135">
        <v>301000</v>
      </c>
      <c r="S102" s="135">
        <v>265618</v>
      </c>
      <c r="T102" s="135">
        <v>111364</v>
      </c>
      <c r="U102" s="135">
        <v>19200</v>
      </c>
      <c r="V102" s="135">
        <v>604200</v>
      </c>
      <c r="W102" s="135">
        <v>1297510</v>
      </c>
      <c r="X102" s="135">
        <v>301000</v>
      </c>
      <c r="Y102" s="135">
        <v>265618</v>
      </c>
      <c r="Z102" s="135">
        <v>110100</v>
      </c>
      <c r="AA102" s="135">
        <v>19200</v>
      </c>
      <c r="AB102" s="135">
        <v>-301676</v>
      </c>
      <c r="AC102" s="135">
        <v>0</v>
      </c>
      <c r="AD102" s="135">
        <v>0</v>
      </c>
      <c r="AE102" s="135">
        <v>0</v>
      </c>
      <c r="AF102" s="135">
        <v>0</v>
      </c>
      <c r="AG102" s="135">
        <v>0</v>
      </c>
      <c r="AH102" s="135">
        <v>0</v>
      </c>
      <c r="AI102" s="135">
        <v>0</v>
      </c>
      <c r="AJ102" s="169"/>
      <c r="AK102" s="160">
        <v>21824960</v>
      </c>
      <c r="AL102" s="161">
        <v>459717</v>
      </c>
      <c r="AM102" s="135"/>
      <c r="AN102" s="135">
        <v>1359453</v>
      </c>
      <c r="AO102" s="135">
        <v>7975</v>
      </c>
      <c r="AP102" s="135">
        <v>59359</v>
      </c>
      <c r="AQ102" s="135">
        <v>1487438</v>
      </c>
      <c r="AR102" s="135">
        <v>326689</v>
      </c>
      <c r="AS102" s="135"/>
      <c r="AT102" s="135">
        <v>35693</v>
      </c>
      <c r="AU102" s="135"/>
      <c r="AV102" s="135"/>
      <c r="AW102" s="135"/>
      <c r="AX102" s="135"/>
      <c r="AY102" s="135"/>
      <c r="AZ102" s="160">
        <v>1350831.06</v>
      </c>
      <c r="BA102" s="160">
        <v>729449</v>
      </c>
      <c r="BB102" s="162">
        <v>0</v>
      </c>
      <c r="BC102" s="162">
        <v>0</v>
      </c>
      <c r="BD102" s="162">
        <v>0</v>
      </c>
      <c r="BE102" s="117">
        <v>12879407</v>
      </c>
      <c r="BF102" s="117">
        <v>12879407</v>
      </c>
      <c r="BG102" s="117">
        <v>12946510</v>
      </c>
      <c r="BH102" s="117">
        <v>12945252</v>
      </c>
      <c r="BI102" s="117">
        <v>0</v>
      </c>
      <c r="BJ102" s="117">
        <v>0</v>
      </c>
      <c r="BK102" s="138"/>
      <c r="BL102" s="163">
        <v>130616855</v>
      </c>
      <c r="BM102" s="163">
        <v>81778070</v>
      </c>
      <c r="BN102" s="164">
        <v>76448</v>
      </c>
      <c r="BP102" s="166">
        <f t="shared" si="2"/>
        <v>78923204</v>
      </c>
      <c r="BQ102" s="167">
        <f>AK102</f>
        <v>21824960</v>
      </c>
      <c r="BR102" s="167">
        <f>AL102</f>
        <v>459717</v>
      </c>
      <c r="BS102" s="166">
        <f>AN102+AO102+AQ102+AS102</f>
        <v>2854866</v>
      </c>
      <c r="BT102" s="166">
        <f t="shared" si="3"/>
        <v>104062747</v>
      </c>
    </row>
    <row r="103" spans="1:72" x14ac:dyDescent="0.25">
      <c r="A103" s="168" t="s">
        <v>157</v>
      </c>
      <c r="B103" s="135">
        <v>336072734</v>
      </c>
      <c r="C103" s="135">
        <v>118474939</v>
      </c>
      <c r="D103" s="135">
        <v>100533344</v>
      </c>
      <c r="E103" s="135">
        <v>0</v>
      </c>
      <c r="F103" s="135">
        <v>57347950</v>
      </c>
      <c r="G103" s="135">
        <v>13316850</v>
      </c>
      <c r="H103" s="135">
        <v>16703750</v>
      </c>
      <c r="I103" s="135">
        <v>1885550</v>
      </c>
      <c r="J103" s="135">
        <v>46350</v>
      </c>
      <c r="K103" s="135">
        <v>0</v>
      </c>
      <c r="L103" s="135">
        <v>204907652</v>
      </c>
      <c r="M103" s="135">
        <v>92134700</v>
      </c>
      <c r="N103" s="135">
        <v>1776</v>
      </c>
      <c r="O103" s="135">
        <v>397</v>
      </c>
      <c r="P103" s="135">
        <v>6731200</v>
      </c>
      <c r="Q103" s="135">
        <v>1724000</v>
      </c>
      <c r="R103" s="135">
        <v>0</v>
      </c>
      <c r="S103" s="135">
        <v>1063647</v>
      </c>
      <c r="T103" s="135">
        <v>110000</v>
      </c>
      <c r="U103" s="135">
        <v>1402070</v>
      </c>
      <c r="V103" s="135">
        <v>6731200</v>
      </c>
      <c r="W103" s="135">
        <v>1724000</v>
      </c>
      <c r="X103" s="135">
        <v>0</v>
      </c>
      <c r="Y103" s="135">
        <v>1063647</v>
      </c>
      <c r="Z103" s="135">
        <v>110000</v>
      </c>
      <c r="AA103" s="135">
        <v>1402070</v>
      </c>
      <c r="AB103" s="135">
        <v>-277000</v>
      </c>
      <c r="AC103" s="135"/>
      <c r="AD103" s="135">
        <v>75473</v>
      </c>
      <c r="AE103" s="135">
        <v>0</v>
      </c>
      <c r="AF103" s="135">
        <v>0</v>
      </c>
      <c r="AG103" s="135">
        <v>327</v>
      </c>
      <c r="AH103" s="135">
        <v>18132</v>
      </c>
      <c r="AI103" s="135">
        <v>550800</v>
      </c>
      <c r="AJ103" s="169"/>
      <c r="AK103" s="160">
        <v>130269053</v>
      </c>
      <c r="AL103" s="161">
        <v>3850798</v>
      </c>
      <c r="AM103" s="135">
        <v>0</v>
      </c>
      <c r="AN103" s="135">
        <v>16034100</v>
      </c>
      <c r="AO103" s="135">
        <v>140871</v>
      </c>
      <c r="AP103" s="135">
        <v>10201384</v>
      </c>
      <c r="AQ103" s="135">
        <v>7820126</v>
      </c>
      <c r="AR103" s="135">
        <v>2525018</v>
      </c>
      <c r="AS103" s="135">
        <v>0</v>
      </c>
      <c r="AT103" s="135">
        <v>60175</v>
      </c>
      <c r="AU103" s="135">
        <v>0</v>
      </c>
      <c r="AV103" s="135">
        <v>0</v>
      </c>
      <c r="AW103" s="135">
        <v>0</v>
      </c>
      <c r="AX103" s="135">
        <v>255129</v>
      </c>
      <c r="AY103" s="135">
        <v>0</v>
      </c>
      <c r="AZ103" s="160">
        <v>8062854.7999999998</v>
      </c>
      <c r="BA103" s="160">
        <v>4353942</v>
      </c>
      <c r="BB103" s="162">
        <v>0</v>
      </c>
      <c r="BC103" s="162">
        <v>3950760</v>
      </c>
      <c r="BD103" s="162">
        <v>5896656</v>
      </c>
      <c r="BE103" s="117">
        <v>16029335</v>
      </c>
      <c r="BF103" s="117">
        <v>16029335</v>
      </c>
      <c r="BG103" s="117">
        <v>52173573</v>
      </c>
      <c r="BH103" s="117">
        <v>47614169</v>
      </c>
      <c r="BI103" s="117">
        <v>0</v>
      </c>
      <c r="BJ103" s="117">
        <v>0</v>
      </c>
      <c r="BK103" s="138"/>
      <c r="BL103" s="163">
        <v>785713103</v>
      </c>
      <c r="BM103" s="163">
        <v>579645046</v>
      </c>
      <c r="BN103" s="164">
        <v>1487026</v>
      </c>
      <c r="BP103" s="166">
        <f t="shared" si="2"/>
        <v>555081017</v>
      </c>
      <c r="BQ103" s="167">
        <f>AK103</f>
        <v>130269053</v>
      </c>
      <c r="BR103" s="167">
        <f>AL103</f>
        <v>3850798</v>
      </c>
      <c r="BS103" s="166">
        <f>AN103+AO103+AQ103+AS103</f>
        <v>23995097</v>
      </c>
      <c r="BT103" s="166">
        <f t="shared" si="3"/>
        <v>713195965</v>
      </c>
    </row>
    <row r="104" spans="1:72" x14ac:dyDescent="0.25">
      <c r="A104" s="168" t="s">
        <v>158</v>
      </c>
      <c r="B104" s="135">
        <v>685144878</v>
      </c>
      <c r="C104" s="135">
        <v>192241415</v>
      </c>
      <c r="D104" s="135">
        <v>423011877</v>
      </c>
      <c r="E104" s="135">
        <v>0</v>
      </c>
      <c r="F104" s="135">
        <v>71783944</v>
      </c>
      <c r="G104" s="135">
        <v>11636364</v>
      </c>
      <c r="H104" s="135">
        <v>19843495</v>
      </c>
      <c r="I104" s="135">
        <v>1441680</v>
      </c>
      <c r="J104" s="135">
        <v>0</v>
      </c>
      <c r="K104" s="135">
        <v>0</v>
      </c>
      <c r="L104" s="135">
        <v>151239179</v>
      </c>
      <c r="M104" s="135">
        <v>94028382</v>
      </c>
      <c r="N104" s="135">
        <v>2135</v>
      </c>
      <c r="O104" s="135">
        <v>348</v>
      </c>
      <c r="P104" s="135">
        <v>10124041</v>
      </c>
      <c r="Q104" s="135">
        <v>813120</v>
      </c>
      <c r="R104" s="135">
        <v>14242552</v>
      </c>
      <c r="S104" s="135">
        <v>5095655</v>
      </c>
      <c r="T104" s="135">
        <v>1285969</v>
      </c>
      <c r="U104" s="135">
        <v>1222990</v>
      </c>
      <c r="V104" s="135">
        <v>10124041</v>
      </c>
      <c r="W104" s="135">
        <v>1503343</v>
      </c>
      <c r="X104" s="135">
        <v>14242552</v>
      </c>
      <c r="Y104" s="135">
        <v>5095655</v>
      </c>
      <c r="Z104" s="135">
        <v>2333326</v>
      </c>
      <c r="AA104" s="135">
        <v>1222990</v>
      </c>
      <c r="AB104" s="135">
        <v>-9382121</v>
      </c>
      <c r="AC104" s="135">
        <v>-216459</v>
      </c>
      <c r="AD104" s="135">
        <v>53169</v>
      </c>
      <c r="AE104" s="135">
        <v>0</v>
      </c>
      <c r="AF104" s="135">
        <v>0</v>
      </c>
      <c r="AG104" s="135">
        <v>95023.956999999995</v>
      </c>
      <c r="AH104" s="135">
        <v>0</v>
      </c>
      <c r="AI104" s="135">
        <v>75000</v>
      </c>
      <c r="AJ104" s="169"/>
      <c r="AK104" s="160">
        <v>201971878</v>
      </c>
      <c r="AL104" s="161">
        <v>9133193</v>
      </c>
      <c r="AM104" s="135">
        <v>826345</v>
      </c>
      <c r="AN104" s="135">
        <v>55610451</v>
      </c>
      <c r="AO104" s="135">
        <v>2670137</v>
      </c>
      <c r="AP104" s="135">
        <v>115738886</v>
      </c>
      <c r="AQ104" s="135">
        <v>57607395</v>
      </c>
      <c r="AR104" s="135">
        <v>73604480</v>
      </c>
      <c r="AS104" s="135">
        <v>42838114</v>
      </c>
      <c r="AT104" s="135">
        <v>28497783</v>
      </c>
      <c r="AU104" s="135"/>
      <c r="AV104" s="135"/>
      <c r="AW104" s="135"/>
      <c r="AX104" s="135">
        <v>313344</v>
      </c>
      <c r="AY104" s="135">
        <v>211500</v>
      </c>
      <c r="AZ104" s="160">
        <v>12500819.560000001</v>
      </c>
      <c r="BA104" s="160">
        <v>6750443</v>
      </c>
      <c r="BB104" s="162">
        <v>0</v>
      </c>
      <c r="BC104" s="162">
        <v>0</v>
      </c>
      <c r="BD104" s="162">
        <v>0</v>
      </c>
      <c r="BE104" s="117">
        <v>26544984</v>
      </c>
      <c r="BF104" s="117">
        <v>26544984</v>
      </c>
      <c r="BG104" s="117">
        <v>167362011</v>
      </c>
      <c r="BH104" s="117">
        <v>167308414</v>
      </c>
      <c r="BI104" s="117">
        <v>0</v>
      </c>
      <c r="BJ104" s="117">
        <v>0</v>
      </c>
      <c r="BK104" s="138"/>
      <c r="BL104" s="163">
        <v>1828070065</v>
      </c>
      <c r="BM104" s="163">
        <v>1416361153</v>
      </c>
      <c r="BN104" s="164">
        <v>797702</v>
      </c>
      <c r="BP104" s="166">
        <f t="shared" si="2"/>
        <v>1300398170</v>
      </c>
      <c r="BQ104" s="167">
        <f>AK104</f>
        <v>201971878</v>
      </c>
      <c r="BR104" s="167">
        <f>AL104</f>
        <v>9133193</v>
      </c>
      <c r="BS104" s="166">
        <f>AN104+AO104+AQ104+AS104</f>
        <v>158726097</v>
      </c>
      <c r="BT104" s="166">
        <f t="shared" si="3"/>
        <v>1670229338</v>
      </c>
    </row>
    <row r="105" spans="1:72" x14ac:dyDescent="0.25">
      <c r="A105" s="168" t="s">
        <v>159</v>
      </c>
      <c r="B105" s="135">
        <v>708754956</v>
      </c>
      <c r="C105" s="135">
        <v>150341092</v>
      </c>
      <c r="D105" s="135">
        <v>247379279</v>
      </c>
      <c r="E105" s="135">
        <v>0</v>
      </c>
      <c r="F105" s="135">
        <v>76327846</v>
      </c>
      <c r="G105" s="135">
        <v>11543700</v>
      </c>
      <c r="H105" s="135">
        <v>20346000</v>
      </c>
      <c r="I105" s="135">
        <v>1625200</v>
      </c>
      <c r="J105" s="135">
        <v>278100</v>
      </c>
      <c r="K105" s="135">
        <v>0</v>
      </c>
      <c r="L105" s="135">
        <v>330828810</v>
      </c>
      <c r="M105" s="135">
        <v>123931030</v>
      </c>
      <c r="N105" s="135">
        <v>2249</v>
      </c>
      <c r="O105" s="135">
        <v>347</v>
      </c>
      <c r="P105" s="135">
        <v>11485790</v>
      </c>
      <c r="Q105" s="135">
        <v>4136500</v>
      </c>
      <c r="R105" s="135">
        <v>8081600</v>
      </c>
      <c r="S105" s="135">
        <v>5641040</v>
      </c>
      <c r="T105" s="135">
        <v>180750</v>
      </c>
      <c r="U105" s="135">
        <v>196000</v>
      </c>
      <c r="V105" s="135">
        <v>11485790</v>
      </c>
      <c r="W105" s="135">
        <v>5032000</v>
      </c>
      <c r="X105" s="135">
        <v>8081600</v>
      </c>
      <c r="Y105" s="135">
        <v>5641040</v>
      </c>
      <c r="Z105" s="135">
        <v>1220000</v>
      </c>
      <c r="AA105" s="135">
        <v>196000</v>
      </c>
      <c r="AB105" s="135">
        <v>-2840400</v>
      </c>
      <c r="AC105" s="135">
        <v>-259543</v>
      </c>
      <c r="AD105" s="135"/>
      <c r="AE105" s="135"/>
      <c r="AF105" s="135"/>
      <c r="AG105" s="135"/>
      <c r="AH105" s="135">
        <v>130431</v>
      </c>
      <c r="AI105" s="135">
        <v>0</v>
      </c>
      <c r="AJ105" s="169"/>
      <c r="AK105" s="160">
        <v>149647134</v>
      </c>
      <c r="AL105" s="161">
        <v>35339439</v>
      </c>
      <c r="AM105" s="135">
        <v>23210656</v>
      </c>
      <c r="AN105" s="135">
        <v>26102504</v>
      </c>
      <c r="AO105" s="135">
        <v>4611888</v>
      </c>
      <c r="AP105" s="135">
        <v>98066498</v>
      </c>
      <c r="AQ105" s="135">
        <v>36989204</v>
      </c>
      <c r="AR105" s="135">
        <v>85473936</v>
      </c>
      <c r="AS105" s="135">
        <v>72488214</v>
      </c>
      <c r="AT105" s="135">
        <v>1555936</v>
      </c>
      <c r="AU105" s="135"/>
      <c r="AV105" s="135"/>
      <c r="AW105" s="135"/>
      <c r="AX105" s="135">
        <v>452631</v>
      </c>
      <c r="AY105" s="135">
        <v>379500</v>
      </c>
      <c r="AZ105" s="160">
        <v>9262239.0700000003</v>
      </c>
      <c r="BA105" s="160">
        <v>5001609</v>
      </c>
      <c r="BB105" s="162">
        <v>0</v>
      </c>
      <c r="BC105" s="162">
        <v>0</v>
      </c>
      <c r="BD105" s="162">
        <v>0</v>
      </c>
      <c r="BE105" s="117">
        <v>2286367</v>
      </c>
      <c r="BF105" s="117">
        <v>2286367</v>
      </c>
      <c r="BG105" s="117">
        <v>83187125</v>
      </c>
      <c r="BH105" s="117">
        <v>83155610</v>
      </c>
      <c r="BI105" s="117">
        <v>0</v>
      </c>
      <c r="BJ105" s="117">
        <v>0</v>
      </c>
      <c r="BK105" s="138"/>
      <c r="BL105" s="163">
        <v>1449739513</v>
      </c>
      <c r="BM105" s="163">
        <v>1174309354</v>
      </c>
      <c r="BN105" s="164">
        <v>5029100</v>
      </c>
      <c r="BP105" s="166">
        <f t="shared" si="2"/>
        <v>1106475327</v>
      </c>
      <c r="BQ105" s="167">
        <f>AK105</f>
        <v>149647134</v>
      </c>
      <c r="BR105" s="167">
        <f>AL105</f>
        <v>35339439</v>
      </c>
      <c r="BS105" s="166">
        <f>AN105+AO105+AQ105+AS105</f>
        <v>140191810</v>
      </c>
      <c r="BT105" s="166">
        <f t="shared" si="3"/>
        <v>1431653710</v>
      </c>
    </row>
    <row r="106" spans="1:72" x14ac:dyDescent="0.25">
      <c r="A106" s="168" t="s">
        <v>160</v>
      </c>
      <c r="B106" s="135">
        <v>4167468352</v>
      </c>
      <c r="C106" s="135">
        <v>482971142</v>
      </c>
      <c r="D106" s="135">
        <v>1629063797</v>
      </c>
      <c r="E106" s="135">
        <v>0</v>
      </c>
      <c r="F106" s="135">
        <v>164232220</v>
      </c>
      <c r="G106" s="135">
        <v>8081550</v>
      </c>
      <c r="H106" s="135">
        <v>23434336</v>
      </c>
      <c r="I106" s="135">
        <v>1158750</v>
      </c>
      <c r="J106" s="135">
        <v>0</v>
      </c>
      <c r="K106" s="135">
        <v>0</v>
      </c>
      <c r="L106" s="135">
        <v>835418515</v>
      </c>
      <c r="M106" s="135">
        <v>350423991</v>
      </c>
      <c r="N106" s="135">
        <v>4078</v>
      </c>
      <c r="O106" s="135">
        <v>203</v>
      </c>
      <c r="P106" s="135">
        <v>117553315</v>
      </c>
      <c r="Q106" s="135">
        <v>630867</v>
      </c>
      <c r="R106" s="135">
        <v>78393707</v>
      </c>
      <c r="S106" s="135">
        <v>2544286</v>
      </c>
      <c r="T106" s="135">
        <v>660094</v>
      </c>
      <c r="U106" s="135">
        <v>1498614</v>
      </c>
      <c r="V106" s="135">
        <v>117553315</v>
      </c>
      <c r="W106" s="135">
        <v>13786229</v>
      </c>
      <c r="X106" s="135">
        <v>78393707</v>
      </c>
      <c r="Y106" s="135">
        <v>2544286</v>
      </c>
      <c r="Z106" s="135">
        <v>6630355</v>
      </c>
      <c r="AA106" s="135">
        <v>1498614</v>
      </c>
      <c r="AB106" s="135">
        <v>16455584</v>
      </c>
      <c r="AC106" s="135">
        <v>-9163</v>
      </c>
      <c r="AD106" s="135"/>
      <c r="AE106" s="135"/>
      <c r="AF106" s="135"/>
      <c r="AG106" s="135">
        <v>145252.9694</v>
      </c>
      <c r="AH106" s="135">
        <v>0</v>
      </c>
      <c r="AI106" s="135">
        <v>460037</v>
      </c>
      <c r="AJ106" s="169"/>
      <c r="AK106" s="160">
        <v>693746864</v>
      </c>
      <c r="AL106" s="161">
        <v>14120031</v>
      </c>
      <c r="AM106" s="135"/>
      <c r="AN106" s="135">
        <v>120808172</v>
      </c>
      <c r="AO106" s="135">
        <v>22317711</v>
      </c>
      <c r="AP106" s="135">
        <v>507144518</v>
      </c>
      <c r="AQ106" s="135">
        <v>175404600</v>
      </c>
      <c r="AR106" s="135">
        <v>188175371</v>
      </c>
      <c r="AS106" s="135">
        <v>21133763</v>
      </c>
      <c r="AT106" s="135">
        <f>34274090+1874492713</f>
        <v>1908766803</v>
      </c>
      <c r="AU106" s="135"/>
      <c r="AV106" s="135">
        <v>452436</v>
      </c>
      <c r="AW106" s="135"/>
      <c r="AX106" s="135">
        <v>3288348</v>
      </c>
      <c r="AY106" s="135">
        <v>16948882</v>
      </c>
      <c r="AZ106" s="160">
        <v>42938672.719999999</v>
      </c>
      <c r="BA106" s="160">
        <v>23186883</v>
      </c>
      <c r="BB106" s="162">
        <v>0</v>
      </c>
      <c r="BC106" s="162">
        <v>6429783</v>
      </c>
      <c r="BD106" s="162">
        <v>9596691</v>
      </c>
      <c r="BE106" s="117">
        <v>112594765</v>
      </c>
      <c r="BF106" s="117">
        <v>112529933</v>
      </c>
      <c r="BG106" s="117">
        <v>127691346</v>
      </c>
      <c r="BH106" s="117">
        <v>122633400</v>
      </c>
      <c r="BI106" s="117">
        <v>0</v>
      </c>
      <c r="BJ106" s="117">
        <v>0</v>
      </c>
      <c r="BK106" s="138"/>
      <c r="BL106" s="163">
        <v>7571140705</v>
      </c>
      <c r="BM106" s="163">
        <v>6598493811</v>
      </c>
      <c r="BN106" s="164">
        <v>7354350</v>
      </c>
      <c r="BP106" s="166">
        <f t="shared" si="2"/>
        <v>6279503291</v>
      </c>
      <c r="BQ106" s="167">
        <f>AK106</f>
        <v>693746864</v>
      </c>
      <c r="BR106" s="167">
        <f>AL106</f>
        <v>14120031</v>
      </c>
      <c r="BS106" s="166">
        <f>AN106+AO106+AQ106+AS106</f>
        <v>339664246</v>
      </c>
      <c r="BT106" s="166">
        <f t="shared" si="3"/>
        <v>7327034432</v>
      </c>
    </row>
    <row r="107" spans="1:72" x14ac:dyDescent="0.25">
      <c r="A107" s="168" t="s">
        <v>161</v>
      </c>
      <c r="B107" s="135">
        <v>3062557389</v>
      </c>
      <c r="C107" s="135">
        <v>829840513</v>
      </c>
      <c r="D107" s="135">
        <v>717743032</v>
      </c>
      <c r="E107" s="135">
        <v>91378538</v>
      </c>
      <c r="F107" s="135">
        <v>142333897</v>
      </c>
      <c r="G107" s="135">
        <v>17209050</v>
      </c>
      <c r="H107" s="135">
        <v>32563550</v>
      </c>
      <c r="I107" s="135">
        <v>2595600</v>
      </c>
      <c r="J107" s="135">
        <v>46350</v>
      </c>
      <c r="K107" s="135">
        <v>0</v>
      </c>
      <c r="L107" s="135">
        <v>957297085</v>
      </c>
      <c r="M107" s="135">
        <v>564845205</v>
      </c>
      <c r="N107" s="135">
        <v>3791</v>
      </c>
      <c r="O107" s="135">
        <v>431</v>
      </c>
      <c r="P107" s="135">
        <v>153892327</v>
      </c>
      <c r="Q107" s="135">
        <v>20864879</v>
      </c>
      <c r="R107" s="135">
        <v>15979801</v>
      </c>
      <c r="S107" s="135">
        <v>3340325</v>
      </c>
      <c r="T107" s="135">
        <v>12893674</v>
      </c>
      <c r="U107" s="135">
        <v>54648555</v>
      </c>
      <c r="V107" s="135">
        <v>153892327</v>
      </c>
      <c r="W107" s="135">
        <v>25238919</v>
      </c>
      <c r="X107" s="135">
        <v>15979801</v>
      </c>
      <c r="Y107" s="135">
        <v>3340325</v>
      </c>
      <c r="Z107" s="135">
        <v>23723093</v>
      </c>
      <c r="AA107" s="135">
        <v>54648555</v>
      </c>
      <c r="AB107" s="135">
        <v>-30645709</v>
      </c>
      <c r="AC107" s="135">
        <v>-287796</v>
      </c>
      <c r="AD107" s="135"/>
      <c r="AE107" s="135"/>
      <c r="AF107" s="135">
        <v>180368187</v>
      </c>
      <c r="AG107" s="135">
        <v>231892</v>
      </c>
      <c r="AH107" s="135">
        <v>0</v>
      </c>
      <c r="AI107" s="135">
        <v>0</v>
      </c>
      <c r="AJ107" s="169"/>
      <c r="AK107" s="160">
        <v>575507887</v>
      </c>
      <c r="AL107" s="161">
        <v>13842738</v>
      </c>
      <c r="AM107" s="135">
        <v>120000</v>
      </c>
      <c r="AN107" s="135">
        <v>156681858</v>
      </c>
      <c r="AO107" s="135">
        <v>23510371</v>
      </c>
      <c r="AP107" s="135">
        <v>385936205</v>
      </c>
      <c r="AQ107" s="135">
        <v>160694225</v>
      </c>
      <c r="AR107" s="135">
        <v>183245485</v>
      </c>
      <c r="AS107" s="135">
        <v>51964492</v>
      </c>
      <c r="AT107" s="135">
        <v>14358942</v>
      </c>
      <c r="AU107" s="135"/>
      <c r="AV107" s="135"/>
      <c r="AW107" s="135">
        <v>22293806</v>
      </c>
      <c r="AX107" s="135">
        <v>521093</v>
      </c>
      <c r="AY107" s="135">
        <v>378000</v>
      </c>
      <c r="AZ107" s="160">
        <v>35620405.789999999</v>
      </c>
      <c r="BA107" s="160">
        <v>19235019</v>
      </c>
      <c r="BB107" s="162">
        <v>0</v>
      </c>
      <c r="BC107" s="162">
        <v>7601685</v>
      </c>
      <c r="BD107" s="162">
        <v>11345799</v>
      </c>
      <c r="BE107" s="117">
        <v>108272286</v>
      </c>
      <c r="BF107" s="117">
        <v>107517688</v>
      </c>
      <c r="BG107" s="117">
        <v>129218090</v>
      </c>
      <c r="BH107" s="117">
        <v>124479392</v>
      </c>
      <c r="BI107" s="117">
        <v>129236637</v>
      </c>
      <c r="BJ107" s="117">
        <v>0</v>
      </c>
      <c r="BK107" s="138"/>
      <c r="BL107" s="163">
        <v>5928448434</v>
      </c>
      <c r="BM107" s="163">
        <v>4951027388</v>
      </c>
      <c r="BN107" s="164">
        <v>2340564</v>
      </c>
      <c r="BP107" s="166">
        <f t="shared" si="2"/>
        <v>4610140934</v>
      </c>
      <c r="BQ107" s="167">
        <f>AK107</f>
        <v>575507887</v>
      </c>
      <c r="BR107" s="167">
        <f>AL107</f>
        <v>13842738</v>
      </c>
      <c r="BS107" s="166">
        <f>AN107+AO107+AQ107+AS107</f>
        <v>392850946</v>
      </c>
      <c r="BT107" s="166">
        <f t="shared" si="3"/>
        <v>5592342505</v>
      </c>
    </row>
    <row r="108" spans="1:72" x14ac:dyDescent="0.25">
      <c r="A108" s="168" t="s">
        <v>162</v>
      </c>
      <c r="B108" s="135">
        <v>930107984</v>
      </c>
      <c r="C108" s="135">
        <v>225373970</v>
      </c>
      <c r="D108" s="135">
        <v>475428394</v>
      </c>
      <c r="E108" s="135">
        <v>23798505</v>
      </c>
      <c r="F108" s="135">
        <v>69803900</v>
      </c>
      <c r="G108" s="135">
        <v>5038950</v>
      </c>
      <c r="H108" s="135">
        <v>10199450</v>
      </c>
      <c r="I108" s="135">
        <v>363950</v>
      </c>
      <c r="J108" s="135">
        <v>185400</v>
      </c>
      <c r="K108" s="135">
        <v>0</v>
      </c>
      <c r="L108" s="135">
        <v>686783553</v>
      </c>
      <c r="M108" s="135">
        <v>106243105</v>
      </c>
      <c r="N108" s="135">
        <v>1758</v>
      </c>
      <c r="O108" s="135">
        <v>119</v>
      </c>
      <c r="P108" s="135">
        <v>40060044</v>
      </c>
      <c r="Q108" s="135">
        <v>2956500</v>
      </c>
      <c r="R108" s="135">
        <v>32353874</v>
      </c>
      <c r="S108" s="135">
        <v>1642900</v>
      </c>
      <c r="T108" s="135">
        <v>2270500</v>
      </c>
      <c r="U108" s="135">
        <v>768250</v>
      </c>
      <c r="V108" s="135">
        <v>40060044</v>
      </c>
      <c r="W108" s="135">
        <v>7991673</v>
      </c>
      <c r="X108" s="135">
        <v>32353874</v>
      </c>
      <c r="Y108" s="135">
        <v>1642900</v>
      </c>
      <c r="Z108" s="135">
        <v>4005450</v>
      </c>
      <c r="AA108" s="135">
        <v>768250</v>
      </c>
      <c r="AB108" s="135">
        <v>-4973100</v>
      </c>
      <c r="AC108" s="135">
        <v>-126396</v>
      </c>
      <c r="AD108" s="135"/>
      <c r="AE108" s="135"/>
      <c r="AF108" s="135"/>
      <c r="AG108" s="135"/>
      <c r="AH108" s="135">
        <v>55000</v>
      </c>
      <c r="AI108" s="135">
        <v>400500</v>
      </c>
      <c r="AJ108" s="169"/>
      <c r="AK108" s="160">
        <v>194108594</v>
      </c>
      <c r="AL108" s="161">
        <v>4656243</v>
      </c>
      <c r="AM108" s="135"/>
      <c r="AN108" s="135">
        <v>96895302</v>
      </c>
      <c r="AO108" s="135">
        <v>11201792</v>
      </c>
      <c r="AP108" s="135">
        <v>358979362</v>
      </c>
      <c r="AQ108" s="135">
        <v>84862217</v>
      </c>
      <c r="AR108" s="135">
        <v>126103697</v>
      </c>
      <c r="AS108" s="135">
        <v>73942607</v>
      </c>
      <c r="AT108" s="135">
        <v>33619748</v>
      </c>
      <c r="AU108" s="135"/>
      <c r="AV108" s="135">
        <v>626169</v>
      </c>
      <c r="AW108" s="135">
        <v>15315506</v>
      </c>
      <c r="AX108" s="135">
        <v>32373</v>
      </c>
      <c r="AY108" s="135">
        <v>43000</v>
      </c>
      <c r="AZ108" s="160">
        <v>12014130.550000001</v>
      </c>
      <c r="BA108" s="160">
        <v>6487630</v>
      </c>
      <c r="BB108" s="162">
        <v>0</v>
      </c>
      <c r="BC108" s="162">
        <v>1291444</v>
      </c>
      <c r="BD108" s="162">
        <v>1927528</v>
      </c>
      <c r="BE108" s="117">
        <v>29868380</v>
      </c>
      <c r="BF108" s="117">
        <v>29868380</v>
      </c>
      <c r="BG108" s="117">
        <v>32695513</v>
      </c>
      <c r="BH108" s="117">
        <v>30029166</v>
      </c>
      <c r="BI108" s="117">
        <v>14005</v>
      </c>
      <c r="BJ108" s="117">
        <v>10799701</v>
      </c>
      <c r="BK108" s="138"/>
      <c r="BL108" s="163">
        <v>2101580322</v>
      </c>
      <c r="BM108" s="163">
        <v>1824325159</v>
      </c>
      <c r="BN108" s="164"/>
      <c r="BP108" s="166">
        <f t="shared" si="2"/>
        <v>1630910348</v>
      </c>
      <c r="BQ108" s="167">
        <f>AK108</f>
        <v>194108594</v>
      </c>
      <c r="BR108" s="167">
        <f>AL108</f>
        <v>4656243</v>
      </c>
      <c r="BS108" s="166">
        <f>AN108+AO108+AQ108+AS108</f>
        <v>266901918</v>
      </c>
      <c r="BT108" s="166">
        <f t="shared" si="3"/>
        <v>2096577103</v>
      </c>
    </row>
    <row r="109" spans="1:72" x14ac:dyDescent="0.25">
      <c r="A109" s="168" t="s">
        <v>163</v>
      </c>
      <c r="B109" s="135">
        <v>1439135669</v>
      </c>
      <c r="C109" s="135">
        <v>284522366</v>
      </c>
      <c r="D109" s="135">
        <v>81812256</v>
      </c>
      <c r="E109" s="135">
        <v>0</v>
      </c>
      <c r="F109" s="135">
        <v>68135106</v>
      </c>
      <c r="G109" s="135">
        <v>8012000</v>
      </c>
      <c r="H109" s="135">
        <v>16674000</v>
      </c>
      <c r="I109" s="135">
        <v>1752500</v>
      </c>
      <c r="J109" s="135">
        <v>164050</v>
      </c>
      <c r="K109" s="135">
        <v>0</v>
      </c>
      <c r="L109" s="135">
        <v>486733686</v>
      </c>
      <c r="M109" s="135">
        <v>231192516</v>
      </c>
      <c r="N109" s="135">
        <v>1854</v>
      </c>
      <c r="O109" s="135">
        <v>214</v>
      </c>
      <c r="P109" s="135">
        <v>59523602</v>
      </c>
      <c r="Q109" s="135">
        <v>23271777</v>
      </c>
      <c r="R109" s="135">
        <v>2445815</v>
      </c>
      <c r="S109" s="135">
        <v>5319164</v>
      </c>
      <c r="T109" s="135">
        <v>1379860</v>
      </c>
      <c r="U109" s="135">
        <v>542844</v>
      </c>
      <c r="V109" s="135">
        <v>59523602</v>
      </c>
      <c r="W109" s="135">
        <v>24686501</v>
      </c>
      <c r="X109" s="135">
        <v>2445815</v>
      </c>
      <c r="Y109" s="135">
        <v>5298564</v>
      </c>
      <c r="Z109" s="135">
        <v>4689865</v>
      </c>
      <c r="AA109" s="135">
        <v>542844</v>
      </c>
      <c r="AB109" s="135">
        <v>-3215700</v>
      </c>
      <c r="AC109" s="135">
        <v>42233</v>
      </c>
      <c r="AD109" s="135">
        <v>22953</v>
      </c>
      <c r="AE109" s="135"/>
      <c r="AF109" s="135">
        <v>450791558</v>
      </c>
      <c r="AG109" s="135">
        <v>134828</v>
      </c>
      <c r="AH109" s="135">
        <v>0</v>
      </c>
      <c r="AI109" s="135">
        <v>0</v>
      </c>
      <c r="AJ109" s="169"/>
      <c r="AK109" s="160">
        <v>241527779</v>
      </c>
      <c r="AL109" s="161">
        <v>13013738</v>
      </c>
      <c r="AM109" s="135">
        <v>156150</v>
      </c>
      <c r="AN109" s="135">
        <v>8540507</v>
      </c>
      <c r="AO109" s="135">
        <v>99657</v>
      </c>
      <c r="AP109" s="135">
        <v>420157</v>
      </c>
      <c r="AQ109" s="135">
        <v>6904383</v>
      </c>
      <c r="AR109" s="135">
        <v>372017</v>
      </c>
      <c r="AS109" s="135"/>
      <c r="AT109" s="135">
        <v>657042</v>
      </c>
      <c r="AU109" s="135"/>
      <c r="AV109" s="135"/>
      <c r="AW109" s="135"/>
      <c r="AX109" s="135">
        <v>20336</v>
      </c>
      <c r="AY109" s="135">
        <v>132520</v>
      </c>
      <c r="AZ109" s="160">
        <v>14949087.039999999</v>
      </c>
      <c r="BA109" s="160">
        <v>8072507</v>
      </c>
      <c r="BB109" s="162">
        <v>0</v>
      </c>
      <c r="BC109" s="162">
        <v>0</v>
      </c>
      <c r="BD109" s="162">
        <v>0</v>
      </c>
      <c r="BE109" s="117">
        <v>3513225</v>
      </c>
      <c r="BF109" s="117">
        <v>3513225</v>
      </c>
      <c r="BG109" s="117">
        <v>25032209</v>
      </c>
      <c r="BH109" s="117">
        <v>25023405</v>
      </c>
      <c r="BI109" s="117">
        <v>0</v>
      </c>
      <c r="BJ109" s="117">
        <v>0</v>
      </c>
      <c r="BK109" s="138"/>
      <c r="BL109" s="163">
        <v>2112165492</v>
      </c>
      <c r="BM109" s="163">
        <v>1821014838</v>
      </c>
      <c r="BN109" s="164">
        <v>1175533</v>
      </c>
      <c r="BP109" s="166">
        <f t="shared" si="2"/>
        <v>1805470291</v>
      </c>
      <c r="BQ109" s="167">
        <f>AK109</f>
        <v>241527779</v>
      </c>
      <c r="BR109" s="167">
        <f>AL109</f>
        <v>13013738</v>
      </c>
      <c r="BS109" s="166">
        <f>AN109+AO109+AQ109+AS109</f>
        <v>15544547</v>
      </c>
      <c r="BT109" s="166">
        <f t="shared" si="3"/>
        <v>2075556355</v>
      </c>
    </row>
    <row r="110" spans="1:72" x14ac:dyDescent="0.25">
      <c r="A110" s="168" t="s">
        <v>164</v>
      </c>
      <c r="B110" s="135">
        <v>856000795</v>
      </c>
      <c r="C110" s="135">
        <v>167816841</v>
      </c>
      <c r="D110" s="135">
        <v>344437972</v>
      </c>
      <c r="E110" s="135">
        <v>0</v>
      </c>
      <c r="F110" s="135">
        <v>102793205</v>
      </c>
      <c r="G110" s="135">
        <v>12923570</v>
      </c>
      <c r="H110" s="135">
        <v>19748098</v>
      </c>
      <c r="I110" s="135">
        <v>1695450</v>
      </c>
      <c r="J110" s="135">
        <v>164050</v>
      </c>
      <c r="K110" s="135">
        <v>0</v>
      </c>
      <c r="L110" s="135">
        <v>320723051</v>
      </c>
      <c r="M110" s="135">
        <v>128376832</v>
      </c>
      <c r="N110" s="135">
        <v>2738</v>
      </c>
      <c r="O110" s="135">
        <v>351</v>
      </c>
      <c r="P110" s="135">
        <v>11049100</v>
      </c>
      <c r="Q110" s="135">
        <v>7154230</v>
      </c>
      <c r="R110" s="135">
        <v>3323265</v>
      </c>
      <c r="S110" s="135">
        <v>2789974</v>
      </c>
      <c r="T110" s="135">
        <v>262053</v>
      </c>
      <c r="U110" s="135">
        <v>467540</v>
      </c>
      <c r="V110" s="135">
        <v>11049100</v>
      </c>
      <c r="W110" s="135">
        <v>7668600</v>
      </c>
      <c r="X110" s="135">
        <v>3323265</v>
      </c>
      <c r="Y110" s="135">
        <v>2789974</v>
      </c>
      <c r="Z110" s="135">
        <v>490140</v>
      </c>
      <c r="AA110" s="135">
        <v>467540</v>
      </c>
      <c r="AB110" s="135">
        <v>-2320984</v>
      </c>
      <c r="AC110" s="135">
        <v>250</v>
      </c>
      <c r="AD110" s="135">
        <v>54605</v>
      </c>
      <c r="AE110" s="135"/>
      <c r="AF110" s="135"/>
      <c r="AG110" s="135">
        <v>181918</v>
      </c>
      <c r="AH110" s="135">
        <v>0</v>
      </c>
      <c r="AI110" s="135">
        <v>0</v>
      </c>
      <c r="AJ110" s="169"/>
      <c r="AK110" s="160">
        <v>229256161</v>
      </c>
      <c r="AL110" s="161">
        <v>11683467</v>
      </c>
      <c r="AM110" s="135">
        <v>3226775</v>
      </c>
      <c r="AN110" s="135">
        <v>57459229</v>
      </c>
      <c r="AO110" s="135">
        <v>2239015</v>
      </c>
      <c r="AP110" s="135">
        <v>42385006</v>
      </c>
      <c r="AQ110" s="135">
        <v>61620996</v>
      </c>
      <c r="AR110" s="135">
        <v>82013794</v>
      </c>
      <c r="AS110" s="135">
        <v>46500432</v>
      </c>
      <c r="AT110" s="135">
        <v>949554</v>
      </c>
      <c r="AU110" s="135"/>
      <c r="AV110" s="135">
        <v>22670</v>
      </c>
      <c r="AW110" s="135"/>
      <c r="AX110" s="135">
        <v>28497</v>
      </c>
      <c r="AY110" s="135">
        <v>373384</v>
      </c>
      <c r="AZ110" s="160">
        <v>14189549.210000001</v>
      </c>
      <c r="BA110" s="160">
        <v>7662357</v>
      </c>
      <c r="BB110" s="162">
        <v>0</v>
      </c>
      <c r="BC110" s="162">
        <v>0</v>
      </c>
      <c r="BD110" s="162">
        <v>0</v>
      </c>
      <c r="BE110" s="117">
        <v>32770606</v>
      </c>
      <c r="BF110" s="117">
        <v>32770606</v>
      </c>
      <c r="BG110" s="117">
        <v>116450933</v>
      </c>
      <c r="BH110" s="117">
        <v>115399387</v>
      </c>
      <c r="BI110" s="117">
        <v>0</v>
      </c>
      <c r="BJ110" s="117">
        <v>0</v>
      </c>
      <c r="BK110" s="138"/>
      <c r="BL110" s="163">
        <v>1886346826</v>
      </c>
      <c r="BM110" s="163">
        <v>1489574848</v>
      </c>
      <c r="BN110" s="164">
        <v>1521000</v>
      </c>
      <c r="BP110" s="166">
        <f t="shared" si="2"/>
        <v>1368255608</v>
      </c>
      <c r="BQ110" s="167">
        <f>AK110</f>
        <v>229256161</v>
      </c>
      <c r="BR110" s="167">
        <f>AL110</f>
        <v>11683467</v>
      </c>
      <c r="BS110" s="166">
        <f>AN110+AO110+AQ110+AS110</f>
        <v>167819672</v>
      </c>
      <c r="BT110" s="166">
        <f t="shared" si="3"/>
        <v>1777014908</v>
      </c>
    </row>
    <row r="111" spans="1:72" x14ac:dyDescent="0.25">
      <c r="A111" s="168" t="s">
        <v>165</v>
      </c>
      <c r="B111" s="135">
        <v>301464223</v>
      </c>
      <c r="C111" s="135">
        <v>189738489</v>
      </c>
      <c r="D111" s="135">
        <v>192973780</v>
      </c>
      <c r="E111" s="135">
        <v>0</v>
      </c>
      <c r="F111" s="135">
        <v>38390817</v>
      </c>
      <c r="G111" s="135">
        <v>5370247</v>
      </c>
      <c r="H111" s="135">
        <v>10010599</v>
      </c>
      <c r="I111" s="135">
        <v>705392</v>
      </c>
      <c r="J111" s="135">
        <v>46350</v>
      </c>
      <c r="K111" s="135">
        <v>0</v>
      </c>
      <c r="L111" s="135">
        <v>707624928</v>
      </c>
      <c r="M111" s="135">
        <v>81541201</v>
      </c>
      <c r="N111" s="135">
        <v>1152</v>
      </c>
      <c r="O111" s="135">
        <v>157</v>
      </c>
      <c r="P111" s="135">
        <v>14492055</v>
      </c>
      <c r="Q111" s="135">
        <v>8725215</v>
      </c>
      <c r="R111" s="135">
        <v>3429800</v>
      </c>
      <c r="S111" s="135">
        <v>514490</v>
      </c>
      <c r="T111" s="135">
        <v>315200</v>
      </c>
      <c r="U111" s="135">
        <v>15500</v>
      </c>
      <c r="V111" s="135">
        <v>14492055</v>
      </c>
      <c r="W111" s="135">
        <v>9878966</v>
      </c>
      <c r="X111" s="135">
        <v>3429800</v>
      </c>
      <c r="Y111" s="135">
        <v>514490</v>
      </c>
      <c r="Z111" s="135">
        <v>374000</v>
      </c>
      <c r="AA111" s="135">
        <v>15500</v>
      </c>
      <c r="AB111" s="135">
        <v>-1470625</v>
      </c>
      <c r="AC111" s="135"/>
      <c r="AD111" s="135">
        <v>70230</v>
      </c>
      <c r="AE111" s="135">
        <v>50326</v>
      </c>
      <c r="AF111" s="135">
        <v>125250837</v>
      </c>
      <c r="AG111" s="135">
        <v>225945</v>
      </c>
      <c r="AH111" s="135">
        <v>23435</v>
      </c>
      <c r="AI111" s="135">
        <v>48035</v>
      </c>
      <c r="AJ111" s="169">
        <v>35800</v>
      </c>
      <c r="AK111" s="160">
        <v>111023640</v>
      </c>
      <c r="AL111" s="161">
        <v>2335220</v>
      </c>
      <c r="AM111" s="135"/>
      <c r="AN111" s="135">
        <v>28523294</v>
      </c>
      <c r="AO111" s="135">
        <v>776253</v>
      </c>
      <c r="AP111" s="135">
        <v>192029734</v>
      </c>
      <c r="AQ111" s="135">
        <v>39118063</v>
      </c>
      <c r="AR111" s="135">
        <v>58091051</v>
      </c>
      <c r="AS111" s="135">
        <v>7337064</v>
      </c>
      <c r="AT111" s="135">
        <v>5927113</v>
      </c>
      <c r="AU111" s="135"/>
      <c r="AV111" s="135">
        <v>7895820</v>
      </c>
      <c r="AW111" s="135">
        <v>44890693</v>
      </c>
      <c r="AX111" s="135">
        <v>2185</v>
      </c>
      <c r="AY111" s="135">
        <v>228000</v>
      </c>
      <c r="AZ111" s="160">
        <v>6871681.8600000003</v>
      </c>
      <c r="BA111" s="160">
        <v>3710708</v>
      </c>
      <c r="BB111" s="162">
        <v>0</v>
      </c>
      <c r="BC111" s="162">
        <v>2302650</v>
      </c>
      <c r="BD111" s="162">
        <v>3436791</v>
      </c>
      <c r="BE111" s="117">
        <v>15934366</v>
      </c>
      <c r="BF111" s="117">
        <v>15934366</v>
      </c>
      <c r="BG111" s="117">
        <v>43693783</v>
      </c>
      <c r="BH111" s="117">
        <v>37555857</v>
      </c>
      <c r="BI111" s="117">
        <v>0</v>
      </c>
      <c r="BJ111" s="117">
        <v>0</v>
      </c>
      <c r="BK111" s="138"/>
      <c r="BL111" s="163">
        <v>925563813</v>
      </c>
      <c r="BM111" s="163">
        <v>752701372</v>
      </c>
      <c r="BN111" s="164">
        <v>1347372</v>
      </c>
      <c r="BP111" s="166">
        <f t="shared" si="2"/>
        <v>684176492</v>
      </c>
      <c r="BQ111" s="167">
        <f>AK111</f>
        <v>111023640</v>
      </c>
      <c r="BR111" s="167">
        <f>AL111</f>
        <v>2335220</v>
      </c>
      <c r="BS111" s="166">
        <f>AN111+AO111+AQ111+AS111</f>
        <v>75754674</v>
      </c>
      <c r="BT111" s="166">
        <f t="shared" si="3"/>
        <v>873290026</v>
      </c>
    </row>
    <row r="112" spans="1:72" x14ac:dyDescent="0.25">
      <c r="A112" s="168" t="s">
        <v>166</v>
      </c>
      <c r="B112" s="135">
        <v>820663667</v>
      </c>
      <c r="C112" s="135">
        <v>124510213</v>
      </c>
      <c r="D112" s="135">
        <v>113503163</v>
      </c>
      <c r="E112" s="135">
        <v>0</v>
      </c>
      <c r="F112" s="135">
        <v>69973342</v>
      </c>
      <c r="G112" s="135">
        <v>12535105</v>
      </c>
      <c r="H112" s="135">
        <v>7518931</v>
      </c>
      <c r="I112" s="135">
        <v>958000</v>
      </c>
      <c r="J112" s="135">
        <v>92700</v>
      </c>
      <c r="K112" s="135">
        <v>46350</v>
      </c>
      <c r="L112" s="135">
        <v>646778554</v>
      </c>
      <c r="M112" s="135">
        <v>76926917</v>
      </c>
      <c r="N112" s="135">
        <v>1771</v>
      </c>
      <c r="O112" s="135">
        <v>331</v>
      </c>
      <c r="P112" s="135">
        <v>7011195</v>
      </c>
      <c r="Q112" s="135">
        <v>1266010</v>
      </c>
      <c r="R112" s="135">
        <v>2690000</v>
      </c>
      <c r="S112" s="135">
        <v>330850</v>
      </c>
      <c r="T112" s="135">
        <v>49616</v>
      </c>
      <c r="U112" s="135">
        <v>0</v>
      </c>
      <c r="V112" s="135">
        <v>7011195</v>
      </c>
      <c r="W112" s="135">
        <v>1316080</v>
      </c>
      <c r="X112" s="135">
        <v>2690000</v>
      </c>
      <c r="Y112" s="135">
        <v>330850</v>
      </c>
      <c r="Z112" s="135">
        <v>218000</v>
      </c>
      <c r="AA112" s="135">
        <v>0</v>
      </c>
      <c r="AB112" s="135">
        <v>-4606830</v>
      </c>
      <c r="AC112" s="135">
        <v>-49000</v>
      </c>
      <c r="AD112" s="135"/>
      <c r="AE112" s="135"/>
      <c r="AF112" s="135"/>
      <c r="AG112" s="135"/>
      <c r="AH112" s="135">
        <v>0</v>
      </c>
      <c r="AI112" s="135">
        <v>308000</v>
      </c>
      <c r="AJ112" s="169"/>
      <c r="AK112" s="160">
        <v>154343865</v>
      </c>
      <c r="AL112" s="161">
        <v>20074491</v>
      </c>
      <c r="AM112" s="135">
        <v>1045225</v>
      </c>
      <c r="AN112" s="135">
        <v>14045068</v>
      </c>
      <c r="AO112" s="135">
        <v>824617</v>
      </c>
      <c r="AP112" s="135">
        <v>14818134</v>
      </c>
      <c r="AQ112" s="135">
        <v>15134436</v>
      </c>
      <c r="AR112" s="135">
        <v>16654739</v>
      </c>
      <c r="AS112" s="135">
        <v>2185705</v>
      </c>
      <c r="AT112" s="135">
        <v>800765</v>
      </c>
      <c r="AU112" s="135"/>
      <c r="AV112" s="135">
        <v>62303</v>
      </c>
      <c r="AW112" s="135">
        <v>163223478</v>
      </c>
      <c r="AX112" s="135"/>
      <c r="AY112" s="135"/>
      <c r="AZ112" s="160">
        <v>9552937.8900000006</v>
      </c>
      <c r="BA112" s="160">
        <v>5158586</v>
      </c>
      <c r="BB112" s="162">
        <v>29094712.635544039</v>
      </c>
      <c r="BC112" s="162">
        <v>0</v>
      </c>
      <c r="BD112" s="162">
        <v>0</v>
      </c>
      <c r="BE112" s="117">
        <v>4693646</v>
      </c>
      <c r="BF112" s="117">
        <v>4693646</v>
      </c>
      <c r="BG112" s="117">
        <v>30044004</v>
      </c>
      <c r="BH112" s="117">
        <v>30037715</v>
      </c>
      <c r="BI112" s="117">
        <v>0</v>
      </c>
      <c r="BJ112" s="117">
        <v>0</v>
      </c>
      <c r="BK112" s="138"/>
      <c r="BL112" s="163">
        <v>1303297467</v>
      </c>
      <c r="BM112" s="163">
        <v>1088989164</v>
      </c>
      <c r="BN112" s="164">
        <v>962076</v>
      </c>
      <c r="BP112" s="166">
        <f t="shared" si="2"/>
        <v>1058677043</v>
      </c>
      <c r="BQ112" s="167">
        <f>AK112</f>
        <v>154343865</v>
      </c>
      <c r="BR112" s="167">
        <f>AL112</f>
        <v>20074491</v>
      </c>
      <c r="BS112" s="166">
        <f>AN112+AO112+AQ112+AS112</f>
        <v>32189826</v>
      </c>
      <c r="BT112" s="166">
        <f t="shared" si="3"/>
        <v>1265285225</v>
      </c>
    </row>
    <row r="113" spans="1:72" x14ac:dyDescent="0.25">
      <c r="A113" s="168" t="s">
        <v>167</v>
      </c>
      <c r="B113" s="135">
        <v>255179805</v>
      </c>
      <c r="C113" s="135">
        <v>103145850</v>
      </c>
      <c r="D113" s="135">
        <v>29939000</v>
      </c>
      <c r="E113" s="135">
        <v>0</v>
      </c>
      <c r="F113" s="135">
        <v>32110850</v>
      </c>
      <c r="G113" s="135">
        <v>3813800</v>
      </c>
      <c r="H113" s="135">
        <v>9889950</v>
      </c>
      <c r="I113" s="135">
        <v>519850</v>
      </c>
      <c r="J113" s="135">
        <v>46300</v>
      </c>
      <c r="K113" s="135">
        <v>0</v>
      </c>
      <c r="L113" s="135">
        <v>189845980</v>
      </c>
      <c r="M113" s="135">
        <v>81446950</v>
      </c>
      <c r="N113" s="135">
        <v>946</v>
      </c>
      <c r="O113" s="135">
        <v>100</v>
      </c>
      <c r="P113" s="135">
        <v>5907200</v>
      </c>
      <c r="Q113" s="135">
        <v>3226400</v>
      </c>
      <c r="R113" s="135">
        <v>1038800</v>
      </c>
      <c r="S113" s="135">
        <v>1302050</v>
      </c>
      <c r="T113" s="135">
        <v>681380</v>
      </c>
      <c r="U113" s="135">
        <v>186300</v>
      </c>
      <c r="V113" s="135">
        <v>5907200</v>
      </c>
      <c r="W113" s="135">
        <v>3480500</v>
      </c>
      <c r="X113" s="135">
        <v>1038800</v>
      </c>
      <c r="Y113" s="135">
        <v>1302050</v>
      </c>
      <c r="Z113" s="135">
        <v>1139500</v>
      </c>
      <c r="AA113" s="135">
        <v>186300</v>
      </c>
      <c r="AB113" s="135">
        <v>-1096400</v>
      </c>
      <c r="AC113" s="135">
        <v>1159</v>
      </c>
      <c r="AD113" s="135">
        <v>50974</v>
      </c>
      <c r="AE113" s="135">
        <v>8989</v>
      </c>
      <c r="AF113" s="135">
        <v>55710750</v>
      </c>
      <c r="AG113" s="135">
        <v>81116</v>
      </c>
      <c r="AH113" s="135">
        <v>0</v>
      </c>
      <c r="AI113" s="135">
        <v>0</v>
      </c>
      <c r="AJ113" s="169"/>
      <c r="AK113" s="160">
        <v>88645129</v>
      </c>
      <c r="AL113" s="161">
        <v>2223870</v>
      </c>
      <c r="AM113" s="135"/>
      <c r="AN113" s="135">
        <v>10892558</v>
      </c>
      <c r="AO113" s="135">
        <v>151778</v>
      </c>
      <c r="AP113" s="135">
        <v>4865859</v>
      </c>
      <c r="AQ113" s="135">
        <v>1578106</v>
      </c>
      <c r="AR113" s="135">
        <v>228700</v>
      </c>
      <c r="AS113" s="135"/>
      <c r="AT113" s="135">
        <v>58733</v>
      </c>
      <c r="AU113" s="135"/>
      <c r="AV113" s="135"/>
      <c r="AW113" s="135"/>
      <c r="AX113" s="135"/>
      <c r="AY113" s="135"/>
      <c r="AZ113" s="160">
        <v>5486589.3899999997</v>
      </c>
      <c r="BA113" s="160">
        <v>2962758</v>
      </c>
      <c r="BB113" s="162">
        <v>22504197.61865285</v>
      </c>
      <c r="BC113" s="162">
        <v>0</v>
      </c>
      <c r="BD113" s="162">
        <v>0</v>
      </c>
      <c r="BE113" s="117">
        <v>177431937</v>
      </c>
      <c r="BF113" s="117">
        <v>177431937</v>
      </c>
      <c r="BG113" s="117">
        <v>64256390</v>
      </c>
      <c r="BH113" s="117">
        <v>63453695</v>
      </c>
      <c r="BI113" s="117">
        <v>0</v>
      </c>
      <c r="BJ113" s="117">
        <v>0</v>
      </c>
      <c r="BK113" s="138"/>
      <c r="BL113" s="163">
        <v>735604486</v>
      </c>
      <c r="BM113" s="163">
        <v>400887097</v>
      </c>
      <c r="BN113" s="164">
        <v>337400</v>
      </c>
      <c r="BP113" s="166">
        <f t="shared" si="2"/>
        <v>388264655</v>
      </c>
      <c r="BQ113" s="167">
        <f>AK113</f>
        <v>88645129</v>
      </c>
      <c r="BR113" s="167">
        <f>AL113</f>
        <v>2223870</v>
      </c>
      <c r="BS113" s="166">
        <f>AN113+AO113+AQ113+AS113</f>
        <v>12622442</v>
      </c>
      <c r="BT113" s="166">
        <f t="shared" si="3"/>
        <v>491756096</v>
      </c>
    </row>
    <row r="114" spans="1:72" x14ac:dyDescent="0.25">
      <c r="A114" s="168" t="s">
        <v>168</v>
      </c>
      <c r="B114" s="135">
        <v>326346703</v>
      </c>
      <c r="C114" s="135">
        <v>183468514</v>
      </c>
      <c r="D114" s="135">
        <v>114302404</v>
      </c>
      <c r="E114" s="135">
        <v>1310000</v>
      </c>
      <c r="F114" s="135">
        <v>56916396</v>
      </c>
      <c r="G114" s="135">
        <v>5740521</v>
      </c>
      <c r="H114" s="135">
        <v>7116965</v>
      </c>
      <c r="I114" s="135">
        <v>397365</v>
      </c>
      <c r="J114" s="135">
        <v>179830</v>
      </c>
      <c r="K114" s="135">
        <v>46350</v>
      </c>
      <c r="L114" s="135">
        <v>945942847</v>
      </c>
      <c r="M114" s="135">
        <v>54605553</v>
      </c>
      <c r="N114" s="135">
        <v>1479</v>
      </c>
      <c r="O114" s="135">
        <v>151</v>
      </c>
      <c r="P114" s="135">
        <v>1590580</v>
      </c>
      <c r="Q114" s="135">
        <v>730605</v>
      </c>
      <c r="R114" s="135">
        <v>479500</v>
      </c>
      <c r="S114" s="135">
        <v>387197</v>
      </c>
      <c r="T114" s="135">
        <v>3278</v>
      </c>
      <c r="U114" s="135">
        <v>1032679</v>
      </c>
      <c r="V114" s="135">
        <v>1590580</v>
      </c>
      <c r="W114" s="135">
        <v>730605</v>
      </c>
      <c r="X114" s="135">
        <v>479500</v>
      </c>
      <c r="Y114" s="135">
        <v>387197</v>
      </c>
      <c r="Z114" s="135">
        <v>3278</v>
      </c>
      <c r="AA114" s="135">
        <v>1032679</v>
      </c>
      <c r="AB114" s="135">
        <v>-1344571</v>
      </c>
      <c r="AC114" s="135">
        <v>-7004</v>
      </c>
      <c r="AD114" s="135">
        <v>8006</v>
      </c>
      <c r="AE114" s="135">
        <v>13318</v>
      </c>
      <c r="AF114" s="135">
        <v>48514702</v>
      </c>
      <c r="AG114" s="135">
        <v>196060</v>
      </c>
      <c r="AH114" s="135">
        <v>19671212</v>
      </c>
      <c r="AI114" s="135">
        <v>0</v>
      </c>
      <c r="AJ114" s="169">
        <v>70538500</v>
      </c>
      <c r="AK114" s="160">
        <v>173805021</v>
      </c>
      <c r="AL114" s="161">
        <v>5691183</v>
      </c>
      <c r="AM114" s="165">
        <v>86500</v>
      </c>
      <c r="AN114" s="135">
        <v>150830005</v>
      </c>
      <c r="AO114" s="135">
        <v>10256782</v>
      </c>
      <c r="AP114" s="135">
        <v>87970108</v>
      </c>
      <c r="AQ114" s="135">
        <v>63891756</v>
      </c>
      <c r="AR114" s="135">
        <v>30681788</v>
      </c>
      <c r="AS114" s="135">
        <v>35841612</v>
      </c>
      <c r="AT114" s="135">
        <v>3708887</v>
      </c>
      <c r="AU114" s="165"/>
      <c r="AV114" s="135">
        <v>49830</v>
      </c>
      <c r="AW114" s="135">
        <v>13709179</v>
      </c>
      <c r="AX114" s="135">
        <v>673587</v>
      </c>
      <c r="AY114" s="135">
        <v>2640462</v>
      </c>
      <c r="AZ114" s="160">
        <v>10757464</v>
      </c>
      <c r="BA114" s="160">
        <v>5809031</v>
      </c>
      <c r="BB114" s="162">
        <v>44686906.699896373</v>
      </c>
      <c r="BC114" s="162">
        <v>0</v>
      </c>
      <c r="BD114" s="162">
        <v>0</v>
      </c>
      <c r="BE114" s="117">
        <v>5488766</v>
      </c>
      <c r="BF114" s="117">
        <v>5488766</v>
      </c>
      <c r="BG114" s="117">
        <v>46521658</v>
      </c>
      <c r="BH114" s="117">
        <v>46521658</v>
      </c>
      <c r="BI114" s="117">
        <v>0</v>
      </c>
      <c r="BJ114" s="117">
        <v>0</v>
      </c>
      <c r="BK114" s="138"/>
      <c r="BL114" s="163">
        <v>1015342105</v>
      </c>
      <c r="BM114" s="163">
        <v>778026446</v>
      </c>
      <c r="BN114" s="164">
        <v>831468</v>
      </c>
      <c r="BP114" s="166">
        <f t="shared" si="2"/>
        <v>624117621</v>
      </c>
      <c r="BQ114" s="167">
        <f>AK114</f>
        <v>173805021</v>
      </c>
      <c r="BR114" s="167">
        <f>AL114</f>
        <v>5691183</v>
      </c>
      <c r="BS114" s="166">
        <f>AN116+AO116+AQ116+AS116</f>
        <v>73061014</v>
      </c>
      <c r="BT114" s="166">
        <f t="shared" si="3"/>
        <v>876674839</v>
      </c>
    </row>
    <row r="115" spans="1:72" x14ac:dyDescent="0.25">
      <c r="A115" s="168" t="s">
        <v>169</v>
      </c>
      <c r="B115" s="135">
        <v>7182433453</v>
      </c>
      <c r="C115" s="135">
        <v>566342533</v>
      </c>
      <c r="D115" s="135">
        <v>4282159613</v>
      </c>
      <c r="E115" s="135">
        <v>153252481</v>
      </c>
      <c r="F115" s="135">
        <v>322327780</v>
      </c>
      <c r="G115" s="135">
        <v>26006970</v>
      </c>
      <c r="H115" s="135">
        <v>31147357</v>
      </c>
      <c r="I115" s="135">
        <v>1752626</v>
      </c>
      <c r="J115" s="135">
        <v>369450</v>
      </c>
      <c r="K115" s="135">
        <v>0</v>
      </c>
      <c r="L115" s="135">
        <v>1180729485</v>
      </c>
      <c r="M115" s="135">
        <v>376106814</v>
      </c>
      <c r="N115" s="135">
        <v>7729</v>
      </c>
      <c r="O115" s="135">
        <v>645</v>
      </c>
      <c r="P115" s="135">
        <v>297806376</v>
      </c>
      <c r="Q115" s="135">
        <v>6575458</v>
      </c>
      <c r="R115" s="135">
        <v>146824460</v>
      </c>
      <c r="S115" s="135">
        <v>5244640</v>
      </c>
      <c r="T115" s="135">
        <v>292807</v>
      </c>
      <c r="U115" s="135">
        <v>23753520</v>
      </c>
      <c r="V115" s="135">
        <v>297806376</v>
      </c>
      <c r="W115" s="135">
        <v>8723934</v>
      </c>
      <c r="X115" s="135">
        <v>146824460</v>
      </c>
      <c r="Y115" s="135">
        <v>5244640</v>
      </c>
      <c r="Z115" s="135">
        <v>268000</v>
      </c>
      <c r="AA115" s="135">
        <v>23753520</v>
      </c>
      <c r="AB115" s="135">
        <v>-10857184</v>
      </c>
      <c r="AC115" s="135">
        <v>39922991</v>
      </c>
      <c r="AD115" s="135">
        <v>70672</v>
      </c>
      <c r="AE115" s="135"/>
      <c r="AF115" s="135"/>
      <c r="AG115" s="135">
        <v>277239</v>
      </c>
      <c r="AH115" s="135">
        <v>3652611</v>
      </c>
      <c r="AI115" s="135">
        <v>837298</v>
      </c>
      <c r="AJ115" s="169"/>
      <c r="AK115" s="160">
        <v>1355006640</v>
      </c>
      <c r="AL115" s="161">
        <v>36086007</v>
      </c>
      <c r="AM115" s="135"/>
      <c r="AN115" s="135">
        <v>485255493</v>
      </c>
      <c r="AO115" s="135">
        <v>151282001</v>
      </c>
      <c r="AP115" s="135">
        <v>1495740818</v>
      </c>
      <c r="AQ115" s="135">
        <v>537474825</v>
      </c>
      <c r="AR115" s="135">
        <v>429431979</v>
      </c>
      <c r="AS115" s="135">
        <v>409684383</v>
      </c>
      <c r="AT115" s="135">
        <v>6621347</v>
      </c>
      <c r="AU115" s="135"/>
      <c r="AV115" s="135">
        <v>79708</v>
      </c>
      <c r="AW115" s="135">
        <v>298394503</v>
      </c>
      <c r="AX115" s="135">
        <v>5033533</v>
      </c>
      <c r="AY115" s="135">
        <v>24867901</v>
      </c>
      <c r="AZ115" s="160">
        <v>83866594.099999994</v>
      </c>
      <c r="BA115" s="160">
        <v>45287961</v>
      </c>
      <c r="BB115" s="162">
        <v>0</v>
      </c>
      <c r="BC115" s="162">
        <v>4684668</v>
      </c>
      <c r="BD115" s="162">
        <v>6992042</v>
      </c>
      <c r="BE115" s="117">
        <v>99949975</v>
      </c>
      <c r="BF115" s="117">
        <v>99949975</v>
      </c>
      <c r="BG115" s="117">
        <v>171751886</v>
      </c>
      <c r="BH115" s="117">
        <v>162959582</v>
      </c>
      <c r="BI115" s="117">
        <v>8890833</v>
      </c>
      <c r="BJ115" s="117">
        <v>44088164</v>
      </c>
      <c r="BK115" s="138"/>
      <c r="BL115" s="163">
        <v>13842133435</v>
      </c>
      <c r="BM115" s="163">
        <v>12085179605</v>
      </c>
      <c r="BN115" s="164"/>
      <c r="BP115" s="166">
        <f t="shared" si="2"/>
        <v>12030935599</v>
      </c>
      <c r="BQ115" s="167">
        <f>AK115</f>
        <v>1355006640</v>
      </c>
      <c r="BR115" s="167">
        <f>AL115</f>
        <v>36086007</v>
      </c>
      <c r="BS115" s="166" t="e">
        <f>#REF!+#REF!+#REF!+#REF!</f>
        <v>#REF!</v>
      </c>
      <c r="BT115" s="166" t="e">
        <f t="shared" si="3"/>
        <v>#REF!</v>
      </c>
    </row>
    <row r="116" spans="1:72" x14ac:dyDescent="0.25">
      <c r="A116" s="168" t="s">
        <v>170</v>
      </c>
      <c r="B116" s="135">
        <v>369462177</v>
      </c>
      <c r="C116" s="135">
        <v>237303613</v>
      </c>
      <c r="D116" s="135">
        <v>102367179</v>
      </c>
      <c r="E116" s="135">
        <v>0</v>
      </c>
      <c r="F116" s="135">
        <v>44452608</v>
      </c>
      <c r="G116" s="135">
        <v>5792800</v>
      </c>
      <c r="H116" s="135">
        <v>22898800</v>
      </c>
      <c r="I116" s="135">
        <v>2736100</v>
      </c>
      <c r="J116" s="135">
        <v>46350</v>
      </c>
      <c r="K116" s="135">
        <v>0</v>
      </c>
      <c r="L116" s="135">
        <v>446864898</v>
      </c>
      <c r="M116" s="135">
        <v>187187116</v>
      </c>
      <c r="N116" s="135">
        <v>1489</v>
      </c>
      <c r="O116" s="135">
        <v>202</v>
      </c>
      <c r="P116" s="135">
        <v>6652960</v>
      </c>
      <c r="Q116" s="135">
        <v>13883831</v>
      </c>
      <c r="R116" s="135">
        <v>2254138</v>
      </c>
      <c r="S116" s="135">
        <v>1793243</v>
      </c>
      <c r="T116" s="135">
        <v>1127500</v>
      </c>
      <c r="U116" s="135">
        <v>370500</v>
      </c>
      <c r="V116" s="135">
        <v>6652960</v>
      </c>
      <c r="W116" s="135">
        <v>11623381</v>
      </c>
      <c r="X116" s="135">
        <v>2254138</v>
      </c>
      <c r="Y116" s="135">
        <v>1793243</v>
      </c>
      <c r="Z116" s="135">
        <v>844000</v>
      </c>
      <c r="AA116" s="135">
        <v>370500</v>
      </c>
      <c r="AB116" s="135">
        <v>-740800</v>
      </c>
      <c r="AC116" s="135">
        <v>-917702</v>
      </c>
      <c r="AD116" s="135">
        <v>44716</v>
      </c>
      <c r="AE116" s="135"/>
      <c r="AF116" s="135"/>
      <c r="AG116" s="135">
        <v>177986</v>
      </c>
      <c r="AH116" s="135">
        <v>0</v>
      </c>
      <c r="AI116" s="135">
        <v>0</v>
      </c>
      <c r="AJ116" s="169"/>
      <c r="AK116" s="160">
        <v>118650201</v>
      </c>
      <c r="AL116" s="161">
        <v>3310295</v>
      </c>
      <c r="AM116" s="135"/>
      <c r="AN116" s="135">
        <v>28694799</v>
      </c>
      <c r="AO116" s="135">
        <v>1209850</v>
      </c>
      <c r="AP116" s="135">
        <v>134189009</v>
      </c>
      <c r="AQ116" s="135">
        <v>33794464</v>
      </c>
      <c r="AR116" s="135">
        <v>32440737</v>
      </c>
      <c r="AS116" s="135">
        <v>9361901</v>
      </c>
      <c r="AT116" s="135">
        <v>741558</v>
      </c>
      <c r="AU116" s="135"/>
      <c r="AV116" s="135"/>
      <c r="AW116" s="135">
        <v>17973</v>
      </c>
      <c r="AX116" s="135">
        <v>1249</v>
      </c>
      <c r="AY116" s="135">
        <v>75450</v>
      </c>
      <c r="AZ116" s="160">
        <v>7343100.2400000002</v>
      </c>
      <c r="BA116" s="160">
        <v>3965274</v>
      </c>
      <c r="BB116" s="162">
        <v>0</v>
      </c>
      <c r="BC116" s="162">
        <v>0</v>
      </c>
      <c r="BD116" s="162">
        <v>0</v>
      </c>
      <c r="BE116" s="117">
        <v>8090521</v>
      </c>
      <c r="BF116" s="117">
        <v>8090521</v>
      </c>
      <c r="BG116" s="117">
        <v>31341649</v>
      </c>
      <c r="BH116" s="117">
        <v>31335504</v>
      </c>
      <c r="BI116" s="117">
        <v>6472363</v>
      </c>
      <c r="BJ116" s="117">
        <v>0</v>
      </c>
      <c r="BK116" s="138"/>
      <c r="BL116" s="163">
        <v>944656240</v>
      </c>
      <c r="BM116" s="163">
        <v>772832082</v>
      </c>
      <c r="BN116" s="164">
        <v>699500</v>
      </c>
      <c r="BP116" s="166">
        <f t="shared" si="2"/>
        <v>709132969</v>
      </c>
      <c r="BQ116" s="167">
        <f>AK116</f>
        <v>118650201</v>
      </c>
      <c r="BR116" s="167">
        <f>AL116</f>
        <v>3310295</v>
      </c>
      <c r="BS116" s="166" t="e">
        <f>#REF!+#REF!+#REF!+#REF!</f>
        <v>#REF!</v>
      </c>
      <c r="BT116" s="166" t="e">
        <f t="shared" si="3"/>
        <v>#REF!</v>
      </c>
    </row>
    <row r="117" spans="1:72" x14ac:dyDescent="0.25">
      <c r="A117" s="168" t="s">
        <v>171</v>
      </c>
      <c r="B117" s="135">
        <v>580487632</v>
      </c>
      <c r="C117" s="135">
        <v>150806545</v>
      </c>
      <c r="D117" s="135">
        <v>153906756</v>
      </c>
      <c r="E117" s="135">
        <v>0</v>
      </c>
      <c r="F117" s="135">
        <v>78891610</v>
      </c>
      <c r="G117" s="135">
        <v>16784715</v>
      </c>
      <c r="H117" s="135">
        <v>20460263</v>
      </c>
      <c r="I117" s="135">
        <v>2470814</v>
      </c>
      <c r="J117" s="135">
        <v>139050</v>
      </c>
      <c r="K117" s="135">
        <v>35000</v>
      </c>
      <c r="L117" s="135">
        <v>316095600</v>
      </c>
      <c r="M117" s="135">
        <v>101522024</v>
      </c>
      <c r="N117" s="135">
        <v>2451</v>
      </c>
      <c r="O117" s="135">
        <v>540</v>
      </c>
      <c r="P117" s="135">
        <v>12222425</v>
      </c>
      <c r="Q117" s="135">
        <v>6481054</v>
      </c>
      <c r="R117" s="135">
        <v>8927060</v>
      </c>
      <c r="S117" s="135">
        <v>2253789</v>
      </c>
      <c r="T117" s="135">
        <v>710837</v>
      </c>
      <c r="U117" s="135">
        <v>999858</v>
      </c>
      <c r="V117" s="135">
        <v>12222425</v>
      </c>
      <c r="W117" s="135">
        <v>6478554</v>
      </c>
      <c r="X117" s="135">
        <v>8927060</v>
      </c>
      <c r="Y117" s="135">
        <v>2253789</v>
      </c>
      <c r="Z117" s="135">
        <v>1355763</v>
      </c>
      <c r="AA117" s="135">
        <v>999858</v>
      </c>
      <c r="AB117" s="135">
        <v>-476735</v>
      </c>
      <c r="AC117" s="135">
        <v>-114451</v>
      </c>
      <c r="AD117" s="135">
        <v>175795</v>
      </c>
      <c r="AE117" s="135">
        <v>8210</v>
      </c>
      <c r="AF117" s="135">
        <v>12460527</v>
      </c>
      <c r="AG117" s="135">
        <v>242823</v>
      </c>
      <c r="AH117" s="135">
        <v>276311</v>
      </c>
      <c r="AI117" s="135">
        <v>300034</v>
      </c>
      <c r="AJ117" s="169"/>
      <c r="AK117" s="160">
        <v>145420082</v>
      </c>
      <c r="AL117" s="161">
        <v>20834848</v>
      </c>
      <c r="AM117" s="135">
        <v>10134177</v>
      </c>
      <c r="AN117" s="135">
        <v>21746783</v>
      </c>
      <c r="AO117" s="135">
        <v>492307</v>
      </c>
      <c r="AP117" s="135">
        <v>17970436</v>
      </c>
      <c r="AQ117" s="135">
        <v>27515007</v>
      </c>
      <c r="AR117" s="135">
        <v>21566561</v>
      </c>
      <c r="AS117" s="135">
        <v>57452</v>
      </c>
      <c r="AT117" s="135">
        <v>11039634</v>
      </c>
      <c r="AU117" s="165"/>
      <c r="AV117" s="135"/>
      <c r="AW117" s="165"/>
      <c r="AX117" s="165"/>
      <c r="AY117" s="164">
        <v>321500</v>
      </c>
      <c r="AZ117" s="160">
        <v>9000610.5</v>
      </c>
      <c r="BA117" s="160">
        <v>4860330</v>
      </c>
      <c r="BB117" s="162">
        <v>0</v>
      </c>
      <c r="BC117" s="162">
        <v>0</v>
      </c>
      <c r="BD117" s="162">
        <v>0</v>
      </c>
      <c r="BE117" s="117">
        <v>1232861</v>
      </c>
      <c r="BF117" s="117">
        <v>1232861</v>
      </c>
      <c r="BG117" s="117">
        <v>38193462</v>
      </c>
      <c r="BH117" s="117">
        <v>38158174</v>
      </c>
      <c r="BI117" s="117">
        <v>0</v>
      </c>
      <c r="BJ117" s="117">
        <v>0</v>
      </c>
      <c r="BK117" s="138"/>
      <c r="BL117" s="163">
        <v>1098610280</v>
      </c>
      <c r="BM117" s="163">
        <v>888103985</v>
      </c>
      <c r="BN117" s="164">
        <v>798000</v>
      </c>
      <c r="BP117" s="166">
        <f t="shared" si="2"/>
        <v>885200933</v>
      </c>
      <c r="BQ117" s="167">
        <f>AK117</f>
        <v>145420082</v>
      </c>
      <c r="BR117" s="167">
        <f>AL117</f>
        <v>20834848</v>
      </c>
      <c r="BS117" s="166">
        <f>AN96+AO96+AQ96+AS96</f>
        <v>2326707</v>
      </c>
      <c r="BT117" s="166">
        <f t="shared" si="3"/>
        <v>1053782570</v>
      </c>
    </row>
    <row r="118" spans="1:72" x14ac:dyDescent="0.25">
      <c r="A118" s="168" t="s">
        <v>172</v>
      </c>
      <c r="B118" s="135">
        <v>267710174</v>
      </c>
      <c r="C118" s="135">
        <v>195160759</v>
      </c>
      <c r="D118" s="135">
        <v>74163335</v>
      </c>
      <c r="E118" s="135">
        <v>0</v>
      </c>
      <c r="F118" s="135">
        <v>49571694</v>
      </c>
      <c r="G118" s="135">
        <v>5442217</v>
      </c>
      <c r="H118" s="135">
        <v>10494540</v>
      </c>
      <c r="I118" s="135">
        <v>1016525</v>
      </c>
      <c r="J118" s="135">
        <v>85885</v>
      </c>
      <c r="K118" s="135">
        <v>0</v>
      </c>
      <c r="L118" s="135">
        <v>715034716</v>
      </c>
      <c r="M118" s="135">
        <v>80387855</v>
      </c>
      <c r="N118" s="135">
        <v>1501</v>
      </c>
      <c r="O118" s="135">
        <v>186</v>
      </c>
      <c r="P118" s="135">
        <v>3033200</v>
      </c>
      <c r="Q118" s="135">
        <v>377800</v>
      </c>
      <c r="R118" s="135">
        <v>624300</v>
      </c>
      <c r="S118" s="135">
        <v>212200</v>
      </c>
      <c r="T118" s="135">
        <v>0</v>
      </c>
      <c r="U118" s="135">
        <v>0</v>
      </c>
      <c r="V118" s="135">
        <v>3033200</v>
      </c>
      <c r="W118" s="135">
        <v>377800</v>
      </c>
      <c r="X118" s="135">
        <v>624300</v>
      </c>
      <c r="Y118" s="135">
        <v>212200</v>
      </c>
      <c r="Z118" s="135">
        <v>0</v>
      </c>
      <c r="AA118" s="135">
        <v>0</v>
      </c>
      <c r="AB118" s="135">
        <v>-1197600</v>
      </c>
      <c r="AC118" s="135">
        <v>-55324</v>
      </c>
      <c r="AD118" s="135">
        <v>59721</v>
      </c>
      <c r="AE118" s="135">
        <v>12042</v>
      </c>
      <c r="AF118" s="135">
        <v>6375085</v>
      </c>
      <c r="AG118" s="135">
        <v>197582</v>
      </c>
      <c r="AH118" s="135">
        <v>16848242</v>
      </c>
      <c r="AI118" s="135">
        <v>0</v>
      </c>
      <c r="AJ118" s="169">
        <v>780500</v>
      </c>
      <c r="AK118" s="160">
        <v>136294083</v>
      </c>
      <c r="AL118" s="161">
        <v>5177732</v>
      </c>
      <c r="AM118" s="135"/>
      <c r="AN118" s="135">
        <v>17106073</v>
      </c>
      <c r="AO118" s="135">
        <v>1306100</v>
      </c>
      <c r="AP118" s="135">
        <v>11143432</v>
      </c>
      <c r="AQ118" s="135">
        <v>14773954</v>
      </c>
      <c r="AR118" s="135">
        <v>7645724</v>
      </c>
      <c r="AS118" s="135"/>
      <c r="AT118" s="135">
        <v>9522583</v>
      </c>
      <c r="AU118" s="135"/>
      <c r="AV118" s="135"/>
      <c r="AW118" s="135">
        <v>2878983</v>
      </c>
      <c r="AX118" s="135">
        <v>2377574</v>
      </c>
      <c r="AY118" s="135"/>
      <c r="AZ118" s="160">
        <v>8435767.1799999997</v>
      </c>
      <c r="BA118" s="160">
        <v>4555314</v>
      </c>
      <c r="BB118" s="162">
        <v>2759443.2794300523</v>
      </c>
      <c r="BC118" s="162">
        <v>2151753</v>
      </c>
      <c r="BD118" s="162">
        <v>3211572</v>
      </c>
      <c r="BE118" s="117">
        <v>29629704</v>
      </c>
      <c r="BF118" s="117">
        <v>29339856</v>
      </c>
      <c r="BG118" s="117">
        <v>82966268</v>
      </c>
      <c r="BH118" s="117">
        <v>80416069</v>
      </c>
      <c r="BI118" s="117">
        <v>0</v>
      </c>
      <c r="BJ118" s="117">
        <v>0</v>
      </c>
      <c r="BK118" s="138"/>
      <c r="BL118" s="163">
        <v>845783944</v>
      </c>
      <c r="BM118" s="163">
        <v>587849137</v>
      </c>
      <c r="BN118" s="164">
        <v>1926616</v>
      </c>
      <c r="BP118" s="166">
        <f t="shared" si="2"/>
        <v>537034268</v>
      </c>
      <c r="BQ118" s="167">
        <f>AK118</f>
        <v>136294083</v>
      </c>
      <c r="BR118" s="167">
        <f>AL118</f>
        <v>5177732</v>
      </c>
      <c r="BS118" s="166">
        <f>AN118+AO118+AQ118+AS118</f>
        <v>33186127</v>
      </c>
      <c r="BT118" s="166">
        <f t="shared" si="3"/>
        <v>711692210</v>
      </c>
    </row>
    <row r="119" spans="1:72" x14ac:dyDescent="0.25">
      <c r="A119" s="168" t="s">
        <v>173</v>
      </c>
      <c r="B119" s="135">
        <v>955465088</v>
      </c>
      <c r="C119" s="135">
        <v>174021139</v>
      </c>
      <c r="D119" s="135">
        <v>296041332</v>
      </c>
      <c r="E119" s="135">
        <v>2100000</v>
      </c>
      <c r="F119" s="135">
        <v>108018631</v>
      </c>
      <c r="G119" s="135">
        <v>40396135</v>
      </c>
      <c r="H119" s="135">
        <v>18793390</v>
      </c>
      <c r="I119" s="135">
        <v>4275137</v>
      </c>
      <c r="J119" s="135">
        <v>185400</v>
      </c>
      <c r="K119" s="135">
        <v>0</v>
      </c>
      <c r="L119" s="135">
        <v>659940297</v>
      </c>
      <c r="M119" s="135">
        <v>90036922</v>
      </c>
      <c r="N119" s="135">
        <v>3286</v>
      </c>
      <c r="O119" s="135">
        <v>1275</v>
      </c>
      <c r="P119" s="135">
        <v>2815386</v>
      </c>
      <c r="Q119" s="135">
        <v>119400</v>
      </c>
      <c r="R119" s="135">
        <v>0</v>
      </c>
      <c r="S119" s="135">
        <v>7289901</v>
      </c>
      <c r="T119" s="135">
        <v>3278888</v>
      </c>
      <c r="U119" s="135">
        <v>788700</v>
      </c>
      <c r="V119" s="135">
        <v>2815386</v>
      </c>
      <c r="W119" s="135">
        <v>747950</v>
      </c>
      <c r="X119" s="135">
        <v>0</v>
      </c>
      <c r="Y119" s="135">
        <v>7289901</v>
      </c>
      <c r="Z119" s="135">
        <v>6318900</v>
      </c>
      <c r="AA119" s="135">
        <v>788700</v>
      </c>
      <c r="AB119" s="135">
        <v>-9417986</v>
      </c>
      <c r="AC119" s="135">
        <v>-576033</v>
      </c>
      <c r="AD119" s="135">
        <v>200897</v>
      </c>
      <c r="AE119" s="135">
        <v>0</v>
      </c>
      <c r="AF119" s="135">
        <v>0</v>
      </c>
      <c r="AG119" s="135">
        <v>208549</v>
      </c>
      <c r="AH119" s="135">
        <v>957890</v>
      </c>
      <c r="AI119" s="135">
        <v>3137737</v>
      </c>
      <c r="AJ119" s="169">
        <v>1455000</v>
      </c>
      <c r="AK119" s="160">
        <v>312095026</v>
      </c>
      <c r="AL119" s="161">
        <v>9648295</v>
      </c>
      <c r="AM119" s="135">
        <v>3544753</v>
      </c>
      <c r="AN119" s="135">
        <v>65244758</v>
      </c>
      <c r="AO119" s="135">
        <v>3219110</v>
      </c>
      <c r="AP119" s="135">
        <v>122748418</v>
      </c>
      <c r="AQ119" s="135">
        <v>87100736</v>
      </c>
      <c r="AR119" s="135">
        <v>35612663</v>
      </c>
      <c r="AS119" s="135">
        <v>9809550</v>
      </c>
      <c r="AT119" s="135">
        <v>180885</v>
      </c>
      <c r="AU119" s="135"/>
      <c r="AV119" s="135"/>
      <c r="AW119" s="135"/>
      <c r="AX119" s="135">
        <v>62002</v>
      </c>
      <c r="AY119" s="135">
        <v>50946</v>
      </c>
      <c r="AZ119" s="160">
        <v>19316766.5</v>
      </c>
      <c r="BA119" s="160">
        <v>10431054</v>
      </c>
      <c r="BB119" s="162">
        <v>0</v>
      </c>
      <c r="BC119" s="162">
        <v>19598982</v>
      </c>
      <c r="BD119" s="162">
        <v>29252213</v>
      </c>
      <c r="BE119" s="117">
        <v>66469646</v>
      </c>
      <c r="BF119" s="117">
        <v>66469646</v>
      </c>
      <c r="BG119" s="117">
        <v>94052351</v>
      </c>
      <c r="BH119" s="117">
        <v>83659677</v>
      </c>
      <c r="BI119" s="117">
        <v>0</v>
      </c>
      <c r="BJ119" s="117">
        <v>0</v>
      </c>
      <c r="BK119" s="138"/>
      <c r="BL119" s="163">
        <v>2088545470</v>
      </c>
      <c r="BM119" s="163">
        <v>1586642790</v>
      </c>
      <c r="BN119" s="164"/>
      <c r="BP119" s="166">
        <f t="shared" si="2"/>
        <v>1425527559</v>
      </c>
      <c r="BQ119" s="167">
        <f>AK119</f>
        <v>312095026</v>
      </c>
      <c r="BR119" s="167">
        <f>AL119</f>
        <v>9648295</v>
      </c>
      <c r="BS119" s="166">
        <f>AN119+AO119+AQ119+AS119</f>
        <v>165374154</v>
      </c>
      <c r="BT119" s="166">
        <f t="shared" si="3"/>
        <v>1912645034</v>
      </c>
    </row>
    <row r="120" spans="1:72" x14ac:dyDescent="0.25">
      <c r="A120" s="181" t="s">
        <v>174</v>
      </c>
      <c r="B120" s="135">
        <v>102726600</v>
      </c>
      <c r="C120" s="135">
        <v>74122250</v>
      </c>
      <c r="D120" s="135">
        <v>39998025</v>
      </c>
      <c r="E120" s="135">
        <v>0</v>
      </c>
      <c r="F120" s="135">
        <v>14591300</v>
      </c>
      <c r="G120" s="135">
        <v>8459800</v>
      </c>
      <c r="H120" s="135">
        <v>12614850</v>
      </c>
      <c r="I120" s="135">
        <v>4054550</v>
      </c>
      <c r="J120" s="135">
        <v>46350</v>
      </c>
      <c r="K120" s="135">
        <v>0</v>
      </c>
      <c r="L120" s="135">
        <v>91127007</v>
      </c>
      <c r="M120" s="135">
        <v>0</v>
      </c>
      <c r="N120" s="135">
        <v>725</v>
      </c>
      <c r="O120" s="135">
        <v>391</v>
      </c>
      <c r="P120" s="135">
        <v>6571400</v>
      </c>
      <c r="Q120" s="135">
        <v>1638500</v>
      </c>
      <c r="R120" s="135">
        <v>452000</v>
      </c>
      <c r="S120" s="135">
        <v>983500</v>
      </c>
      <c r="T120" s="135">
        <v>405000</v>
      </c>
      <c r="U120" s="135">
        <v>20000</v>
      </c>
      <c r="V120" s="135">
        <v>6571400</v>
      </c>
      <c r="W120" s="135">
        <v>1638500</v>
      </c>
      <c r="X120" s="135">
        <v>452000</v>
      </c>
      <c r="Y120" s="135">
        <v>983500</v>
      </c>
      <c r="Z120" s="135">
        <v>405000</v>
      </c>
      <c r="AA120" s="135">
        <v>20000</v>
      </c>
      <c r="AB120" s="135">
        <v>-1451500</v>
      </c>
      <c r="AC120" s="135">
        <v>-287</v>
      </c>
      <c r="AD120" s="135">
        <v>87238</v>
      </c>
      <c r="AE120" s="135"/>
      <c r="AF120" s="135"/>
      <c r="AG120" s="135">
        <v>115951</v>
      </c>
      <c r="AH120" s="135">
        <v>3759349</v>
      </c>
      <c r="AI120" s="135">
        <v>83331</v>
      </c>
      <c r="AJ120" s="169"/>
      <c r="AK120" s="160">
        <v>58314634</v>
      </c>
      <c r="AL120" s="161">
        <v>925879</v>
      </c>
      <c r="AM120" s="135"/>
      <c r="AN120" s="135">
        <v>6904918</v>
      </c>
      <c r="AO120" s="135">
        <v>65400</v>
      </c>
      <c r="AP120" s="135">
        <v>1082087</v>
      </c>
      <c r="AQ120" s="135">
        <v>32127669</v>
      </c>
      <c r="AR120" s="135">
        <v>9826921</v>
      </c>
      <c r="AS120" s="135"/>
      <c r="AT120" s="135"/>
      <c r="AU120" s="135"/>
      <c r="AV120" s="135"/>
      <c r="AW120" s="135"/>
      <c r="AX120" s="135">
        <v>2651</v>
      </c>
      <c r="AY120" s="135"/>
      <c r="AZ120" s="160">
        <v>3609317.91</v>
      </c>
      <c r="BA120" s="160">
        <v>1949032</v>
      </c>
      <c r="BB120" s="162">
        <v>0</v>
      </c>
      <c r="BC120" s="162">
        <v>0</v>
      </c>
      <c r="BD120" s="162">
        <v>0</v>
      </c>
      <c r="BE120" s="117">
        <v>530440</v>
      </c>
      <c r="BF120" s="117">
        <v>530440</v>
      </c>
      <c r="BG120" s="117">
        <v>26824070</v>
      </c>
      <c r="BH120" s="117">
        <v>26822812</v>
      </c>
      <c r="BI120" s="117">
        <v>0</v>
      </c>
      <c r="BJ120" s="117">
        <v>0</v>
      </c>
      <c r="BK120" s="138"/>
      <c r="BL120" s="163">
        <v>348330339</v>
      </c>
      <c r="BM120" s="163">
        <v>259787542</v>
      </c>
      <c r="BN120" s="164">
        <v>362000</v>
      </c>
      <c r="BP120" s="166">
        <f t="shared" si="2"/>
        <v>216846875</v>
      </c>
      <c r="BQ120" s="167">
        <f>AK120</f>
        <v>58314634</v>
      </c>
      <c r="BR120" s="167">
        <f>AL120</f>
        <v>925879</v>
      </c>
      <c r="BS120" s="166">
        <f>AN120+AO120+AQ120+AS120</f>
        <v>39097987</v>
      </c>
      <c r="BT120" s="166">
        <f t="shared" si="3"/>
        <v>315185375</v>
      </c>
    </row>
    <row r="121" spans="1:72" ht="15.75" thickBot="1" x14ac:dyDescent="0.3">
      <c r="A121" s="182" t="s">
        <v>175</v>
      </c>
      <c r="B121" s="142">
        <v>1861284245</v>
      </c>
      <c r="C121" s="142">
        <v>611196753</v>
      </c>
      <c r="D121" s="142">
        <v>373562195</v>
      </c>
      <c r="E121" s="142">
        <v>23321000</v>
      </c>
      <c r="F121" s="142">
        <v>116226100</v>
      </c>
      <c r="G121" s="142">
        <v>8872400</v>
      </c>
      <c r="H121" s="142">
        <v>14024050</v>
      </c>
      <c r="I121" s="142">
        <v>278100</v>
      </c>
      <c r="J121" s="142">
        <v>0</v>
      </c>
      <c r="K121" s="142">
        <v>46350</v>
      </c>
      <c r="L121" s="142">
        <v>876715907</v>
      </c>
      <c r="M121" s="142">
        <v>325754000</v>
      </c>
      <c r="N121" s="142">
        <v>2828</v>
      </c>
      <c r="O121" s="142">
        <v>201</v>
      </c>
      <c r="P121" s="142">
        <v>36689900</v>
      </c>
      <c r="Q121" s="142">
        <v>16475500</v>
      </c>
      <c r="R121" s="142">
        <v>11442700</v>
      </c>
      <c r="S121" s="142">
        <v>2278000</v>
      </c>
      <c r="T121" s="142">
        <v>516800</v>
      </c>
      <c r="U121" s="142">
        <v>6558900</v>
      </c>
      <c r="V121" s="142">
        <v>36689900</v>
      </c>
      <c r="W121" s="142">
        <v>16602100</v>
      </c>
      <c r="X121" s="142">
        <v>11442700</v>
      </c>
      <c r="Y121" s="142">
        <v>2278000</v>
      </c>
      <c r="Z121" s="142">
        <v>516800</v>
      </c>
      <c r="AA121" s="142">
        <v>6558900</v>
      </c>
      <c r="AB121" s="142">
        <v>-1199500</v>
      </c>
      <c r="AC121" s="142">
        <v>-17273</v>
      </c>
      <c r="AD121" s="142">
        <v>0</v>
      </c>
      <c r="AE121" s="142">
        <v>0</v>
      </c>
      <c r="AF121" s="142">
        <v>0</v>
      </c>
      <c r="AG121" s="142">
        <v>105410</v>
      </c>
      <c r="AH121" s="142">
        <v>0</v>
      </c>
      <c r="AI121" s="142">
        <v>0</v>
      </c>
      <c r="AJ121" s="142"/>
      <c r="AK121" s="183">
        <v>323797399</v>
      </c>
      <c r="AL121" s="184">
        <v>7849210</v>
      </c>
      <c r="AM121" s="142"/>
      <c r="AN121" s="142">
        <v>47090168</v>
      </c>
      <c r="AO121" s="142">
        <v>11031620</v>
      </c>
      <c r="AP121" s="142">
        <v>191171250</v>
      </c>
      <c r="AQ121" s="142">
        <v>71426986</v>
      </c>
      <c r="AR121" s="142">
        <v>45478332</v>
      </c>
      <c r="AS121" s="142">
        <v>92281707</v>
      </c>
      <c r="AT121" s="142">
        <v>158659853</v>
      </c>
      <c r="AU121" s="142"/>
      <c r="AV121" s="142"/>
      <c r="AW121" s="142">
        <v>5519343</v>
      </c>
      <c r="AX121" s="142">
        <v>443369</v>
      </c>
      <c r="AY121" s="142">
        <v>85546</v>
      </c>
      <c r="AZ121" s="183">
        <v>20041071.559999999</v>
      </c>
      <c r="BA121" s="183">
        <v>10822179</v>
      </c>
      <c r="BB121" s="185">
        <v>0</v>
      </c>
      <c r="BC121" s="185">
        <v>1834281</v>
      </c>
      <c r="BD121" s="185">
        <v>2737733</v>
      </c>
      <c r="BE121" s="127">
        <v>19708962</v>
      </c>
      <c r="BF121" s="125">
        <v>19260162</v>
      </c>
      <c r="BG121" s="125">
        <v>69170890</v>
      </c>
      <c r="BH121" s="125">
        <v>67780770</v>
      </c>
      <c r="BI121" s="125">
        <v>218793968</v>
      </c>
      <c r="BJ121" s="125">
        <v>0</v>
      </c>
      <c r="BK121" s="143"/>
      <c r="BL121" s="186">
        <v>3625729936</v>
      </c>
      <c r="BM121" s="186">
        <v>2975591967</v>
      </c>
      <c r="BN121" s="187">
        <v>1934445</v>
      </c>
      <c r="BO121" s="188"/>
      <c r="BP121" s="166">
        <f t="shared" si="2"/>
        <v>2846043193</v>
      </c>
      <c r="BQ121" s="167">
        <f>AK121</f>
        <v>323797399</v>
      </c>
      <c r="BR121" s="167">
        <f>AL121</f>
        <v>7849210</v>
      </c>
      <c r="BS121" s="166">
        <f>AN121+AO121+AQ121+AS121</f>
        <v>221830481</v>
      </c>
      <c r="BT121" s="166">
        <f t="shared" si="3"/>
        <v>3399520283</v>
      </c>
    </row>
    <row r="122" spans="1:72" ht="15.75" thickTop="1" x14ac:dyDescent="0.25">
      <c r="A122" s="189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90"/>
      <c r="BA122" s="190"/>
      <c r="BB122" s="173"/>
      <c r="BE122" s="191"/>
      <c r="BF122" s="191"/>
      <c r="BG122" s="191"/>
      <c r="BH122" s="191"/>
      <c r="BI122" s="173"/>
      <c r="BJ122" s="173"/>
    </row>
    <row r="123" spans="1:72" x14ac:dyDescent="0.25">
      <c r="A123" s="189" t="s">
        <v>332</v>
      </c>
      <c r="B123" s="144">
        <v>222461130003</v>
      </c>
      <c r="C123" s="135">
        <v>25857394670</v>
      </c>
      <c r="D123" s="144">
        <v>92702179488</v>
      </c>
      <c r="E123" s="144">
        <v>1846116832</v>
      </c>
      <c r="F123" s="193">
        <f t="shared" ref="F123:AY123" si="4">SUM(F2:F121)</f>
        <v>15560074273</v>
      </c>
      <c r="G123" s="193">
        <f t="shared" si="4"/>
        <v>2573715658</v>
      </c>
      <c r="H123" s="193">
        <f t="shared" si="4"/>
        <v>2074057244</v>
      </c>
      <c r="I123" s="193">
        <f t="shared" si="4"/>
        <v>338855504</v>
      </c>
      <c r="J123" s="193">
        <f t="shared" si="4"/>
        <v>28721695</v>
      </c>
      <c r="K123" s="193">
        <f t="shared" si="4"/>
        <v>3864850</v>
      </c>
      <c r="L123" s="193">
        <f t="shared" si="4"/>
        <v>49504910465</v>
      </c>
      <c r="M123" s="193">
        <f t="shared" si="4"/>
        <v>16872359716</v>
      </c>
      <c r="N123" s="193">
        <f t="shared" si="4"/>
        <v>399329</v>
      </c>
      <c r="O123" s="193">
        <f t="shared" si="4"/>
        <v>75530</v>
      </c>
      <c r="P123" s="193">
        <f t="shared" si="4"/>
        <v>4506720415</v>
      </c>
      <c r="Q123" s="193">
        <f t="shared" si="4"/>
        <v>589279365</v>
      </c>
      <c r="R123" s="193">
        <f t="shared" si="4"/>
        <v>3313325960</v>
      </c>
      <c r="S123" s="193">
        <f t="shared" si="4"/>
        <v>1121541160</v>
      </c>
      <c r="T123" s="193">
        <f t="shared" si="4"/>
        <v>179649542</v>
      </c>
      <c r="U123" s="193">
        <f t="shared" si="4"/>
        <v>990028202</v>
      </c>
      <c r="V123" s="193">
        <f t="shared" si="4"/>
        <v>4500226969</v>
      </c>
      <c r="W123" s="193">
        <f t="shared" si="4"/>
        <v>722311979</v>
      </c>
      <c r="X123" s="193">
        <f t="shared" si="4"/>
        <v>3313343960</v>
      </c>
      <c r="Y123" s="193">
        <f t="shared" si="4"/>
        <v>1122017520</v>
      </c>
      <c r="Z123" s="193">
        <f t="shared" si="4"/>
        <v>359073738</v>
      </c>
      <c r="AA123" s="193">
        <f t="shared" si="4"/>
        <v>993078699</v>
      </c>
      <c r="AB123" s="193">
        <f t="shared" si="4"/>
        <v>-218562987</v>
      </c>
      <c r="AC123" s="193">
        <f t="shared" si="4"/>
        <v>47203573</v>
      </c>
      <c r="AD123" s="193">
        <f t="shared" si="4"/>
        <v>7877138.2799999993</v>
      </c>
      <c r="AE123" s="193">
        <f t="shared" si="4"/>
        <v>6034342.9299999997</v>
      </c>
      <c r="AF123" s="193">
        <f t="shared" si="4"/>
        <v>3236618115</v>
      </c>
      <c r="AG123" s="193">
        <f t="shared" si="4"/>
        <v>63199599.126500003</v>
      </c>
      <c r="AH123" s="193">
        <f t="shared" si="4"/>
        <v>305689461</v>
      </c>
      <c r="AI123" s="193">
        <f t="shared" si="4"/>
        <v>379792075</v>
      </c>
      <c r="AJ123" s="193">
        <f t="shared" si="4"/>
        <v>252476512</v>
      </c>
      <c r="AK123" s="193">
        <f t="shared" si="4"/>
        <v>43883019832</v>
      </c>
      <c r="AL123" s="193">
        <f t="shared" si="4"/>
        <v>1361830214</v>
      </c>
      <c r="AM123" s="193">
        <f t="shared" si="4"/>
        <v>84342506</v>
      </c>
      <c r="AN123" s="193">
        <f t="shared" si="4"/>
        <v>12838032897</v>
      </c>
      <c r="AO123" s="193">
        <f t="shared" si="4"/>
        <v>1423879608</v>
      </c>
      <c r="AP123" s="193">
        <f t="shared" si="4"/>
        <v>24630533418</v>
      </c>
      <c r="AQ123" s="193">
        <f t="shared" si="4"/>
        <v>13091989853</v>
      </c>
      <c r="AR123" s="193">
        <f t="shared" si="4"/>
        <v>12854850572</v>
      </c>
      <c r="AS123" s="193">
        <f t="shared" si="4"/>
        <v>22900452973</v>
      </c>
      <c r="AT123" s="193">
        <f t="shared" si="4"/>
        <v>9073830649</v>
      </c>
      <c r="AU123" s="193">
        <f t="shared" si="4"/>
        <v>57682472</v>
      </c>
      <c r="AV123" s="193">
        <f t="shared" si="4"/>
        <v>21118841</v>
      </c>
      <c r="AW123" s="193">
        <f t="shared" si="4"/>
        <v>1364262921</v>
      </c>
      <c r="AX123" s="193">
        <f t="shared" si="4"/>
        <v>144245970</v>
      </c>
      <c r="AY123" s="193">
        <f t="shared" si="4"/>
        <v>469431948</v>
      </c>
      <c r="AZ123" s="193">
        <f>SUM(AZ2:AZ121)</f>
        <v>2716088772.7999992</v>
      </c>
      <c r="BA123" s="193">
        <f>SUM(BA2:BA121)</f>
        <v>1466687939</v>
      </c>
      <c r="BB123" s="194">
        <f>SUM(BB2:BB122)</f>
        <v>1034121461.9999999</v>
      </c>
      <c r="BC123" s="194">
        <f>SUM(BC2:BC121)</f>
        <v>436925220</v>
      </c>
      <c r="BD123" s="194">
        <f>SUM(BD2:BD121)</f>
        <v>652127195</v>
      </c>
      <c r="BE123" s="181">
        <f t="shared" ref="BE123:BK123" si="5">SUM(BE2:BE122)</f>
        <v>7794165512</v>
      </c>
      <c r="BF123" s="181">
        <f t="shared" si="5"/>
        <v>7726443516</v>
      </c>
      <c r="BG123" s="181">
        <f t="shared" si="5"/>
        <v>15070585958</v>
      </c>
      <c r="BH123" s="181">
        <f t="shared" si="5"/>
        <v>14040518986</v>
      </c>
      <c r="BI123" s="194">
        <f t="shared" si="5"/>
        <v>3493913854</v>
      </c>
      <c r="BJ123" s="194">
        <f t="shared" si="5"/>
        <v>220587232</v>
      </c>
      <c r="BK123" s="194">
        <f t="shared" si="5"/>
        <v>0</v>
      </c>
      <c r="BL123" s="195">
        <v>441741141129</v>
      </c>
      <c r="BM123" s="195">
        <v>369111214336</v>
      </c>
      <c r="BN123" s="195">
        <f>SUM(BN2:BN121)</f>
        <v>367114081</v>
      </c>
      <c r="BO123" s="196"/>
    </row>
    <row r="124" spans="1:72" x14ac:dyDescent="0.25">
      <c r="AZ124" s="180"/>
    </row>
    <row r="125" spans="1:72" x14ac:dyDescent="0.25">
      <c r="AZ125" s="180"/>
    </row>
    <row r="126" spans="1:72" x14ac:dyDescent="0.25">
      <c r="AZ126" s="180"/>
    </row>
    <row r="127" spans="1:72" s="171" customFormat="1" x14ac:dyDescent="0.25">
      <c r="A127" s="196"/>
      <c r="B127" s="135"/>
      <c r="C127" s="135"/>
      <c r="D127" s="135"/>
      <c r="E127" s="135"/>
      <c r="BL127" s="165"/>
      <c r="BM127" s="165"/>
      <c r="BN127" s="165"/>
      <c r="BO127" s="165"/>
      <c r="BP127" s="192"/>
      <c r="BQ127" s="192"/>
      <c r="BR127" s="192"/>
      <c r="BS127" s="192"/>
      <c r="BT127" s="192"/>
    </row>
    <row r="128" spans="1:72" s="171" customFormat="1" x14ac:dyDescent="0.25">
      <c r="A128" s="196"/>
      <c r="B128" s="135">
        <v>349685105725</v>
      </c>
      <c r="C128" s="135"/>
      <c r="D128" s="135"/>
      <c r="E128" s="135"/>
      <c r="BL128" s="165"/>
      <c r="BM128" s="165"/>
      <c r="BN128" s="165"/>
      <c r="BO128" s="165"/>
      <c r="BP128" s="192"/>
      <c r="BQ128" s="192"/>
      <c r="BR128" s="192"/>
      <c r="BS128" s="192"/>
      <c r="BT128" s="192"/>
    </row>
    <row r="129" spans="1:72" s="171" customFormat="1" x14ac:dyDescent="0.25">
      <c r="A129" s="196"/>
      <c r="B129" s="135">
        <v>119647409321</v>
      </c>
      <c r="C129" s="135"/>
      <c r="D129" s="135"/>
      <c r="E129" s="135"/>
      <c r="P129" s="171">
        <f>P123+Q123+R123-S123-T123-U123</f>
        <v>6118106836</v>
      </c>
      <c r="AI129" s="171">
        <f>AH123+AI123</f>
        <v>685481536</v>
      </c>
      <c r="BL129" s="165"/>
      <c r="BM129" s="165"/>
      <c r="BN129" s="165"/>
      <c r="BO129" s="165"/>
      <c r="BP129" s="192"/>
      <c r="BQ129" s="192"/>
      <c r="BR129" s="192"/>
      <c r="BS129" s="192"/>
      <c r="BT129" s="192"/>
    </row>
    <row r="130" spans="1:72" s="171" customFormat="1" x14ac:dyDescent="0.25">
      <c r="A130" s="196"/>
      <c r="B130" s="135">
        <v>45244850046</v>
      </c>
      <c r="C130" s="135"/>
      <c r="D130" s="135"/>
      <c r="E130" s="135"/>
      <c r="BL130" s="165"/>
      <c r="BM130" s="165"/>
      <c r="BN130" s="165"/>
      <c r="BO130" s="165"/>
      <c r="BP130" s="192"/>
      <c r="BQ130" s="192"/>
      <c r="BR130" s="192"/>
      <c r="BS130" s="192"/>
      <c r="BT130" s="192"/>
    </row>
    <row r="131" spans="1:72" s="171" customFormat="1" x14ac:dyDescent="0.25">
      <c r="A131" s="196"/>
      <c r="B131" s="135"/>
      <c r="C131" s="135"/>
      <c r="D131" s="135"/>
      <c r="E131" s="135"/>
      <c r="BL131" s="165"/>
      <c r="BM131" s="165"/>
      <c r="BN131" s="165"/>
      <c r="BO131" s="165"/>
      <c r="BP131" s="192"/>
      <c r="BQ131" s="192"/>
      <c r="BR131" s="192"/>
      <c r="BS131" s="192"/>
      <c r="BT131" s="192"/>
    </row>
    <row r="132" spans="1:72" s="171" customFormat="1" x14ac:dyDescent="0.25">
      <c r="A132" s="196"/>
      <c r="B132" s="135"/>
      <c r="C132" s="135"/>
      <c r="D132" s="135"/>
      <c r="E132" s="135"/>
      <c r="BL132" s="165"/>
      <c r="BM132" s="165"/>
      <c r="BN132" s="165"/>
      <c r="BO132" s="165"/>
      <c r="BP132" s="192"/>
      <c r="BQ132" s="192"/>
      <c r="BR132" s="192"/>
      <c r="BS132" s="192"/>
      <c r="BT132" s="192"/>
    </row>
    <row r="133" spans="1:72" s="171" customFormat="1" x14ac:dyDescent="0.25">
      <c r="A133" s="196"/>
      <c r="B133" s="135"/>
      <c r="C133" s="135"/>
      <c r="D133" s="135"/>
      <c r="E133" s="135"/>
      <c r="BL133" s="165"/>
      <c r="BM133" s="165"/>
      <c r="BN133" s="165"/>
      <c r="BO133" s="165"/>
      <c r="BP133" s="192"/>
      <c r="BQ133" s="192"/>
      <c r="BR133" s="192"/>
      <c r="BS133" s="192"/>
      <c r="BT133" s="192"/>
    </row>
    <row r="134" spans="1:72" s="171" customFormat="1" x14ac:dyDescent="0.25">
      <c r="A134" s="196"/>
      <c r="B134" s="135"/>
      <c r="C134" s="135"/>
      <c r="D134" s="135"/>
      <c r="E134" s="135"/>
      <c r="BL134" s="165"/>
      <c r="BM134" s="165"/>
      <c r="BN134" s="165"/>
      <c r="BO134" s="165"/>
      <c r="BP134" s="192"/>
      <c r="BQ134" s="192"/>
      <c r="BR134" s="192"/>
      <c r="BS134" s="192"/>
      <c r="BT134" s="192"/>
    </row>
    <row r="135" spans="1:72" s="171" customFormat="1" x14ac:dyDescent="0.25">
      <c r="A135" s="196"/>
      <c r="B135" s="135"/>
      <c r="C135" s="135"/>
      <c r="D135" s="135"/>
      <c r="E135" s="135"/>
      <c r="BL135" s="165"/>
      <c r="BM135" s="165"/>
      <c r="BN135" s="165"/>
      <c r="BO135" s="165"/>
      <c r="BP135" s="192"/>
      <c r="BQ135" s="192"/>
      <c r="BR135" s="192"/>
      <c r="BS135" s="192"/>
      <c r="BT135" s="192"/>
    </row>
    <row r="136" spans="1:72" s="171" customFormat="1" x14ac:dyDescent="0.25">
      <c r="A136" s="196"/>
      <c r="B136" s="135"/>
      <c r="C136" s="135"/>
      <c r="D136" s="135"/>
      <c r="E136" s="135"/>
      <c r="BL136" s="165"/>
      <c r="BM136" s="165"/>
      <c r="BN136" s="165"/>
      <c r="BO136" s="165"/>
      <c r="BP136" s="192"/>
      <c r="BQ136" s="192"/>
      <c r="BR136" s="192"/>
      <c r="BS136" s="192"/>
      <c r="BT136" s="192"/>
    </row>
    <row r="137" spans="1:72" s="171" customFormat="1" x14ac:dyDescent="0.25">
      <c r="A137" s="196"/>
      <c r="B137" s="135"/>
      <c r="C137" s="135"/>
      <c r="D137" s="135"/>
      <c r="E137" s="135"/>
      <c r="BL137" s="165"/>
      <c r="BM137" s="165"/>
      <c r="BN137" s="165"/>
      <c r="BO137" s="165"/>
      <c r="BP137" s="192"/>
      <c r="BQ137" s="192"/>
      <c r="BR137" s="192"/>
      <c r="BS137" s="192"/>
      <c r="BT137" s="192"/>
    </row>
    <row r="138" spans="1:72" s="171" customFormat="1" x14ac:dyDescent="0.25">
      <c r="A138" s="196"/>
      <c r="B138" s="135"/>
      <c r="C138" s="135"/>
      <c r="D138" s="135"/>
      <c r="E138" s="135"/>
      <c r="BL138" s="165"/>
      <c r="BM138" s="165"/>
      <c r="BN138" s="165"/>
      <c r="BO138" s="165"/>
      <c r="BP138" s="192"/>
      <c r="BQ138" s="192"/>
      <c r="BR138" s="192"/>
      <c r="BS138" s="192"/>
      <c r="BT138" s="192"/>
    </row>
    <row r="139" spans="1:72" s="171" customFormat="1" x14ac:dyDescent="0.25">
      <c r="A139" s="196"/>
      <c r="B139" s="135"/>
      <c r="C139" s="135"/>
      <c r="D139" s="135"/>
      <c r="E139" s="135"/>
      <c r="BL139" s="165"/>
      <c r="BM139" s="165"/>
      <c r="BN139" s="165"/>
      <c r="BO139" s="165"/>
      <c r="BP139" s="192"/>
      <c r="BQ139" s="192"/>
      <c r="BR139" s="192"/>
      <c r="BS139" s="192"/>
      <c r="BT139" s="192"/>
    </row>
    <row r="140" spans="1:72" s="171" customFormat="1" x14ac:dyDescent="0.25">
      <c r="A140" s="196"/>
      <c r="B140" s="135"/>
      <c r="C140" s="135"/>
      <c r="D140" s="135"/>
      <c r="E140" s="135"/>
      <c r="BL140" s="165"/>
      <c r="BM140" s="165"/>
      <c r="BN140" s="165"/>
      <c r="BO140" s="165"/>
      <c r="BP140" s="192"/>
      <c r="BQ140" s="192"/>
      <c r="BR140" s="192"/>
      <c r="BS140" s="192"/>
      <c r="BT140" s="192"/>
    </row>
    <row r="141" spans="1:72" s="171" customFormat="1" x14ac:dyDescent="0.25">
      <c r="A141" s="196"/>
      <c r="B141" s="135"/>
      <c r="C141" s="135"/>
      <c r="D141" s="135"/>
      <c r="E141" s="135"/>
      <c r="BL141" s="165"/>
      <c r="BM141" s="165"/>
      <c r="BN141" s="165"/>
      <c r="BO141" s="165"/>
      <c r="BP141" s="192"/>
      <c r="BQ141" s="192"/>
      <c r="BR141" s="192"/>
      <c r="BS141" s="192"/>
      <c r="BT141" s="192"/>
    </row>
    <row r="142" spans="1:72" s="171" customFormat="1" x14ac:dyDescent="0.25">
      <c r="A142" s="196"/>
      <c r="B142" s="135"/>
      <c r="C142" s="135"/>
      <c r="D142" s="135"/>
      <c r="E142" s="135"/>
      <c r="BL142" s="165"/>
      <c r="BM142" s="165"/>
      <c r="BN142" s="165"/>
      <c r="BO142" s="165"/>
      <c r="BP142" s="192"/>
      <c r="BQ142" s="192"/>
      <c r="BR142" s="192"/>
      <c r="BS142" s="192"/>
      <c r="BT142" s="192"/>
    </row>
    <row r="143" spans="1:72" s="171" customFormat="1" x14ac:dyDescent="0.25">
      <c r="A143" s="196"/>
      <c r="B143" s="135"/>
      <c r="C143" s="135"/>
      <c r="D143" s="135"/>
      <c r="E143" s="135"/>
      <c r="BL143" s="165"/>
      <c r="BM143" s="165"/>
      <c r="BN143" s="165"/>
      <c r="BO143" s="165"/>
      <c r="BP143" s="192"/>
      <c r="BQ143" s="192"/>
      <c r="BR143" s="192"/>
      <c r="BS143" s="192"/>
      <c r="BT143" s="192"/>
    </row>
    <row r="144" spans="1:72" s="171" customFormat="1" x14ac:dyDescent="0.25">
      <c r="A144" s="196"/>
      <c r="B144" s="135"/>
      <c r="C144" s="135"/>
      <c r="D144" s="135"/>
      <c r="E144" s="135"/>
      <c r="BL144" s="165"/>
      <c r="BM144" s="165"/>
      <c r="BN144" s="165"/>
      <c r="BO144" s="165"/>
      <c r="BP144" s="192"/>
      <c r="BQ144" s="192"/>
      <c r="BR144" s="192"/>
      <c r="BS144" s="192"/>
      <c r="BT144" s="192"/>
    </row>
  </sheetData>
  <pageMargins left="0.75" right="0.75" top="1" bottom="1" header="0.5" footer="0.5"/>
  <pageSetup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T123"/>
  <sheetViews>
    <sheetView zoomScaleNormal="100" workbookViewId="0"/>
  </sheetViews>
  <sheetFormatPr defaultColWidth="9.140625" defaultRowHeight="15" x14ac:dyDescent="0.25"/>
  <cols>
    <col min="1" max="1" width="15" bestFit="1" customWidth="1"/>
    <col min="2" max="2" width="19.5703125" bestFit="1" customWidth="1"/>
    <col min="3" max="3" width="15" bestFit="1" customWidth="1"/>
    <col min="4" max="4" width="16.42578125" bestFit="1" customWidth="1"/>
    <col min="5" max="5" width="16" bestFit="1" customWidth="1"/>
    <col min="6" max="6" width="14" bestFit="1" customWidth="1"/>
    <col min="7" max="7" width="15.7109375" bestFit="1" customWidth="1"/>
    <col min="8" max="8" width="14" bestFit="1" customWidth="1"/>
    <col min="9" max="9" width="12.28515625" bestFit="1" customWidth="1"/>
    <col min="10" max="10" width="14.28515625" bestFit="1" customWidth="1"/>
    <col min="11" max="11" width="13.7109375" bestFit="1" customWidth="1"/>
    <col min="12" max="12" width="15" bestFit="1" customWidth="1"/>
    <col min="13" max="13" width="14" bestFit="1" customWidth="1"/>
    <col min="14" max="14" width="14.7109375" customWidth="1"/>
    <col min="15" max="15" width="15.28515625" customWidth="1"/>
    <col min="16" max="16" width="14.42578125" bestFit="1" customWidth="1"/>
    <col min="17" max="17" width="16" bestFit="1" customWidth="1"/>
    <col min="18" max="18" width="16.5703125" bestFit="1" customWidth="1"/>
    <col min="19" max="19" width="14.140625" bestFit="1" customWidth="1"/>
    <col min="20" max="20" width="15.7109375" bestFit="1" customWidth="1"/>
    <col min="21" max="21" width="16" bestFit="1" customWidth="1"/>
    <col min="22" max="22" width="14.42578125" bestFit="1" customWidth="1"/>
    <col min="23" max="23" width="16" bestFit="1" customWidth="1"/>
    <col min="24" max="24" width="16.5703125" bestFit="1" customWidth="1"/>
    <col min="25" max="25" width="14.140625" bestFit="1" customWidth="1"/>
    <col min="26" max="26" width="15.7109375" bestFit="1" customWidth="1"/>
    <col min="27" max="27" width="15.28515625" bestFit="1" customWidth="1"/>
    <col min="28" max="28" width="16.28515625" bestFit="1" customWidth="1"/>
    <col min="29" max="29" width="17.28515625" bestFit="1" customWidth="1"/>
    <col min="30" max="30" width="12.5703125" bestFit="1" customWidth="1"/>
    <col min="31" max="31" width="13.42578125" bestFit="1" customWidth="1"/>
    <col min="32" max="32" width="14" bestFit="1" customWidth="1"/>
    <col min="33" max="33" width="11.85546875" bestFit="1" customWidth="1"/>
    <col min="34" max="34" width="12.28515625" bestFit="1" customWidth="1"/>
    <col min="35" max="35" width="17" bestFit="1" customWidth="1"/>
    <col min="36" max="36" width="14.85546875" bestFit="1" customWidth="1"/>
    <col min="37" max="37" width="18.42578125" bestFit="1" customWidth="1"/>
    <col min="38" max="38" width="15.7109375" bestFit="1" customWidth="1"/>
    <col min="39" max="39" width="15.85546875" bestFit="1" customWidth="1"/>
    <col min="40" max="40" width="19" bestFit="1" customWidth="1"/>
    <col min="41" max="41" width="15.5703125" bestFit="1" customWidth="1"/>
    <col min="42" max="42" width="17.85546875" bestFit="1" customWidth="1"/>
    <col min="43" max="43" width="16.85546875" bestFit="1" customWidth="1"/>
    <col min="44" max="44" width="18" bestFit="1" customWidth="1"/>
    <col min="45" max="45" width="16.85546875" bestFit="1" customWidth="1"/>
    <col min="46" max="46" width="17" bestFit="1" customWidth="1"/>
    <col min="47" max="47" width="11.28515625" bestFit="1" customWidth="1"/>
    <col min="48" max="48" width="11.140625" bestFit="1" customWidth="1"/>
    <col min="49" max="49" width="16" bestFit="1" customWidth="1"/>
    <col min="50" max="50" width="14.7109375" bestFit="1" customWidth="1"/>
    <col min="51" max="51" width="15" bestFit="1" customWidth="1"/>
    <col min="52" max="52" width="16.140625" bestFit="1" customWidth="1"/>
    <col min="53" max="53" width="13.7109375" bestFit="1" customWidth="1"/>
    <col min="54" max="54" width="15.42578125" bestFit="1" customWidth="1"/>
    <col min="55" max="55" width="15.5703125" bestFit="1" customWidth="1"/>
    <col min="56" max="56" width="12.28515625" bestFit="1" customWidth="1"/>
    <col min="57" max="57" width="13.42578125" bestFit="1" customWidth="1"/>
    <col min="58" max="58" width="14.28515625" bestFit="1" customWidth="1"/>
    <col min="59" max="59" width="15.28515625" bestFit="1" customWidth="1"/>
    <col min="60" max="60" width="14.140625" bestFit="1" customWidth="1"/>
    <col min="61" max="61" width="13.5703125" bestFit="1" customWidth="1"/>
    <col min="62" max="62" width="14.42578125" bestFit="1" customWidth="1"/>
    <col min="63" max="63" width="13.140625" customWidth="1"/>
    <col min="64" max="64" width="20.28515625" bestFit="1" customWidth="1"/>
    <col min="65" max="65" width="19.7109375" bestFit="1" customWidth="1"/>
    <col min="66" max="66" width="15.5703125" bestFit="1" customWidth="1"/>
    <col min="67" max="67" width="10.28515625" bestFit="1" customWidth="1"/>
    <col min="68" max="68" width="15" bestFit="1" customWidth="1"/>
    <col min="69" max="69" width="13.42578125" bestFit="1" customWidth="1"/>
    <col min="70" max="70" width="15" bestFit="1" customWidth="1"/>
    <col min="71" max="71" width="16" bestFit="1" customWidth="1"/>
    <col min="72" max="72" width="15" bestFit="1" customWidth="1"/>
  </cols>
  <sheetData>
    <row r="1" spans="1:72" ht="56.25" customHeight="1" thickBot="1" x14ac:dyDescent="0.3">
      <c r="A1" s="7" t="s">
        <v>196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2" t="s">
        <v>5</v>
      </c>
      <c r="H1" s="12" t="s">
        <v>6</v>
      </c>
      <c r="I1" s="18" t="s">
        <v>7</v>
      </c>
      <c r="J1" s="12" t="s">
        <v>8</v>
      </c>
      <c r="K1" s="12" t="s">
        <v>9</v>
      </c>
      <c r="L1" s="12" t="s">
        <v>10</v>
      </c>
      <c r="M1" s="12" t="s">
        <v>11</v>
      </c>
      <c r="N1" s="12" t="s">
        <v>12</v>
      </c>
      <c r="O1" s="12" t="s">
        <v>13</v>
      </c>
      <c r="P1" s="12" t="s">
        <v>197</v>
      </c>
      <c r="Q1" s="12" t="s">
        <v>198</v>
      </c>
      <c r="R1" s="12" t="s">
        <v>199</v>
      </c>
      <c r="S1" s="12" t="s">
        <v>200</v>
      </c>
      <c r="T1" s="12" t="s">
        <v>201</v>
      </c>
      <c r="U1" s="12" t="s">
        <v>202</v>
      </c>
      <c r="V1" s="12" t="s">
        <v>203</v>
      </c>
      <c r="W1" s="12" t="s">
        <v>204</v>
      </c>
      <c r="X1" s="12" t="s">
        <v>205</v>
      </c>
      <c r="Y1" s="12" t="s">
        <v>206</v>
      </c>
      <c r="Z1" s="12" t="s">
        <v>207</v>
      </c>
      <c r="AA1" s="12" t="s">
        <v>208</v>
      </c>
      <c r="AB1" s="12" t="s">
        <v>209</v>
      </c>
      <c r="AC1" s="12" t="s">
        <v>210</v>
      </c>
      <c r="AD1" s="12" t="s">
        <v>14</v>
      </c>
      <c r="AE1" s="12" t="s">
        <v>15</v>
      </c>
      <c r="AF1" s="12" t="s">
        <v>16</v>
      </c>
      <c r="AG1" s="12" t="s">
        <v>17</v>
      </c>
      <c r="AH1" s="12" t="s">
        <v>18</v>
      </c>
      <c r="AI1" s="12" t="s">
        <v>19</v>
      </c>
      <c r="AJ1" s="12" t="s">
        <v>211</v>
      </c>
      <c r="AK1" s="12" t="s">
        <v>21</v>
      </c>
      <c r="AL1" s="12" t="s">
        <v>22</v>
      </c>
      <c r="AM1" s="12" t="s">
        <v>23</v>
      </c>
      <c r="AN1" s="12" t="s">
        <v>24</v>
      </c>
      <c r="AO1" s="12" t="s">
        <v>25</v>
      </c>
      <c r="AP1" s="12" t="s">
        <v>26</v>
      </c>
      <c r="AQ1" s="12" t="s">
        <v>27</v>
      </c>
      <c r="AR1" s="12" t="s">
        <v>28</v>
      </c>
      <c r="AS1" s="12" t="s">
        <v>29</v>
      </c>
      <c r="AT1" s="12" t="s">
        <v>30</v>
      </c>
      <c r="AU1" s="12" t="s">
        <v>31</v>
      </c>
      <c r="AV1" s="12" t="s">
        <v>32</v>
      </c>
      <c r="AW1" s="12" t="s">
        <v>33</v>
      </c>
      <c r="AX1" s="12" t="s">
        <v>34</v>
      </c>
      <c r="AY1" s="12" t="s">
        <v>35</v>
      </c>
      <c r="AZ1" s="12" t="s">
        <v>40</v>
      </c>
      <c r="BA1" s="12" t="s">
        <v>41</v>
      </c>
      <c r="BB1" s="12" t="s">
        <v>42</v>
      </c>
      <c r="BC1" s="12" t="s">
        <v>212</v>
      </c>
      <c r="BD1" s="12" t="s">
        <v>43</v>
      </c>
      <c r="BE1" s="12" t="s">
        <v>44</v>
      </c>
      <c r="BF1" s="12" t="s">
        <v>213</v>
      </c>
      <c r="BG1" s="12" t="s">
        <v>45</v>
      </c>
      <c r="BH1" s="12" t="s">
        <v>214</v>
      </c>
      <c r="BI1" s="12" t="s">
        <v>46</v>
      </c>
      <c r="BJ1" s="12" t="s">
        <v>47</v>
      </c>
      <c r="BK1" s="12" t="s">
        <v>48</v>
      </c>
      <c r="BL1" s="17" t="s">
        <v>49</v>
      </c>
      <c r="BM1" s="17" t="s">
        <v>50</v>
      </c>
      <c r="BN1" s="17" t="s">
        <v>51</v>
      </c>
      <c r="BO1" s="17"/>
      <c r="BP1" s="2"/>
      <c r="BQ1" s="2"/>
      <c r="BR1" s="2"/>
      <c r="BS1" s="2"/>
      <c r="BT1" s="2"/>
    </row>
    <row r="2" spans="1:72" x14ac:dyDescent="0.25">
      <c r="A2" s="8" t="s">
        <v>56</v>
      </c>
      <c r="B2" s="10">
        <v>270882350</v>
      </c>
      <c r="C2" s="10">
        <v>144171155</v>
      </c>
      <c r="D2" s="10">
        <v>78229400</v>
      </c>
      <c r="E2" s="10">
        <v>0</v>
      </c>
      <c r="F2" s="10">
        <v>32764700</v>
      </c>
      <c r="G2" s="10">
        <v>10660700</v>
      </c>
      <c r="H2" s="10">
        <v>16121700</v>
      </c>
      <c r="I2" s="10">
        <v>2570900</v>
      </c>
      <c r="J2" s="10">
        <v>62800</v>
      </c>
      <c r="K2" s="10">
        <v>0</v>
      </c>
      <c r="L2" s="10">
        <v>339264300</v>
      </c>
      <c r="M2" s="10">
        <v>0</v>
      </c>
      <c r="N2" s="10">
        <v>1627</v>
      </c>
      <c r="O2" s="10">
        <v>552</v>
      </c>
      <c r="P2" s="10">
        <v>3030700</v>
      </c>
      <c r="Q2" s="10">
        <v>1773000</v>
      </c>
      <c r="R2" s="10">
        <v>790000</v>
      </c>
      <c r="S2" s="10">
        <v>571500</v>
      </c>
      <c r="T2" s="10">
        <v>51600</v>
      </c>
      <c r="U2" s="10">
        <v>0</v>
      </c>
      <c r="V2" s="10">
        <v>3030700</v>
      </c>
      <c r="W2" s="10">
        <v>1773000</v>
      </c>
      <c r="X2" s="10">
        <v>790000</v>
      </c>
      <c r="Y2" s="10">
        <v>571500</v>
      </c>
      <c r="Z2" s="10">
        <v>51600</v>
      </c>
      <c r="AA2" s="10">
        <v>0</v>
      </c>
      <c r="AB2" s="10">
        <v>-3031000</v>
      </c>
      <c r="AC2" s="10">
        <v>0</v>
      </c>
      <c r="AD2" s="10">
        <v>110394</v>
      </c>
      <c r="AE2" s="10">
        <v>0</v>
      </c>
      <c r="AF2" s="10">
        <v>0</v>
      </c>
      <c r="AG2" s="10">
        <v>224737</v>
      </c>
      <c r="AH2" s="10">
        <v>6490777</v>
      </c>
      <c r="AI2" s="10">
        <v>231871</v>
      </c>
      <c r="AJ2" s="3"/>
      <c r="AK2" s="10">
        <v>93066280</v>
      </c>
      <c r="AL2" s="10">
        <v>2843355</v>
      </c>
      <c r="AM2" s="10">
        <v>1195500</v>
      </c>
      <c r="AN2" s="10">
        <v>13982506</v>
      </c>
      <c r="AO2" s="10">
        <v>144421</v>
      </c>
      <c r="AP2" s="10">
        <v>16390843</v>
      </c>
      <c r="AQ2" s="10">
        <v>16297273</v>
      </c>
      <c r="AR2" s="10">
        <v>19729645</v>
      </c>
      <c r="AS2" s="3"/>
      <c r="AT2" s="10">
        <v>96292</v>
      </c>
      <c r="AU2" s="3"/>
      <c r="AV2" s="3"/>
      <c r="AW2" s="10">
        <v>15352</v>
      </c>
      <c r="AX2" s="3"/>
      <c r="AY2" s="10">
        <v>295000</v>
      </c>
      <c r="AZ2" s="1">
        <v>5374563.9900000002</v>
      </c>
      <c r="BA2" s="1">
        <v>2848519</v>
      </c>
      <c r="BB2" s="19"/>
      <c r="BC2" s="15">
        <v>0</v>
      </c>
      <c r="BD2" s="15">
        <v>0</v>
      </c>
      <c r="BE2" s="20">
        <v>14784360</v>
      </c>
      <c r="BF2" s="20">
        <v>14784360</v>
      </c>
      <c r="BG2" s="20">
        <v>21838698</v>
      </c>
      <c r="BH2" s="20">
        <v>21838698</v>
      </c>
      <c r="BI2" s="19"/>
      <c r="BJ2" s="19"/>
      <c r="BK2" s="19"/>
      <c r="BL2" s="5">
        <v>665810965</v>
      </c>
      <c r="BM2" s="5">
        <v>530429753</v>
      </c>
      <c r="BN2" s="15">
        <v>280500</v>
      </c>
      <c r="BO2" s="3"/>
      <c r="BP2" s="1"/>
      <c r="BQ2" s="1"/>
      <c r="BR2" s="5"/>
      <c r="BS2" s="5"/>
      <c r="BT2" s="5"/>
    </row>
    <row r="3" spans="1:72" x14ac:dyDescent="0.25">
      <c r="A3" s="6" t="s">
        <v>57</v>
      </c>
      <c r="B3" s="10">
        <v>357906554</v>
      </c>
      <c r="C3" s="10">
        <v>138067110</v>
      </c>
      <c r="D3" s="10">
        <v>90109923</v>
      </c>
      <c r="E3" s="10">
        <v>6600000</v>
      </c>
      <c r="F3" s="10">
        <v>32760118</v>
      </c>
      <c r="G3" s="10">
        <v>10155018</v>
      </c>
      <c r="H3" s="10">
        <v>14593070</v>
      </c>
      <c r="I3" s="10">
        <v>1732350</v>
      </c>
      <c r="J3" s="10">
        <v>85800</v>
      </c>
      <c r="K3" s="10">
        <v>0</v>
      </c>
      <c r="L3" s="10">
        <v>220308321</v>
      </c>
      <c r="M3" s="10">
        <v>90528995</v>
      </c>
      <c r="N3" s="10">
        <v>1601</v>
      </c>
      <c r="O3" s="10">
        <v>417</v>
      </c>
      <c r="P3" s="10">
        <v>12055823</v>
      </c>
      <c r="Q3" s="10">
        <v>6651243</v>
      </c>
      <c r="R3" s="10">
        <v>4319460</v>
      </c>
      <c r="S3" s="10">
        <v>2096016</v>
      </c>
      <c r="T3" s="10">
        <v>733573</v>
      </c>
      <c r="U3" s="10">
        <v>105000</v>
      </c>
      <c r="V3" s="10">
        <v>12055823</v>
      </c>
      <c r="W3" s="10">
        <v>7034353</v>
      </c>
      <c r="X3" s="10">
        <v>4319460</v>
      </c>
      <c r="Y3" s="10">
        <v>2096016</v>
      </c>
      <c r="Z3" s="10">
        <v>1150178</v>
      </c>
      <c r="AA3" s="10">
        <v>105000</v>
      </c>
      <c r="AB3" s="10">
        <v>-3558575</v>
      </c>
      <c r="AC3" s="10">
        <v>-20417</v>
      </c>
      <c r="AD3" s="10">
        <v>188146</v>
      </c>
      <c r="AE3" s="10">
        <v>0</v>
      </c>
      <c r="AF3" s="10">
        <v>0</v>
      </c>
      <c r="AG3" s="10">
        <v>0</v>
      </c>
      <c r="AH3" s="10">
        <v>621553</v>
      </c>
      <c r="AI3" s="10">
        <v>139839</v>
      </c>
      <c r="AJ3" s="3"/>
      <c r="AK3" s="10">
        <v>94174670</v>
      </c>
      <c r="AL3" s="10">
        <v>5766277</v>
      </c>
      <c r="AM3" s="3"/>
      <c r="AN3" s="10">
        <v>24182498</v>
      </c>
      <c r="AO3" s="10">
        <v>1497745</v>
      </c>
      <c r="AP3" s="10">
        <v>94294209</v>
      </c>
      <c r="AQ3" s="10">
        <v>23826377</v>
      </c>
      <c r="AR3" s="10">
        <v>19730486</v>
      </c>
      <c r="AS3" s="10">
        <v>27734281</v>
      </c>
      <c r="AT3" s="3"/>
      <c r="AU3" s="3"/>
      <c r="AV3" s="3"/>
      <c r="AW3" s="3"/>
      <c r="AX3" s="10">
        <v>9644</v>
      </c>
      <c r="AY3" s="3"/>
      <c r="AZ3" s="1">
        <v>5438573.3499999996</v>
      </c>
      <c r="BA3" s="1">
        <v>2882444</v>
      </c>
      <c r="BB3" s="19"/>
      <c r="BC3" s="15">
        <v>0</v>
      </c>
      <c r="BD3" s="15">
        <v>0</v>
      </c>
      <c r="BE3" s="20">
        <v>8420725</v>
      </c>
      <c r="BF3" s="20">
        <v>8420725</v>
      </c>
      <c r="BG3" s="20">
        <v>25411283</v>
      </c>
      <c r="BH3" s="20">
        <v>25411283</v>
      </c>
      <c r="BI3" s="19"/>
      <c r="BJ3" s="19"/>
      <c r="BK3" s="19"/>
      <c r="BL3" s="5">
        <v>773006998</v>
      </c>
      <c r="BM3" s="5">
        <v>636351599</v>
      </c>
      <c r="BN3" s="15">
        <v>1532277</v>
      </c>
      <c r="BO3" s="3"/>
      <c r="BP3" s="1"/>
      <c r="BQ3" s="1"/>
      <c r="BR3" s="5"/>
      <c r="BS3" s="5"/>
      <c r="BT3" s="5"/>
    </row>
    <row r="4" spans="1:72" x14ac:dyDescent="0.25">
      <c r="A4" s="6" t="s">
        <v>58</v>
      </c>
      <c r="B4" s="10">
        <v>876943836</v>
      </c>
      <c r="C4" s="10">
        <v>201990880</v>
      </c>
      <c r="D4" s="10">
        <v>172716121</v>
      </c>
      <c r="E4" s="10">
        <v>0</v>
      </c>
      <c r="F4" s="10">
        <v>38569000</v>
      </c>
      <c r="G4" s="10">
        <v>6833700</v>
      </c>
      <c r="H4" s="10">
        <v>7441800</v>
      </c>
      <c r="I4" s="10">
        <v>1144500</v>
      </c>
      <c r="J4" s="10">
        <v>62800</v>
      </c>
      <c r="K4" s="10">
        <v>0</v>
      </c>
      <c r="L4" s="10">
        <v>150571464</v>
      </c>
      <c r="M4" s="10">
        <v>117446215</v>
      </c>
      <c r="N4" s="10">
        <v>1493</v>
      </c>
      <c r="O4" s="10">
        <v>262</v>
      </c>
      <c r="P4" s="10">
        <v>19868100</v>
      </c>
      <c r="Q4" s="10">
        <v>4456700</v>
      </c>
      <c r="R4" s="10">
        <v>6425000</v>
      </c>
      <c r="S4" s="10">
        <v>376000</v>
      </c>
      <c r="T4" s="10">
        <v>15000</v>
      </c>
      <c r="U4" s="10">
        <v>0</v>
      </c>
      <c r="V4" s="10">
        <v>19868100</v>
      </c>
      <c r="W4" s="10">
        <v>1126000</v>
      </c>
      <c r="X4" s="10">
        <v>6425000</v>
      </c>
      <c r="Y4" s="10">
        <v>376000</v>
      </c>
      <c r="Z4" s="10">
        <v>15000</v>
      </c>
      <c r="AA4" s="10">
        <v>0</v>
      </c>
      <c r="AB4" s="10">
        <v>-3378500</v>
      </c>
      <c r="AC4" s="10">
        <v>-632943</v>
      </c>
      <c r="AD4" s="10">
        <v>0</v>
      </c>
      <c r="AE4" s="10">
        <v>0</v>
      </c>
      <c r="AF4" s="10">
        <v>0</v>
      </c>
      <c r="AG4" s="10">
        <v>31227658</v>
      </c>
      <c r="AH4" s="3"/>
      <c r="AI4" s="10">
        <v>182210</v>
      </c>
      <c r="AJ4" s="3"/>
      <c r="AK4" s="10">
        <v>136399594</v>
      </c>
      <c r="AL4" s="10">
        <v>4421755</v>
      </c>
      <c r="AM4" s="3"/>
      <c r="AN4" s="10">
        <v>22005141</v>
      </c>
      <c r="AO4" s="10">
        <v>4875533</v>
      </c>
      <c r="AP4" s="10">
        <v>69744319</v>
      </c>
      <c r="AQ4" s="10">
        <v>25312884</v>
      </c>
      <c r="AR4" s="10">
        <v>20373491</v>
      </c>
      <c r="AS4" s="10">
        <v>25781927</v>
      </c>
      <c r="AT4" s="10">
        <v>418157</v>
      </c>
      <c r="AU4" s="3"/>
      <c r="AV4" s="3"/>
      <c r="AW4" s="10">
        <v>1228433</v>
      </c>
      <c r="AX4" s="10">
        <v>9595</v>
      </c>
      <c r="AY4" s="10">
        <v>96350</v>
      </c>
      <c r="AZ4" s="1">
        <v>7877056.5099999998</v>
      </c>
      <c r="BA4" s="1">
        <v>4174840</v>
      </c>
      <c r="BB4" s="19"/>
      <c r="BC4" s="15">
        <v>1217180</v>
      </c>
      <c r="BD4" s="15">
        <v>2296565</v>
      </c>
      <c r="BE4" s="20">
        <v>10468263</v>
      </c>
      <c r="BF4" s="20">
        <v>10468263</v>
      </c>
      <c r="BG4" s="20">
        <v>32552679</v>
      </c>
      <c r="BH4" s="20">
        <v>30154602</v>
      </c>
      <c r="BI4" s="19">
        <v>44538708</v>
      </c>
      <c r="BJ4" s="19"/>
      <c r="BK4" s="19"/>
      <c r="BL4" s="5">
        <v>1535401547</v>
      </c>
      <c r="BM4" s="5">
        <v>1304026605</v>
      </c>
      <c r="BN4" s="15">
        <v>973848</v>
      </c>
      <c r="BO4" s="3"/>
      <c r="BP4" s="1"/>
      <c r="BQ4" s="1"/>
      <c r="BR4" s="5"/>
      <c r="BS4" s="5"/>
      <c r="BT4" s="5"/>
    </row>
    <row r="5" spans="1:72" x14ac:dyDescent="0.25">
      <c r="A5" s="6" t="s">
        <v>59</v>
      </c>
      <c r="B5" s="10">
        <v>132124401</v>
      </c>
      <c r="C5" s="10">
        <v>94222931</v>
      </c>
      <c r="D5" s="10">
        <v>79003298.430000007</v>
      </c>
      <c r="E5" s="10">
        <v>0</v>
      </c>
      <c r="F5" s="10">
        <v>18063050</v>
      </c>
      <c r="G5" s="10">
        <v>4393312</v>
      </c>
      <c r="H5" s="10">
        <v>5087710</v>
      </c>
      <c r="I5" s="10">
        <v>562800</v>
      </c>
      <c r="J5" s="10">
        <v>14000</v>
      </c>
      <c r="K5" s="10">
        <v>0</v>
      </c>
      <c r="L5" s="10">
        <v>161599317</v>
      </c>
      <c r="M5" s="10">
        <v>34124953</v>
      </c>
      <c r="N5" s="10">
        <v>790</v>
      </c>
      <c r="O5" s="10">
        <v>179</v>
      </c>
      <c r="P5" s="10">
        <v>2048000</v>
      </c>
      <c r="Q5" s="10">
        <v>1287000</v>
      </c>
      <c r="R5" s="10">
        <v>280000</v>
      </c>
      <c r="S5" s="10">
        <v>153500</v>
      </c>
      <c r="T5" s="10">
        <v>15000</v>
      </c>
      <c r="U5" s="10">
        <v>1074800</v>
      </c>
      <c r="V5" s="10">
        <v>2048000</v>
      </c>
      <c r="W5" s="10">
        <v>1287000</v>
      </c>
      <c r="X5" s="10">
        <v>280000</v>
      </c>
      <c r="Y5" s="10">
        <v>153500</v>
      </c>
      <c r="Z5" s="10">
        <v>15000</v>
      </c>
      <c r="AA5" s="10">
        <v>1074800</v>
      </c>
      <c r="AB5" s="10">
        <v>-937241</v>
      </c>
      <c r="AC5" s="10">
        <v>0</v>
      </c>
      <c r="AD5" s="10">
        <v>141852</v>
      </c>
      <c r="AE5" s="10">
        <v>5968</v>
      </c>
      <c r="AF5" s="10">
        <v>7924</v>
      </c>
      <c r="AG5" s="10">
        <v>33690</v>
      </c>
      <c r="AH5" s="3"/>
      <c r="AI5" s="3"/>
      <c r="AJ5" s="3"/>
      <c r="AK5" s="10">
        <v>59362260</v>
      </c>
      <c r="AL5" s="10">
        <v>2497279</v>
      </c>
      <c r="AM5" s="10">
        <v>0</v>
      </c>
      <c r="AN5" s="10">
        <v>15205169</v>
      </c>
      <c r="AO5" s="10">
        <v>16980249</v>
      </c>
      <c r="AP5" s="10">
        <v>186180067</v>
      </c>
      <c r="AQ5" s="10">
        <v>16686868</v>
      </c>
      <c r="AR5" s="10">
        <v>9818692</v>
      </c>
      <c r="AS5" s="10">
        <v>3782492</v>
      </c>
      <c r="AT5" s="10">
        <v>352712</v>
      </c>
      <c r="AU5" s="10">
        <v>0</v>
      </c>
      <c r="AV5" s="10">
        <v>0</v>
      </c>
      <c r="AW5" s="10">
        <v>0</v>
      </c>
      <c r="AX5" s="10">
        <v>0</v>
      </c>
      <c r="AY5" s="10">
        <v>134950</v>
      </c>
      <c r="AZ5" s="1">
        <v>3428161.79</v>
      </c>
      <c r="BA5" s="1">
        <v>1816926</v>
      </c>
      <c r="BB5" s="19">
        <v>19884996.170000002</v>
      </c>
      <c r="BC5" s="15">
        <v>496188</v>
      </c>
      <c r="BD5" s="15">
        <v>936204</v>
      </c>
      <c r="BE5" s="20">
        <v>8389839</v>
      </c>
      <c r="BF5" s="20">
        <v>8389839</v>
      </c>
      <c r="BG5" s="20">
        <v>40590671</v>
      </c>
      <c r="BH5" s="20">
        <v>36768578</v>
      </c>
      <c r="BI5" s="19"/>
      <c r="BJ5" s="19"/>
      <c r="BK5" s="19"/>
      <c r="BL5" s="5">
        <v>463553986.43000001</v>
      </c>
      <c r="BM5" s="5">
        <v>354222916.43000001</v>
      </c>
      <c r="BN5" s="15">
        <v>2421573</v>
      </c>
      <c r="BO5" s="3"/>
      <c r="BP5" s="1"/>
      <c r="BQ5" s="1"/>
      <c r="BR5" s="5"/>
      <c r="BS5" s="5"/>
      <c r="BT5" s="5"/>
    </row>
    <row r="6" spans="1:72" x14ac:dyDescent="0.25">
      <c r="A6" s="6" t="s">
        <v>60</v>
      </c>
      <c r="B6" s="10">
        <v>985263981</v>
      </c>
      <c r="C6" s="10">
        <v>286838845</v>
      </c>
      <c r="D6" s="10">
        <v>435568622</v>
      </c>
      <c r="E6" s="10">
        <v>3899200</v>
      </c>
      <c r="F6" s="10">
        <v>83501479</v>
      </c>
      <c r="G6" s="10">
        <v>14028750</v>
      </c>
      <c r="H6" s="10">
        <v>22626025</v>
      </c>
      <c r="I6" s="10">
        <v>1691250</v>
      </c>
      <c r="J6" s="10">
        <v>219800</v>
      </c>
      <c r="K6" s="10">
        <v>31400</v>
      </c>
      <c r="L6" s="10">
        <v>292823922</v>
      </c>
      <c r="M6" s="10">
        <v>193343110</v>
      </c>
      <c r="N6" s="10">
        <v>3496</v>
      </c>
      <c r="O6" s="10">
        <v>544</v>
      </c>
      <c r="P6" s="10">
        <v>36087800</v>
      </c>
      <c r="Q6" s="10">
        <v>9302800</v>
      </c>
      <c r="R6" s="10">
        <v>13883900</v>
      </c>
      <c r="S6" s="10">
        <v>8149800</v>
      </c>
      <c r="T6" s="10">
        <v>9082015</v>
      </c>
      <c r="U6" s="10">
        <v>2819100</v>
      </c>
      <c r="V6" s="10">
        <v>36013800</v>
      </c>
      <c r="W6" s="10">
        <v>10477200</v>
      </c>
      <c r="X6" s="10">
        <v>13999800</v>
      </c>
      <c r="Y6" s="10">
        <v>8310100</v>
      </c>
      <c r="Z6" s="10">
        <v>5514418</v>
      </c>
      <c r="AA6" s="10">
        <v>2946500</v>
      </c>
      <c r="AB6" s="10">
        <v>-3653289</v>
      </c>
      <c r="AC6" s="10">
        <v>273648</v>
      </c>
      <c r="AD6" s="10">
        <v>21</v>
      </c>
      <c r="AE6" s="10">
        <v>0</v>
      </c>
      <c r="AF6" s="10">
        <v>0</v>
      </c>
      <c r="AG6" s="10">
        <v>265713</v>
      </c>
      <c r="AH6" s="10">
        <v>750989</v>
      </c>
      <c r="AI6" s="10">
        <v>441500</v>
      </c>
      <c r="AJ6" s="3"/>
      <c r="AK6" s="10">
        <v>240789253</v>
      </c>
      <c r="AL6" s="10">
        <v>10258655</v>
      </c>
      <c r="AM6" s="10">
        <v>2930115</v>
      </c>
      <c r="AN6" s="10">
        <v>77568341</v>
      </c>
      <c r="AO6" s="10">
        <v>14979103</v>
      </c>
      <c r="AP6" s="10">
        <v>378473114</v>
      </c>
      <c r="AQ6" s="10">
        <v>94311484</v>
      </c>
      <c r="AR6" s="10">
        <v>89688202</v>
      </c>
      <c r="AS6" s="10">
        <v>31172697</v>
      </c>
      <c r="AT6" s="3"/>
      <c r="AU6" s="10">
        <v>1742460</v>
      </c>
      <c r="AV6" s="10">
        <v>575495</v>
      </c>
      <c r="AW6" s="10">
        <v>13159065</v>
      </c>
      <c r="AX6" s="10">
        <v>554122</v>
      </c>
      <c r="AY6" s="10">
        <v>1139970</v>
      </c>
      <c r="AZ6" s="1">
        <v>13905543.970000001</v>
      </c>
      <c r="BA6" s="1">
        <v>7369938</v>
      </c>
      <c r="BB6" s="19"/>
      <c r="BC6" s="15">
        <v>938200</v>
      </c>
      <c r="BD6" s="15">
        <v>1770190</v>
      </c>
      <c r="BE6" s="20">
        <v>21003802</v>
      </c>
      <c r="BF6" s="20">
        <v>20480531</v>
      </c>
      <c r="BG6" s="20">
        <v>65468903</v>
      </c>
      <c r="BH6" s="20">
        <v>64332534</v>
      </c>
      <c r="BI6" s="19"/>
      <c r="BJ6" s="19">
        <v>24203577</v>
      </c>
      <c r="BK6" s="19"/>
      <c r="BL6" s="5">
        <v>2264095553</v>
      </c>
      <c r="BM6" s="5">
        <v>1895722865</v>
      </c>
      <c r="BN6" s="15">
        <v>5864122</v>
      </c>
      <c r="BO6" s="3"/>
      <c r="BP6" s="1"/>
      <c r="BQ6" s="1"/>
      <c r="BR6" s="5"/>
      <c r="BS6" s="5"/>
      <c r="BT6" s="5"/>
    </row>
    <row r="7" spans="1:72" x14ac:dyDescent="0.25">
      <c r="A7" s="6" t="s">
        <v>61</v>
      </c>
      <c r="B7" s="10">
        <v>161142676</v>
      </c>
      <c r="C7" s="10">
        <v>78746946</v>
      </c>
      <c r="D7" s="10">
        <v>31868100</v>
      </c>
      <c r="E7" s="10">
        <v>0</v>
      </c>
      <c r="F7" s="10">
        <v>18435800</v>
      </c>
      <c r="G7" s="10">
        <v>12288400</v>
      </c>
      <c r="H7" s="10">
        <v>5568800</v>
      </c>
      <c r="I7" s="10">
        <v>2087000</v>
      </c>
      <c r="J7" s="10">
        <v>0</v>
      </c>
      <c r="K7" s="10">
        <v>0</v>
      </c>
      <c r="L7" s="10">
        <v>117018172</v>
      </c>
      <c r="M7" s="10">
        <v>46761600</v>
      </c>
      <c r="N7" s="10">
        <v>841</v>
      </c>
      <c r="O7" s="10">
        <v>543</v>
      </c>
      <c r="P7" s="10">
        <v>4229200</v>
      </c>
      <c r="Q7" s="10">
        <v>641800</v>
      </c>
      <c r="R7" s="10">
        <v>1242500</v>
      </c>
      <c r="S7" s="10">
        <v>1918780</v>
      </c>
      <c r="T7" s="10">
        <v>593400</v>
      </c>
      <c r="U7" s="10">
        <v>102500</v>
      </c>
      <c r="V7" s="10">
        <v>4229200</v>
      </c>
      <c r="W7" s="10">
        <v>1214900</v>
      </c>
      <c r="X7" s="10">
        <v>1242500</v>
      </c>
      <c r="Y7" s="10">
        <v>1918780</v>
      </c>
      <c r="Z7" s="10">
        <v>997225</v>
      </c>
      <c r="AA7" s="10">
        <v>102500</v>
      </c>
      <c r="AB7" s="10">
        <v>-3187227</v>
      </c>
      <c r="AC7" s="10">
        <v>-23902</v>
      </c>
      <c r="AD7" s="10">
        <v>13</v>
      </c>
      <c r="AE7" s="10">
        <v>20596</v>
      </c>
      <c r="AF7" s="10">
        <v>18694700</v>
      </c>
      <c r="AG7" s="10">
        <v>144625</v>
      </c>
      <c r="AH7" s="3"/>
      <c r="AI7" s="3"/>
      <c r="AJ7" s="3"/>
      <c r="AK7" s="10">
        <v>58416271</v>
      </c>
      <c r="AL7" s="10">
        <v>1724428</v>
      </c>
      <c r="AM7" s="10">
        <v>0</v>
      </c>
      <c r="AN7" s="10">
        <v>9539695</v>
      </c>
      <c r="AO7" s="10">
        <v>230902</v>
      </c>
      <c r="AP7" s="10">
        <v>950094</v>
      </c>
      <c r="AQ7" s="10">
        <v>2949878</v>
      </c>
      <c r="AR7" s="10">
        <v>3405311</v>
      </c>
      <c r="AS7" s="10">
        <v>0</v>
      </c>
      <c r="AT7" s="10">
        <v>732803</v>
      </c>
      <c r="AU7" s="10">
        <v>0</v>
      </c>
      <c r="AV7" s="10">
        <v>0</v>
      </c>
      <c r="AW7" s="10">
        <v>92810</v>
      </c>
      <c r="AX7" s="10">
        <v>0</v>
      </c>
      <c r="AY7" s="10">
        <v>0</v>
      </c>
      <c r="AZ7" s="1">
        <v>3373531.07</v>
      </c>
      <c r="BA7" s="1">
        <v>1787971</v>
      </c>
      <c r="BB7" s="19"/>
      <c r="BC7" s="15">
        <v>0</v>
      </c>
      <c r="BD7" s="15">
        <v>0</v>
      </c>
      <c r="BE7" s="20">
        <v>16325834</v>
      </c>
      <c r="BF7" s="20">
        <v>16325834</v>
      </c>
      <c r="BG7" s="20">
        <v>32134633</v>
      </c>
      <c r="BH7" s="20">
        <v>32134633</v>
      </c>
      <c r="BI7" s="19"/>
      <c r="BJ7" s="19"/>
      <c r="BK7" s="19"/>
      <c r="BL7" s="5">
        <v>394867334</v>
      </c>
      <c r="BM7" s="5">
        <v>284478197</v>
      </c>
      <c r="BN7" s="15">
        <v>706500</v>
      </c>
      <c r="BO7" s="3"/>
      <c r="BP7" s="1"/>
      <c r="BQ7" s="1"/>
      <c r="BR7" s="5"/>
      <c r="BS7" s="5"/>
      <c r="BT7" s="5"/>
    </row>
    <row r="8" spans="1:72" x14ac:dyDescent="0.25">
      <c r="A8" s="6" t="s">
        <v>62</v>
      </c>
      <c r="B8" s="10">
        <v>421451375</v>
      </c>
      <c r="C8" s="10">
        <v>20024921</v>
      </c>
      <c r="D8" s="10">
        <v>197473171</v>
      </c>
      <c r="E8" s="10">
        <v>0</v>
      </c>
      <c r="F8" s="10">
        <v>59835700</v>
      </c>
      <c r="G8" s="10">
        <v>25501100</v>
      </c>
      <c r="H8" s="10">
        <v>3615200</v>
      </c>
      <c r="I8" s="10">
        <v>860000</v>
      </c>
      <c r="J8" s="10">
        <v>0</v>
      </c>
      <c r="K8" s="10">
        <v>0</v>
      </c>
      <c r="L8" s="10">
        <v>9575125</v>
      </c>
      <c r="M8" s="10">
        <v>0</v>
      </c>
      <c r="N8" s="10">
        <v>1047</v>
      </c>
      <c r="O8" s="10">
        <v>2399</v>
      </c>
      <c r="P8" s="10">
        <v>5114750</v>
      </c>
      <c r="Q8" s="10">
        <v>0</v>
      </c>
      <c r="R8" s="10">
        <v>185000</v>
      </c>
      <c r="S8" s="10">
        <v>1857400</v>
      </c>
      <c r="T8" s="10">
        <v>21200</v>
      </c>
      <c r="U8" s="10">
        <v>50000</v>
      </c>
      <c r="V8" s="10">
        <v>5114750</v>
      </c>
      <c r="W8" s="10">
        <v>0</v>
      </c>
      <c r="X8" s="10">
        <v>185000</v>
      </c>
      <c r="Y8" s="10">
        <v>1857400</v>
      </c>
      <c r="Z8" s="10">
        <v>21200</v>
      </c>
      <c r="AA8" s="10">
        <v>50000</v>
      </c>
      <c r="AB8" s="10">
        <v>-7865700</v>
      </c>
      <c r="AC8" s="10">
        <v>-202059</v>
      </c>
      <c r="AD8" s="10">
        <v>160626</v>
      </c>
      <c r="AE8" s="10">
        <v>0</v>
      </c>
      <c r="AF8" s="10">
        <v>0</v>
      </c>
      <c r="AG8" s="10">
        <v>0</v>
      </c>
      <c r="AH8" s="10">
        <v>9807060</v>
      </c>
      <c r="AI8" s="10">
        <v>58051822</v>
      </c>
      <c r="AJ8" s="10">
        <v>35577123</v>
      </c>
      <c r="AK8" s="10">
        <v>117617328</v>
      </c>
      <c r="AL8" s="10">
        <v>1159083</v>
      </c>
      <c r="AM8" s="10">
        <v>0</v>
      </c>
      <c r="AN8" s="10">
        <v>89014319</v>
      </c>
      <c r="AO8" s="10">
        <v>5203958</v>
      </c>
      <c r="AP8" s="10">
        <v>31959068</v>
      </c>
      <c r="AQ8" s="10">
        <v>40803022</v>
      </c>
      <c r="AR8" s="10">
        <v>14762845</v>
      </c>
      <c r="AS8" s="10">
        <v>489239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89000</v>
      </c>
      <c r="AZ8" s="1">
        <v>6792383.4100000001</v>
      </c>
      <c r="BA8" s="1">
        <v>3599963</v>
      </c>
      <c r="BB8" s="19"/>
      <c r="BC8" s="15">
        <v>5856538</v>
      </c>
      <c r="BD8" s="15">
        <v>11050072</v>
      </c>
      <c r="BE8" s="20">
        <v>32523772</v>
      </c>
      <c r="BF8" s="20">
        <v>32523772</v>
      </c>
      <c r="BG8" s="20">
        <v>56685781</v>
      </c>
      <c r="BH8" s="20">
        <v>51466154</v>
      </c>
      <c r="BI8" s="19"/>
      <c r="BJ8" s="19"/>
      <c r="BK8" s="19"/>
      <c r="BL8" s="5">
        <v>1089629609</v>
      </c>
      <c r="BM8" s="5">
        <v>877406771</v>
      </c>
      <c r="BN8" s="15">
        <v>2466300</v>
      </c>
      <c r="BO8" s="3"/>
      <c r="BP8" s="1"/>
      <c r="BQ8" s="1"/>
      <c r="BR8" s="5"/>
      <c r="BS8" s="5"/>
      <c r="BT8" s="5"/>
    </row>
    <row r="9" spans="1:72" x14ac:dyDescent="0.25">
      <c r="A9" s="6" t="s">
        <v>63</v>
      </c>
      <c r="B9" s="10">
        <v>5756033793</v>
      </c>
      <c r="C9" s="10">
        <v>257461937</v>
      </c>
      <c r="D9" s="10">
        <v>3974778989</v>
      </c>
      <c r="E9" s="10">
        <v>96770154</v>
      </c>
      <c r="F9" s="10">
        <v>158822480</v>
      </c>
      <c r="G9" s="10">
        <v>15962330</v>
      </c>
      <c r="H9" s="10">
        <v>11166005</v>
      </c>
      <c r="I9" s="10">
        <v>479700</v>
      </c>
      <c r="J9" s="10">
        <v>634400</v>
      </c>
      <c r="K9" s="10">
        <v>62800</v>
      </c>
      <c r="L9" s="10">
        <v>819239340</v>
      </c>
      <c r="M9" s="10">
        <v>244717220</v>
      </c>
      <c r="N9" s="10">
        <v>5556</v>
      </c>
      <c r="O9" s="10">
        <v>553</v>
      </c>
      <c r="P9" s="10">
        <v>226715654</v>
      </c>
      <c r="Q9" s="10">
        <v>2365890</v>
      </c>
      <c r="R9" s="10">
        <v>90194430</v>
      </c>
      <c r="S9" s="10">
        <v>17485373</v>
      </c>
      <c r="T9" s="10">
        <v>1460480</v>
      </c>
      <c r="U9" s="10">
        <v>72382441</v>
      </c>
      <c r="V9" s="10">
        <v>226715654</v>
      </c>
      <c r="W9" s="10">
        <v>1688460</v>
      </c>
      <c r="X9" s="10">
        <v>90194430</v>
      </c>
      <c r="Y9" s="10">
        <v>17485373</v>
      </c>
      <c r="Z9" s="10">
        <v>10750226</v>
      </c>
      <c r="AA9" s="10">
        <v>72382441</v>
      </c>
      <c r="AB9" s="10">
        <v>-49767923</v>
      </c>
      <c r="AC9" s="10">
        <v>-69961575</v>
      </c>
      <c r="AD9" s="10">
        <v>225</v>
      </c>
      <c r="AE9" s="10">
        <v>0</v>
      </c>
      <c r="AF9" s="10">
        <v>0</v>
      </c>
      <c r="AG9" s="10">
        <v>87740</v>
      </c>
      <c r="AH9" s="3"/>
      <c r="AI9" s="10">
        <v>1045032</v>
      </c>
      <c r="AJ9" s="3"/>
      <c r="AK9" s="10">
        <v>905804187</v>
      </c>
      <c r="AL9" s="10">
        <v>17072196</v>
      </c>
      <c r="AM9" s="10">
        <v>179500</v>
      </c>
      <c r="AN9" s="10">
        <v>555192795</v>
      </c>
      <c r="AO9" s="10">
        <v>20552827</v>
      </c>
      <c r="AP9" s="10">
        <v>816554339</v>
      </c>
      <c r="AQ9" s="10">
        <v>724429782</v>
      </c>
      <c r="AR9" s="10">
        <v>355688216</v>
      </c>
      <c r="AS9" s="10">
        <v>840019351</v>
      </c>
      <c r="AT9" s="10">
        <v>486240165</v>
      </c>
      <c r="AU9" s="10">
        <v>11993064</v>
      </c>
      <c r="AV9" s="3"/>
      <c r="AW9" s="10">
        <v>16935754</v>
      </c>
      <c r="AX9" s="10">
        <v>653530</v>
      </c>
      <c r="AY9" s="10">
        <v>47481482</v>
      </c>
      <c r="AZ9" s="1">
        <v>52310058.68</v>
      </c>
      <c r="BA9" s="1">
        <v>27724331</v>
      </c>
      <c r="BB9" s="19">
        <v>25406355.870000001</v>
      </c>
      <c r="BC9" s="15">
        <v>880481</v>
      </c>
      <c r="BD9" s="15">
        <v>1661284</v>
      </c>
      <c r="BE9" s="20">
        <v>202865611</v>
      </c>
      <c r="BF9" s="20">
        <v>202865611</v>
      </c>
      <c r="BG9" s="20">
        <v>680960059</v>
      </c>
      <c r="BH9" s="20">
        <v>449870254</v>
      </c>
      <c r="BI9" s="19"/>
      <c r="BJ9" s="19"/>
      <c r="BK9" s="19"/>
      <c r="BL9" s="5">
        <v>12893712215</v>
      </c>
      <c r="BM9" s="5">
        <v>11289495155</v>
      </c>
      <c r="BN9" s="15">
        <v>12456360</v>
      </c>
      <c r="BO9" s="3"/>
      <c r="BP9" s="1"/>
      <c r="BQ9" s="1"/>
      <c r="BR9" s="5"/>
      <c r="BS9" s="5"/>
      <c r="BT9" s="5"/>
    </row>
    <row r="10" spans="1:72" x14ac:dyDescent="0.25">
      <c r="A10" s="6" t="s">
        <v>64</v>
      </c>
      <c r="B10" s="10">
        <v>544756010</v>
      </c>
      <c r="C10" s="10">
        <v>288144835</v>
      </c>
      <c r="D10" s="10">
        <v>155923615</v>
      </c>
      <c r="E10" s="10">
        <v>0</v>
      </c>
      <c r="F10" s="10">
        <v>38298000</v>
      </c>
      <c r="G10" s="10">
        <v>5783100</v>
      </c>
      <c r="H10" s="10">
        <v>7462700</v>
      </c>
      <c r="I10" s="10">
        <v>628000</v>
      </c>
      <c r="J10" s="10">
        <v>188400</v>
      </c>
      <c r="K10" s="10">
        <v>0</v>
      </c>
      <c r="L10" s="10">
        <v>649269745</v>
      </c>
      <c r="M10" s="10">
        <v>163353800</v>
      </c>
      <c r="N10" s="10">
        <v>1482</v>
      </c>
      <c r="O10" s="10">
        <v>208</v>
      </c>
      <c r="P10" s="10">
        <v>10850500</v>
      </c>
      <c r="Q10" s="10">
        <v>5316000</v>
      </c>
      <c r="R10" s="10">
        <v>2173000</v>
      </c>
      <c r="S10" s="10">
        <v>15000</v>
      </c>
      <c r="T10" s="10">
        <v>871000</v>
      </c>
      <c r="U10" s="10">
        <v>100000</v>
      </c>
      <c r="V10" s="10">
        <v>10850500</v>
      </c>
      <c r="W10" s="10">
        <v>5316000</v>
      </c>
      <c r="X10" s="10">
        <v>2173000</v>
      </c>
      <c r="Y10" s="10">
        <v>15000</v>
      </c>
      <c r="Z10" s="10">
        <v>846000</v>
      </c>
      <c r="AA10" s="10">
        <v>100000</v>
      </c>
      <c r="AB10" s="10">
        <v>-3208600</v>
      </c>
      <c r="AC10" s="10">
        <v>-932675</v>
      </c>
      <c r="AD10" s="10">
        <v>0</v>
      </c>
      <c r="AE10" s="10">
        <v>0</v>
      </c>
      <c r="AF10" s="10">
        <v>0</v>
      </c>
      <c r="AG10" s="10">
        <v>176161</v>
      </c>
      <c r="AH10" s="3"/>
      <c r="AI10" s="10">
        <v>398032</v>
      </c>
      <c r="AJ10" s="3"/>
      <c r="AK10" s="10">
        <v>142515262</v>
      </c>
      <c r="AL10" s="10">
        <v>2627393</v>
      </c>
      <c r="AM10" s="3"/>
      <c r="AN10" s="10">
        <v>38907180</v>
      </c>
      <c r="AO10" s="10">
        <v>13046751</v>
      </c>
      <c r="AP10" s="10">
        <v>173598573</v>
      </c>
      <c r="AQ10" s="10">
        <v>32675847</v>
      </c>
      <c r="AR10" s="10">
        <v>41023515</v>
      </c>
      <c r="AS10" s="3"/>
      <c r="AT10" s="10">
        <v>165522895</v>
      </c>
      <c r="AU10" s="3"/>
      <c r="AV10" s="3"/>
      <c r="AW10" s="10">
        <v>59607</v>
      </c>
      <c r="AX10" s="10">
        <v>5194</v>
      </c>
      <c r="AY10" s="10">
        <v>10000</v>
      </c>
      <c r="AZ10" s="1">
        <v>8230235.4400000004</v>
      </c>
      <c r="BA10" s="1">
        <v>4362025</v>
      </c>
      <c r="BB10" s="19"/>
      <c r="BC10" s="15">
        <v>1700204</v>
      </c>
      <c r="BD10" s="15">
        <v>3207931</v>
      </c>
      <c r="BE10" s="20">
        <v>10675639</v>
      </c>
      <c r="BF10" s="20">
        <v>10675639</v>
      </c>
      <c r="BG10" s="20">
        <v>37313934</v>
      </c>
      <c r="BH10" s="20">
        <v>34224624</v>
      </c>
      <c r="BI10" s="19"/>
      <c r="BJ10" s="19"/>
      <c r="BK10" s="19"/>
      <c r="BL10" s="5">
        <v>1269957417</v>
      </c>
      <c r="BM10" s="5">
        <v>1073852270</v>
      </c>
      <c r="BN10" s="15">
        <v>1394630</v>
      </c>
      <c r="BO10" s="3"/>
      <c r="BP10" s="1"/>
      <c r="BQ10" s="1"/>
      <c r="BR10" s="5"/>
      <c r="BS10" s="5"/>
      <c r="BT10" s="5"/>
    </row>
    <row r="11" spans="1:72" x14ac:dyDescent="0.25">
      <c r="A11" s="6" t="s">
        <v>65</v>
      </c>
      <c r="B11" s="10">
        <v>1040519385</v>
      </c>
      <c r="C11" s="10">
        <v>69275910</v>
      </c>
      <c r="D11" s="10">
        <v>564617324</v>
      </c>
      <c r="E11" s="10">
        <v>0</v>
      </c>
      <c r="F11" s="10">
        <v>122559460</v>
      </c>
      <c r="G11" s="10">
        <v>27881600</v>
      </c>
      <c r="H11" s="10">
        <v>6403900</v>
      </c>
      <c r="I11" s="10">
        <v>1263800</v>
      </c>
      <c r="J11" s="10">
        <v>468100</v>
      </c>
      <c r="K11" s="10">
        <v>21100</v>
      </c>
      <c r="L11" s="10">
        <v>33069300</v>
      </c>
      <c r="M11" s="10">
        <v>59342000</v>
      </c>
      <c r="N11" s="10">
        <v>4430</v>
      </c>
      <c r="O11" s="10">
        <v>1019</v>
      </c>
      <c r="P11" s="10">
        <v>9537700</v>
      </c>
      <c r="Q11" s="10">
        <v>2815500</v>
      </c>
      <c r="R11" s="10">
        <v>8577900</v>
      </c>
      <c r="S11" s="10">
        <v>2789250</v>
      </c>
      <c r="T11" s="10">
        <v>188600</v>
      </c>
      <c r="U11" s="10">
        <v>4726700</v>
      </c>
      <c r="V11" s="10">
        <v>9921100</v>
      </c>
      <c r="W11" s="10">
        <v>6311000</v>
      </c>
      <c r="X11" s="10">
        <v>8577900</v>
      </c>
      <c r="Y11" s="10">
        <v>2792250</v>
      </c>
      <c r="Z11" s="10">
        <v>195600</v>
      </c>
      <c r="AA11" s="10">
        <v>4655700</v>
      </c>
      <c r="AB11" s="10">
        <v>-20458098</v>
      </c>
      <c r="AC11" s="10">
        <v>-13734712</v>
      </c>
      <c r="AD11" s="10">
        <v>20757</v>
      </c>
      <c r="AE11" s="10">
        <v>0</v>
      </c>
      <c r="AF11" s="10">
        <v>0</v>
      </c>
      <c r="AG11" s="10">
        <v>6574</v>
      </c>
      <c r="AH11" s="10">
        <v>62897</v>
      </c>
      <c r="AI11" s="10">
        <v>5580980</v>
      </c>
      <c r="AJ11" s="10">
        <v>301000</v>
      </c>
      <c r="AK11" s="10">
        <v>311159279</v>
      </c>
      <c r="AL11" s="10">
        <v>6807627</v>
      </c>
      <c r="AM11" s="10">
        <v>44000</v>
      </c>
      <c r="AN11" s="10">
        <v>129338906</v>
      </c>
      <c r="AO11" s="10">
        <v>10686583</v>
      </c>
      <c r="AP11" s="10">
        <v>419186488</v>
      </c>
      <c r="AQ11" s="10">
        <v>116741387</v>
      </c>
      <c r="AR11" s="10">
        <v>191164878</v>
      </c>
      <c r="AS11" s="10">
        <v>26402155</v>
      </c>
      <c r="AT11" s="10">
        <v>1161484381</v>
      </c>
      <c r="AU11" s="3"/>
      <c r="AV11" s="3"/>
      <c r="AW11" s="3"/>
      <c r="AX11" s="3"/>
      <c r="AY11" s="3"/>
      <c r="AZ11" s="1">
        <v>17969402.629999999</v>
      </c>
      <c r="BA11" s="1">
        <v>9523783</v>
      </c>
      <c r="BB11" s="19">
        <v>12037296.83</v>
      </c>
      <c r="BC11" s="15">
        <v>4785177</v>
      </c>
      <c r="BD11" s="15">
        <v>9028636</v>
      </c>
      <c r="BE11" s="20">
        <v>43686418</v>
      </c>
      <c r="BF11" s="20">
        <v>43686418</v>
      </c>
      <c r="BG11" s="20">
        <v>99066155</v>
      </c>
      <c r="BH11" s="20">
        <v>96042824</v>
      </c>
      <c r="BI11" s="19"/>
      <c r="BJ11" s="19"/>
      <c r="BK11" s="19"/>
      <c r="BL11" s="5">
        <v>2409129480</v>
      </c>
      <c r="BM11" s="5">
        <v>1937124372</v>
      </c>
      <c r="BN11" s="15">
        <v>5424300</v>
      </c>
      <c r="BO11" s="3"/>
      <c r="BP11" s="1"/>
      <c r="BQ11" s="1"/>
      <c r="BR11" s="5"/>
      <c r="BS11" s="5"/>
      <c r="BT11" s="5"/>
    </row>
    <row r="12" spans="1:72" x14ac:dyDescent="0.25">
      <c r="A12" s="6" t="s">
        <v>66</v>
      </c>
      <c r="B12" s="10">
        <v>984909116</v>
      </c>
      <c r="C12" s="10">
        <v>157704035</v>
      </c>
      <c r="D12" s="10">
        <v>405429150</v>
      </c>
      <c r="E12" s="10">
        <v>0</v>
      </c>
      <c r="F12" s="10">
        <v>68450100</v>
      </c>
      <c r="G12" s="10">
        <v>10132900</v>
      </c>
      <c r="H12" s="10">
        <v>7525000</v>
      </c>
      <c r="I12" s="10">
        <v>942000</v>
      </c>
      <c r="J12" s="10">
        <v>134600</v>
      </c>
      <c r="K12" s="10">
        <v>0</v>
      </c>
      <c r="L12" s="10">
        <v>208671298</v>
      </c>
      <c r="M12" s="10">
        <v>129741200</v>
      </c>
      <c r="N12" s="10">
        <v>2490</v>
      </c>
      <c r="O12" s="10">
        <v>373</v>
      </c>
      <c r="P12" s="10">
        <v>20272500</v>
      </c>
      <c r="Q12" s="10">
        <v>3278000</v>
      </c>
      <c r="R12" s="10">
        <v>10081500</v>
      </c>
      <c r="S12" s="10">
        <v>2737900</v>
      </c>
      <c r="T12" s="10">
        <v>50000</v>
      </c>
      <c r="U12" s="10">
        <v>2640000</v>
      </c>
      <c r="V12" s="10">
        <v>20272500</v>
      </c>
      <c r="W12" s="10">
        <v>3278000</v>
      </c>
      <c r="X12" s="10">
        <v>10081500</v>
      </c>
      <c r="Y12" s="10">
        <v>2737900</v>
      </c>
      <c r="Z12" s="10">
        <v>70000</v>
      </c>
      <c r="AA12" s="10">
        <v>2640000</v>
      </c>
      <c r="AB12" s="10">
        <v>-1956000</v>
      </c>
      <c r="AC12" s="10">
        <v>-73552</v>
      </c>
      <c r="AD12" s="10">
        <v>14818</v>
      </c>
      <c r="AE12" s="10">
        <v>0</v>
      </c>
      <c r="AF12" s="10">
        <v>0</v>
      </c>
      <c r="AG12" s="10">
        <v>99046</v>
      </c>
      <c r="AH12" s="3"/>
      <c r="AI12" s="10">
        <v>119250</v>
      </c>
      <c r="AJ12" s="3"/>
      <c r="AK12" s="10">
        <v>158576746</v>
      </c>
      <c r="AL12" s="10">
        <v>5162347</v>
      </c>
      <c r="AM12" s="10">
        <v>0</v>
      </c>
      <c r="AN12" s="10">
        <v>96920929</v>
      </c>
      <c r="AO12" s="10">
        <v>12163614</v>
      </c>
      <c r="AP12" s="10">
        <v>269775159</v>
      </c>
      <c r="AQ12" s="10">
        <v>62192354</v>
      </c>
      <c r="AR12" s="10">
        <v>60093056</v>
      </c>
      <c r="AS12" s="10">
        <v>105691213</v>
      </c>
      <c r="AT12" s="10">
        <v>715663</v>
      </c>
      <c r="AU12" s="10">
        <v>74280</v>
      </c>
      <c r="AV12" s="10">
        <v>0</v>
      </c>
      <c r="AW12" s="10">
        <v>469825</v>
      </c>
      <c r="AX12" s="10">
        <v>20359</v>
      </c>
      <c r="AY12" s="10">
        <v>4064662</v>
      </c>
      <c r="AZ12" s="1">
        <v>9157783.7799999993</v>
      </c>
      <c r="BA12" s="1">
        <v>4853625</v>
      </c>
      <c r="BB12" s="19"/>
      <c r="BC12" s="15">
        <v>2256137</v>
      </c>
      <c r="BD12" s="15">
        <v>4256862</v>
      </c>
      <c r="BE12" s="20">
        <v>31278790</v>
      </c>
      <c r="BF12" s="20">
        <v>31278790</v>
      </c>
      <c r="BG12" s="20">
        <v>51038471</v>
      </c>
      <c r="BH12" s="20">
        <v>47350361</v>
      </c>
      <c r="BI12" s="19"/>
      <c r="BJ12" s="19"/>
      <c r="BK12" s="19"/>
      <c r="BL12" s="5">
        <v>1968916454</v>
      </c>
      <c r="BM12" s="5">
        <v>1719438448</v>
      </c>
      <c r="BN12" s="15">
        <v>2920000</v>
      </c>
      <c r="BO12" s="3"/>
      <c r="BP12" s="1"/>
      <c r="BQ12" s="1"/>
      <c r="BR12" s="5"/>
      <c r="BS12" s="5"/>
      <c r="BT12" s="5"/>
    </row>
    <row r="13" spans="1:72" x14ac:dyDescent="0.25">
      <c r="A13" s="6" t="s">
        <v>67</v>
      </c>
      <c r="B13" s="10">
        <v>136622894</v>
      </c>
      <c r="C13" s="10">
        <v>91630416</v>
      </c>
      <c r="D13" s="10">
        <v>24815831</v>
      </c>
      <c r="E13" s="10">
        <v>0</v>
      </c>
      <c r="F13" s="10">
        <v>13553700</v>
      </c>
      <c r="G13" s="10">
        <v>3131500</v>
      </c>
      <c r="H13" s="10">
        <v>6159100</v>
      </c>
      <c r="I13" s="10">
        <v>613300</v>
      </c>
      <c r="J13" s="10">
        <v>31400</v>
      </c>
      <c r="K13" s="10">
        <v>0</v>
      </c>
      <c r="L13" s="10">
        <v>45974327</v>
      </c>
      <c r="M13" s="10">
        <v>44452765</v>
      </c>
      <c r="N13" s="10">
        <v>678</v>
      </c>
      <c r="O13" s="10">
        <v>139</v>
      </c>
      <c r="P13" s="10">
        <v>3721186</v>
      </c>
      <c r="Q13" s="10">
        <v>1479942</v>
      </c>
      <c r="R13" s="10">
        <v>35000</v>
      </c>
      <c r="S13" s="10">
        <v>1423075</v>
      </c>
      <c r="T13" s="10">
        <v>148736</v>
      </c>
      <c r="U13" s="10">
        <v>310800</v>
      </c>
      <c r="V13" s="10">
        <v>3721186</v>
      </c>
      <c r="W13" s="10">
        <v>1516382</v>
      </c>
      <c r="X13" s="10">
        <v>35000</v>
      </c>
      <c r="Y13" s="10">
        <v>1423075</v>
      </c>
      <c r="Z13" s="10">
        <v>148736</v>
      </c>
      <c r="AA13" s="10">
        <v>310800</v>
      </c>
      <c r="AB13" s="10">
        <v>-1573259</v>
      </c>
      <c r="AC13" s="10">
        <v>-12932</v>
      </c>
      <c r="AD13" s="10">
        <v>0</v>
      </c>
      <c r="AE13" s="10">
        <v>0</v>
      </c>
      <c r="AF13" s="10">
        <v>0</v>
      </c>
      <c r="AG13" s="10">
        <v>116798</v>
      </c>
      <c r="AH13" s="3"/>
      <c r="AI13" s="3"/>
      <c r="AJ13" s="3"/>
      <c r="AK13" s="10">
        <v>47897596</v>
      </c>
      <c r="AL13" s="10">
        <v>972467</v>
      </c>
      <c r="AM13" s="3"/>
      <c r="AN13" s="10">
        <v>3734777</v>
      </c>
      <c r="AO13" s="10">
        <v>6699</v>
      </c>
      <c r="AP13" s="10">
        <v>23664746</v>
      </c>
      <c r="AQ13" s="10">
        <v>4573569</v>
      </c>
      <c r="AR13" s="10">
        <v>5246854</v>
      </c>
      <c r="AS13" s="10">
        <v>3708217</v>
      </c>
      <c r="AT13" s="10">
        <v>157494</v>
      </c>
      <c r="AU13" s="3"/>
      <c r="AV13" s="3"/>
      <c r="AW13" s="3"/>
      <c r="AX13" s="3"/>
      <c r="AY13" s="3"/>
      <c r="AZ13" s="1">
        <v>2766079.13</v>
      </c>
      <c r="BA13" s="1">
        <v>1466022</v>
      </c>
      <c r="BB13" s="19">
        <v>12098255.189999999</v>
      </c>
      <c r="BC13" s="15">
        <v>1103765</v>
      </c>
      <c r="BD13" s="15">
        <v>2082576</v>
      </c>
      <c r="BE13" s="20">
        <v>9195773</v>
      </c>
      <c r="BF13" s="20">
        <v>9195773</v>
      </c>
      <c r="BG13" s="20">
        <v>26241239</v>
      </c>
      <c r="BH13" s="20">
        <v>22122527</v>
      </c>
      <c r="BI13" s="19"/>
      <c r="BJ13" s="19"/>
      <c r="BK13" s="19"/>
      <c r="BL13" s="5">
        <v>344142336</v>
      </c>
      <c r="BM13" s="5">
        <v>261384186</v>
      </c>
      <c r="BN13" s="15">
        <v>259740</v>
      </c>
      <c r="BO13" s="3"/>
      <c r="BP13" s="1"/>
      <c r="BQ13" s="1"/>
      <c r="BR13" s="5"/>
      <c r="BS13" s="5"/>
      <c r="BT13" s="5"/>
    </row>
    <row r="14" spans="1:72" x14ac:dyDescent="0.25">
      <c r="A14" s="6" t="s">
        <v>68</v>
      </c>
      <c r="B14" s="10">
        <v>130418260</v>
      </c>
      <c r="C14" s="10">
        <v>76939081</v>
      </c>
      <c r="D14" s="10">
        <v>54284201</v>
      </c>
      <c r="E14" s="10">
        <v>0</v>
      </c>
      <c r="F14" s="10">
        <v>16739370</v>
      </c>
      <c r="G14" s="10">
        <v>26153140</v>
      </c>
      <c r="H14" s="10">
        <v>9631693</v>
      </c>
      <c r="I14" s="10">
        <v>9223287</v>
      </c>
      <c r="J14" s="10">
        <v>62800</v>
      </c>
      <c r="K14" s="10">
        <v>183800</v>
      </c>
      <c r="L14" s="10">
        <v>33680067</v>
      </c>
      <c r="M14" s="10">
        <v>0</v>
      </c>
      <c r="N14" s="10">
        <v>986</v>
      </c>
      <c r="O14" s="10">
        <v>1440</v>
      </c>
      <c r="P14" s="10">
        <v>1762300</v>
      </c>
      <c r="Q14" s="10">
        <v>45000</v>
      </c>
      <c r="R14" s="10">
        <v>0</v>
      </c>
      <c r="S14" s="10">
        <v>908820</v>
      </c>
      <c r="T14" s="10">
        <v>330050</v>
      </c>
      <c r="U14" s="10">
        <v>67600</v>
      </c>
      <c r="V14" s="10">
        <v>1762300</v>
      </c>
      <c r="W14" s="10">
        <v>45000</v>
      </c>
      <c r="X14" s="10">
        <v>0</v>
      </c>
      <c r="Y14" s="10">
        <v>908820</v>
      </c>
      <c r="Z14" s="10">
        <v>257525</v>
      </c>
      <c r="AA14" s="10">
        <v>67600</v>
      </c>
      <c r="AB14" s="10">
        <v>-4638940</v>
      </c>
      <c r="AC14" s="10">
        <v>-126608</v>
      </c>
      <c r="AD14" s="10">
        <v>241044</v>
      </c>
      <c r="AE14" s="10">
        <v>0</v>
      </c>
      <c r="AF14" s="10">
        <v>0</v>
      </c>
      <c r="AG14" s="10">
        <v>359353</v>
      </c>
      <c r="AH14" s="10">
        <v>1129843</v>
      </c>
      <c r="AI14" s="10">
        <v>7818351</v>
      </c>
      <c r="AJ14" s="10">
        <v>72398526</v>
      </c>
      <c r="AK14" s="10">
        <v>63883917</v>
      </c>
      <c r="AL14" s="10">
        <v>1144957</v>
      </c>
      <c r="AM14" s="10">
        <v>0</v>
      </c>
      <c r="AN14" s="10">
        <v>49841771</v>
      </c>
      <c r="AO14" s="10">
        <v>302679</v>
      </c>
      <c r="AP14" s="10">
        <v>17891731</v>
      </c>
      <c r="AQ14" s="10">
        <v>9822914</v>
      </c>
      <c r="AR14" s="10">
        <v>2972969</v>
      </c>
      <c r="AS14" s="10">
        <v>741959</v>
      </c>
      <c r="AT14" s="10">
        <v>180475</v>
      </c>
      <c r="AU14" s="10">
        <v>0</v>
      </c>
      <c r="AV14" s="10">
        <v>0</v>
      </c>
      <c r="AW14" s="10">
        <v>0</v>
      </c>
      <c r="AX14" s="10">
        <v>0</v>
      </c>
      <c r="AY14" s="10">
        <v>30000</v>
      </c>
      <c r="AZ14" s="1">
        <v>3689286.82</v>
      </c>
      <c r="BA14" s="1">
        <v>1955322</v>
      </c>
      <c r="BB14" s="19"/>
      <c r="BC14" s="15">
        <v>2372083</v>
      </c>
      <c r="BD14" s="15">
        <v>4475628</v>
      </c>
      <c r="BE14" s="20">
        <v>5933922</v>
      </c>
      <c r="BF14" s="20">
        <v>5916904</v>
      </c>
      <c r="BG14" s="20">
        <v>35913651</v>
      </c>
      <c r="BH14" s="20">
        <v>30599103</v>
      </c>
      <c r="BI14" s="19"/>
      <c r="BJ14" s="19"/>
      <c r="BK14" s="19"/>
      <c r="BL14" s="5">
        <v>508827912</v>
      </c>
      <c r="BM14" s="5">
        <v>402955626</v>
      </c>
      <c r="BN14" s="15">
        <v>1291217</v>
      </c>
      <c r="BO14" s="3"/>
      <c r="BP14" s="1"/>
      <c r="BQ14" s="1"/>
      <c r="BR14" s="5"/>
      <c r="BS14" s="5"/>
      <c r="BT14" s="5"/>
    </row>
    <row r="15" spans="1:72" x14ac:dyDescent="0.25">
      <c r="A15" s="6" t="s">
        <v>69</v>
      </c>
      <c r="B15" s="10">
        <v>434061607</v>
      </c>
      <c r="C15" s="10">
        <v>192004048</v>
      </c>
      <c r="D15" s="10">
        <v>60599649</v>
      </c>
      <c r="E15" s="10">
        <v>0</v>
      </c>
      <c r="F15" s="10">
        <v>36779040</v>
      </c>
      <c r="G15" s="10">
        <v>9320620</v>
      </c>
      <c r="H15" s="10">
        <v>14446780</v>
      </c>
      <c r="I15" s="10">
        <v>2158900</v>
      </c>
      <c r="J15" s="10">
        <v>31400</v>
      </c>
      <c r="K15" s="10">
        <v>0</v>
      </c>
      <c r="L15" s="10">
        <v>280789927</v>
      </c>
      <c r="M15" s="10">
        <v>98189100</v>
      </c>
      <c r="N15" s="10">
        <v>1745</v>
      </c>
      <c r="O15" s="10">
        <v>421</v>
      </c>
      <c r="P15" s="10">
        <v>12839720</v>
      </c>
      <c r="Q15" s="10">
        <v>6497610</v>
      </c>
      <c r="R15" s="10">
        <v>1343400</v>
      </c>
      <c r="S15" s="10">
        <v>1789550</v>
      </c>
      <c r="T15" s="10">
        <v>830250</v>
      </c>
      <c r="U15" s="10">
        <v>157500</v>
      </c>
      <c r="V15" s="10">
        <v>12839720</v>
      </c>
      <c r="W15" s="10">
        <v>6494610</v>
      </c>
      <c r="X15" s="10">
        <v>1343400</v>
      </c>
      <c r="Y15" s="10">
        <v>1789550</v>
      </c>
      <c r="Z15" s="10">
        <v>708750</v>
      </c>
      <c r="AA15" s="10">
        <v>157500</v>
      </c>
      <c r="AB15" s="10">
        <v>-2292150</v>
      </c>
      <c r="AC15" s="10">
        <v>-2061</v>
      </c>
      <c r="AD15" s="10">
        <v>144049</v>
      </c>
      <c r="AE15" s="10">
        <v>0</v>
      </c>
      <c r="AF15" s="10">
        <v>0</v>
      </c>
      <c r="AG15" s="10">
        <v>345383</v>
      </c>
      <c r="AH15" s="10">
        <v>85119</v>
      </c>
      <c r="AI15" s="10">
        <v>566444</v>
      </c>
      <c r="AJ15" s="3"/>
      <c r="AK15" s="10">
        <v>106759758</v>
      </c>
      <c r="AL15" s="10">
        <v>11546063</v>
      </c>
      <c r="AM15" s="10">
        <v>652642</v>
      </c>
      <c r="AN15" s="10">
        <v>20102872</v>
      </c>
      <c r="AO15" s="10">
        <v>36577</v>
      </c>
      <c r="AP15" s="10">
        <v>6995823</v>
      </c>
      <c r="AQ15" s="10">
        <v>12718071</v>
      </c>
      <c r="AR15" s="10">
        <v>11133668</v>
      </c>
      <c r="AS15" s="10">
        <v>0</v>
      </c>
      <c r="AT15" s="10">
        <v>782305</v>
      </c>
      <c r="AU15" s="10">
        <v>0</v>
      </c>
      <c r="AV15" s="10">
        <v>0</v>
      </c>
      <c r="AW15" s="10">
        <v>845004</v>
      </c>
      <c r="AX15" s="10">
        <v>0</v>
      </c>
      <c r="AY15" s="10">
        <v>255900</v>
      </c>
      <c r="AZ15" s="1">
        <v>6165360.3399999999</v>
      </c>
      <c r="BA15" s="1">
        <v>3267641</v>
      </c>
      <c r="BB15" s="19">
        <v>13913804.289999999</v>
      </c>
      <c r="BC15" s="15">
        <v>1503247</v>
      </c>
      <c r="BD15" s="15">
        <v>2836316</v>
      </c>
      <c r="BE15" s="20">
        <v>18390143</v>
      </c>
      <c r="BF15" s="20">
        <v>18390143</v>
      </c>
      <c r="BG15" s="20">
        <v>52778720</v>
      </c>
      <c r="BH15" s="20">
        <v>50782449</v>
      </c>
      <c r="BI15" s="19"/>
      <c r="BJ15" s="19"/>
      <c r="BK15" s="19"/>
      <c r="BL15" s="5">
        <v>912423688</v>
      </c>
      <c r="BM15" s="5">
        <v>720174387</v>
      </c>
      <c r="BN15" s="15">
        <v>2313829</v>
      </c>
      <c r="BO15" s="3"/>
      <c r="BP15" s="1"/>
      <c r="BQ15" s="1"/>
      <c r="BR15" s="5"/>
      <c r="BS15" s="5"/>
      <c r="BT15" s="5"/>
    </row>
    <row r="16" spans="1:72" x14ac:dyDescent="0.25">
      <c r="A16" s="6" t="s">
        <v>70</v>
      </c>
      <c r="B16" s="10">
        <v>3303467531</v>
      </c>
      <c r="C16" s="10">
        <v>223942214</v>
      </c>
      <c r="D16" s="10">
        <v>672579512</v>
      </c>
      <c r="E16" s="10">
        <v>23841565</v>
      </c>
      <c r="F16" s="10">
        <v>119408540</v>
      </c>
      <c r="G16" s="10">
        <v>28095590</v>
      </c>
      <c r="H16" s="10">
        <v>12595648</v>
      </c>
      <c r="I16" s="10">
        <v>1946800</v>
      </c>
      <c r="J16" s="10">
        <v>157000</v>
      </c>
      <c r="K16" s="10">
        <v>31400</v>
      </c>
      <c r="L16" s="10">
        <v>338371930</v>
      </c>
      <c r="M16" s="10">
        <v>150759123</v>
      </c>
      <c r="N16" s="10">
        <v>4288</v>
      </c>
      <c r="O16" s="10">
        <v>990</v>
      </c>
      <c r="P16" s="10">
        <v>75585807</v>
      </c>
      <c r="Q16" s="10">
        <v>3320623</v>
      </c>
      <c r="R16" s="10">
        <v>21043165</v>
      </c>
      <c r="S16" s="10">
        <v>3725242</v>
      </c>
      <c r="T16" s="10">
        <v>1092981</v>
      </c>
      <c r="U16" s="10">
        <v>468955</v>
      </c>
      <c r="V16" s="10">
        <v>75585807</v>
      </c>
      <c r="W16" s="10">
        <v>3543415</v>
      </c>
      <c r="X16" s="10">
        <v>21043165</v>
      </c>
      <c r="Y16" s="10">
        <v>3725242</v>
      </c>
      <c r="Z16" s="10">
        <v>1380000</v>
      </c>
      <c r="AA16" s="10">
        <v>468955</v>
      </c>
      <c r="AB16" s="10">
        <v>-20614778</v>
      </c>
      <c r="AC16" s="10">
        <v>-30172686</v>
      </c>
      <c r="AD16" s="10">
        <v>26186</v>
      </c>
      <c r="AE16" s="10">
        <v>1168</v>
      </c>
      <c r="AF16" s="10">
        <v>26512354</v>
      </c>
      <c r="AG16" s="10">
        <v>90396</v>
      </c>
      <c r="AH16" s="3"/>
      <c r="AI16" s="10">
        <v>1270468</v>
      </c>
      <c r="AJ16" s="3"/>
      <c r="AK16" s="10">
        <v>461247102</v>
      </c>
      <c r="AL16" s="10">
        <v>17630591</v>
      </c>
      <c r="AM16" s="10">
        <v>84971</v>
      </c>
      <c r="AN16" s="10">
        <v>84651502</v>
      </c>
      <c r="AO16" s="10">
        <v>1943992</v>
      </c>
      <c r="AP16" s="10">
        <v>120919605</v>
      </c>
      <c r="AQ16" s="10">
        <v>89582984</v>
      </c>
      <c r="AR16" s="10">
        <v>30577305</v>
      </c>
      <c r="AS16" s="10">
        <v>210395758</v>
      </c>
      <c r="AT16" s="10">
        <v>11537674</v>
      </c>
      <c r="AU16" s="10">
        <v>0</v>
      </c>
      <c r="AV16" s="10">
        <v>0</v>
      </c>
      <c r="AW16" s="10">
        <v>5549413</v>
      </c>
      <c r="AX16" s="10">
        <v>2751476</v>
      </c>
      <c r="AY16" s="10">
        <v>405000</v>
      </c>
      <c r="AZ16" s="1">
        <v>26636952.359999999</v>
      </c>
      <c r="BA16" s="1">
        <v>14117585</v>
      </c>
      <c r="BB16" s="19"/>
      <c r="BC16" s="15">
        <v>2299680</v>
      </c>
      <c r="BD16" s="15">
        <v>4339018</v>
      </c>
      <c r="BE16" s="20">
        <v>24934644</v>
      </c>
      <c r="BF16" s="20">
        <v>24806225</v>
      </c>
      <c r="BG16" s="20">
        <v>87112373</v>
      </c>
      <c r="BH16" s="20">
        <v>83821194</v>
      </c>
      <c r="BI16" s="19">
        <v>200107085</v>
      </c>
      <c r="BJ16" s="19"/>
      <c r="BK16" s="19"/>
      <c r="BL16" s="5">
        <v>5181467665</v>
      </c>
      <c r="BM16" s="5">
        <v>4377438203</v>
      </c>
      <c r="BN16" s="15">
        <v>2742499</v>
      </c>
      <c r="BO16" s="3"/>
      <c r="BP16" s="1"/>
      <c r="BQ16" s="1"/>
      <c r="BR16" s="5"/>
      <c r="BS16" s="5"/>
      <c r="BT16" s="5"/>
    </row>
    <row r="17" spans="1:72" x14ac:dyDescent="0.25">
      <c r="A17" s="6" t="s">
        <v>71</v>
      </c>
      <c r="B17" s="10">
        <v>157069903</v>
      </c>
      <c r="C17" s="10">
        <v>100645118</v>
      </c>
      <c r="D17" s="10">
        <v>59418735</v>
      </c>
      <c r="E17" s="10">
        <v>0</v>
      </c>
      <c r="F17" s="10">
        <v>16643200</v>
      </c>
      <c r="G17" s="10">
        <v>6646240</v>
      </c>
      <c r="H17" s="10">
        <v>10185971</v>
      </c>
      <c r="I17" s="10">
        <v>2222400</v>
      </c>
      <c r="J17" s="10">
        <v>31400</v>
      </c>
      <c r="K17" s="10">
        <v>0</v>
      </c>
      <c r="L17" s="10">
        <v>192786884</v>
      </c>
      <c r="M17" s="10">
        <v>55514786</v>
      </c>
      <c r="N17" s="10">
        <v>977</v>
      </c>
      <c r="O17" s="10">
        <v>343</v>
      </c>
      <c r="P17" s="10">
        <v>2615700</v>
      </c>
      <c r="Q17" s="10">
        <v>2000</v>
      </c>
      <c r="R17" s="10">
        <v>674000</v>
      </c>
      <c r="S17" s="10">
        <v>449319</v>
      </c>
      <c r="T17" s="10">
        <v>0</v>
      </c>
      <c r="U17" s="10">
        <v>234700</v>
      </c>
      <c r="V17" s="10">
        <v>2615700</v>
      </c>
      <c r="W17" s="10">
        <v>60000</v>
      </c>
      <c r="X17" s="10">
        <v>674000</v>
      </c>
      <c r="Y17" s="10">
        <v>418318.59</v>
      </c>
      <c r="Z17" s="10">
        <v>0</v>
      </c>
      <c r="AA17" s="10">
        <v>234700</v>
      </c>
      <c r="AB17" s="10">
        <v>-2983483</v>
      </c>
      <c r="AC17" s="10">
        <v>-886431</v>
      </c>
      <c r="AD17" s="10">
        <v>145150</v>
      </c>
      <c r="AE17" s="10">
        <v>72804</v>
      </c>
      <c r="AF17" s="10">
        <v>21992223</v>
      </c>
      <c r="AG17" s="10">
        <v>251986</v>
      </c>
      <c r="AH17" s="10">
        <v>645414</v>
      </c>
      <c r="AI17" s="10">
        <v>1151202</v>
      </c>
      <c r="AJ17" s="3"/>
      <c r="AK17" s="10">
        <v>71357626</v>
      </c>
      <c r="AL17" s="10">
        <v>1800087</v>
      </c>
      <c r="AM17" s="3"/>
      <c r="AN17" s="10">
        <v>11730145</v>
      </c>
      <c r="AO17" s="10">
        <v>743946</v>
      </c>
      <c r="AP17" s="10">
        <v>28218876</v>
      </c>
      <c r="AQ17" s="10">
        <v>6120033</v>
      </c>
      <c r="AR17" s="10">
        <v>12656047</v>
      </c>
      <c r="AS17" s="3"/>
      <c r="AT17" s="10">
        <v>756262</v>
      </c>
      <c r="AU17" s="3"/>
      <c r="AV17" s="3"/>
      <c r="AW17" s="3"/>
      <c r="AX17" s="10">
        <v>273615</v>
      </c>
      <c r="AY17" s="10">
        <v>15000</v>
      </c>
      <c r="AZ17" s="1">
        <v>4120892.41</v>
      </c>
      <c r="BA17" s="1">
        <v>2184073</v>
      </c>
      <c r="BB17" s="19"/>
      <c r="BC17" s="15">
        <v>0</v>
      </c>
      <c r="BD17" s="15">
        <v>0</v>
      </c>
      <c r="BE17" s="20">
        <v>3986780</v>
      </c>
      <c r="BF17" s="20">
        <v>3986780</v>
      </c>
      <c r="BG17" s="20">
        <v>19256129</v>
      </c>
      <c r="BH17" s="20">
        <v>19256129</v>
      </c>
      <c r="BI17" s="19"/>
      <c r="BJ17" s="19"/>
      <c r="BK17" s="19"/>
      <c r="BL17" s="5">
        <v>425830112</v>
      </c>
      <c r="BM17" s="5">
        <v>327245417</v>
      </c>
      <c r="BN17" s="15">
        <v>896600</v>
      </c>
      <c r="BO17" s="3"/>
      <c r="BP17" s="1"/>
      <c r="BQ17" s="1"/>
      <c r="BR17" s="5"/>
      <c r="BS17" s="5"/>
      <c r="BT17" s="5"/>
    </row>
    <row r="18" spans="1:72" x14ac:dyDescent="0.25">
      <c r="A18" s="6" t="s">
        <v>72</v>
      </c>
      <c r="B18" s="10">
        <v>191467140</v>
      </c>
      <c r="C18" s="10">
        <v>94269505</v>
      </c>
      <c r="D18" s="10">
        <v>60774962</v>
      </c>
      <c r="E18" s="10">
        <v>7928806</v>
      </c>
      <c r="F18" s="10">
        <v>30900554</v>
      </c>
      <c r="G18" s="10">
        <v>5828300</v>
      </c>
      <c r="H18" s="10">
        <v>7926027</v>
      </c>
      <c r="I18" s="10">
        <v>1157876</v>
      </c>
      <c r="J18" s="10">
        <v>49400</v>
      </c>
      <c r="K18" s="10">
        <v>29000</v>
      </c>
      <c r="L18" s="10">
        <v>139749302</v>
      </c>
      <c r="M18" s="10">
        <v>49242337</v>
      </c>
      <c r="N18" s="10">
        <v>1351</v>
      </c>
      <c r="O18" s="10">
        <v>269</v>
      </c>
      <c r="P18" s="10">
        <v>3276999</v>
      </c>
      <c r="Q18" s="10">
        <v>3089885</v>
      </c>
      <c r="R18" s="10">
        <v>888900</v>
      </c>
      <c r="S18" s="10">
        <v>858246</v>
      </c>
      <c r="T18" s="10">
        <v>11735</v>
      </c>
      <c r="U18" s="10">
        <v>642508</v>
      </c>
      <c r="V18" s="10">
        <v>3276999</v>
      </c>
      <c r="W18" s="10">
        <v>3182840</v>
      </c>
      <c r="X18" s="10">
        <v>888900</v>
      </c>
      <c r="Y18" s="10">
        <v>858246</v>
      </c>
      <c r="Z18" s="10">
        <v>118588</v>
      </c>
      <c r="AA18" s="10">
        <v>642508</v>
      </c>
      <c r="AB18" s="10">
        <v>-4518557</v>
      </c>
      <c r="AC18" s="10">
        <v>-9947</v>
      </c>
      <c r="AD18" s="10">
        <v>25246</v>
      </c>
      <c r="AE18" s="10">
        <v>118588</v>
      </c>
      <c r="AF18" s="10">
        <v>25874759</v>
      </c>
      <c r="AG18" s="10">
        <v>200037</v>
      </c>
      <c r="AH18" s="10">
        <v>14238</v>
      </c>
      <c r="AI18" s="10">
        <v>2161887</v>
      </c>
      <c r="AJ18" s="3"/>
      <c r="AK18" s="10">
        <v>76425575</v>
      </c>
      <c r="AL18" s="10">
        <v>1839026</v>
      </c>
      <c r="AM18" s="10">
        <v>0</v>
      </c>
      <c r="AN18" s="10">
        <v>18836300</v>
      </c>
      <c r="AO18" s="10">
        <v>2754303</v>
      </c>
      <c r="AP18" s="10">
        <v>43720568</v>
      </c>
      <c r="AQ18" s="10">
        <v>25650428</v>
      </c>
      <c r="AR18" s="10">
        <v>13434753</v>
      </c>
      <c r="AS18" s="10">
        <v>33023</v>
      </c>
      <c r="AT18" s="10">
        <v>370278</v>
      </c>
      <c r="AU18" s="10">
        <v>0</v>
      </c>
      <c r="AV18" s="10">
        <v>340263</v>
      </c>
      <c r="AW18" s="10">
        <v>0</v>
      </c>
      <c r="AX18" s="10">
        <v>3018</v>
      </c>
      <c r="AY18" s="10">
        <v>539000</v>
      </c>
      <c r="AZ18" s="1">
        <v>4413565.72</v>
      </c>
      <c r="BA18" s="1">
        <v>2339190</v>
      </c>
      <c r="BB18" s="19"/>
      <c r="BC18" s="15">
        <v>1689065</v>
      </c>
      <c r="BD18" s="15">
        <v>3186914</v>
      </c>
      <c r="BE18" s="20">
        <v>11813906</v>
      </c>
      <c r="BF18" s="20">
        <v>9323204</v>
      </c>
      <c r="BG18" s="20">
        <v>23689496</v>
      </c>
      <c r="BH18" s="20">
        <v>21548703</v>
      </c>
      <c r="BI18" s="19"/>
      <c r="BJ18" s="19">
        <v>6722054</v>
      </c>
      <c r="BK18" s="19"/>
      <c r="BL18" s="5">
        <v>515815580</v>
      </c>
      <c r="BM18" s="5">
        <v>395928763</v>
      </c>
      <c r="BN18" s="15">
        <v>389000</v>
      </c>
      <c r="BO18" s="3"/>
      <c r="BP18" s="1"/>
      <c r="BQ18" s="1"/>
      <c r="BR18" s="5"/>
      <c r="BS18" s="5"/>
      <c r="BT18" s="5"/>
    </row>
    <row r="19" spans="1:72" x14ac:dyDescent="0.25">
      <c r="A19" s="6" t="s">
        <v>73</v>
      </c>
      <c r="B19" s="10">
        <v>1039005489</v>
      </c>
      <c r="C19" s="10">
        <v>189623334</v>
      </c>
      <c r="D19" s="10">
        <v>268597421</v>
      </c>
      <c r="E19" s="10">
        <v>0</v>
      </c>
      <c r="F19" s="10">
        <v>75349113</v>
      </c>
      <c r="G19" s="10">
        <v>9875398</v>
      </c>
      <c r="H19" s="10">
        <v>14895000</v>
      </c>
      <c r="I19" s="10">
        <v>1003600</v>
      </c>
      <c r="J19" s="10">
        <v>125600</v>
      </c>
      <c r="K19" s="10">
        <v>0</v>
      </c>
      <c r="L19" s="10">
        <v>292857388</v>
      </c>
      <c r="M19" s="10">
        <v>121751347</v>
      </c>
      <c r="N19" s="10">
        <v>3007</v>
      </c>
      <c r="O19" s="10">
        <v>383</v>
      </c>
      <c r="P19" s="10">
        <v>27460595</v>
      </c>
      <c r="Q19" s="10">
        <v>3361500</v>
      </c>
      <c r="R19" s="10">
        <v>14236957</v>
      </c>
      <c r="S19" s="10">
        <v>4468208</v>
      </c>
      <c r="T19" s="10">
        <v>834300</v>
      </c>
      <c r="U19" s="10">
        <v>1163879</v>
      </c>
      <c r="V19" s="10">
        <v>27460595</v>
      </c>
      <c r="W19" s="10">
        <v>4011600</v>
      </c>
      <c r="X19" s="10">
        <v>14236957</v>
      </c>
      <c r="Y19" s="10">
        <v>4468208</v>
      </c>
      <c r="Z19" s="10">
        <v>2239636</v>
      </c>
      <c r="AA19" s="10">
        <v>1163879</v>
      </c>
      <c r="AB19" s="10">
        <v>-7352888</v>
      </c>
      <c r="AC19" s="10">
        <v>2045323</v>
      </c>
      <c r="AD19" s="10">
        <v>58211</v>
      </c>
      <c r="AE19" s="10">
        <v>4681</v>
      </c>
      <c r="AF19" s="10">
        <v>2340250</v>
      </c>
      <c r="AG19" s="10">
        <v>367839</v>
      </c>
      <c r="AH19" s="3"/>
      <c r="AI19" s="10">
        <v>51435</v>
      </c>
      <c r="AJ19" s="3"/>
      <c r="AK19" s="10">
        <v>199834046</v>
      </c>
      <c r="AL19" s="10">
        <v>9247813</v>
      </c>
      <c r="AM19" s="10">
        <v>106243</v>
      </c>
      <c r="AN19" s="10">
        <v>58792342</v>
      </c>
      <c r="AO19" s="10">
        <v>3254507</v>
      </c>
      <c r="AP19" s="10">
        <v>114856075</v>
      </c>
      <c r="AQ19" s="10">
        <v>63404590</v>
      </c>
      <c r="AR19" s="10">
        <v>51588393</v>
      </c>
      <c r="AS19" s="10">
        <v>41281239</v>
      </c>
      <c r="AT19" s="10">
        <v>1623174</v>
      </c>
      <c r="AU19" s="3"/>
      <c r="AV19" s="10">
        <v>98905</v>
      </c>
      <c r="AW19" s="10">
        <v>8824</v>
      </c>
      <c r="AX19" s="3"/>
      <c r="AY19" s="10">
        <v>1244900</v>
      </c>
      <c r="AZ19" s="1">
        <v>11540386.789999999</v>
      </c>
      <c r="BA19" s="1">
        <v>6116405</v>
      </c>
      <c r="BB19" s="19">
        <v>9420761.5700000003</v>
      </c>
      <c r="BC19" s="15">
        <v>0</v>
      </c>
      <c r="BD19" s="15">
        <v>0</v>
      </c>
      <c r="BE19" s="20">
        <v>2653870</v>
      </c>
      <c r="BF19" s="20">
        <v>2653870</v>
      </c>
      <c r="BG19" s="20">
        <v>43972841</v>
      </c>
      <c r="BH19" s="20">
        <v>43855642</v>
      </c>
      <c r="BI19" s="19"/>
      <c r="BJ19" s="19">
        <v>13367663</v>
      </c>
      <c r="BK19" s="19"/>
      <c r="BL19" s="5">
        <v>1897804557</v>
      </c>
      <c r="BM19" s="5">
        <v>1622729118</v>
      </c>
      <c r="BN19" s="15">
        <v>3032636</v>
      </c>
      <c r="BO19" s="3"/>
      <c r="BP19" s="1"/>
      <c r="BQ19" s="1"/>
      <c r="BR19" s="5"/>
      <c r="BS19" s="5"/>
      <c r="BT19" s="5"/>
    </row>
    <row r="20" spans="1:72" x14ac:dyDescent="0.25">
      <c r="A20" s="6" t="s">
        <v>74</v>
      </c>
      <c r="B20" s="10">
        <v>3919470532</v>
      </c>
      <c r="C20" s="10">
        <v>156087114</v>
      </c>
      <c r="D20" s="10">
        <v>976830447</v>
      </c>
      <c r="E20" s="10">
        <v>0</v>
      </c>
      <c r="F20" s="10">
        <v>182539574</v>
      </c>
      <c r="G20" s="10">
        <v>13976146</v>
      </c>
      <c r="H20" s="10">
        <v>11479000</v>
      </c>
      <c r="I20" s="10">
        <v>596600</v>
      </c>
      <c r="J20" s="10">
        <v>720700</v>
      </c>
      <c r="K20" s="10">
        <v>94200</v>
      </c>
      <c r="L20" s="10">
        <v>142471233</v>
      </c>
      <c r="M20" s="10">
        <v>298558347</v>
      </c>
      <c r="N20" s="10">
        <v>6248</v>
      </c>
      <c r="O20" s="10">
        <v>480</v>
      </c>
      <c r="P20" s="10">
        <v>82277473</v>
      </c>
      <c r="Q20" s="10">
        <v>2510400</v>
      </c>
      <c r="R20" s="10">
        <v>23313392</v>
      </c>
      <c r="S20" s="10">
        <v>13373976</v>
      </c>
      <c r="T20" s="10">
        <v>1331418</v>
      </c>
      <c r="U20" s="10">
        <v>22944324</v>
      </c>
      <c r="V20" s="10">
        <v>82277473</v>
      </c>
      <c r="W20" s="10">
        <v>2510400</v>
      </c>
      <c r="X20" s="10">
        <v>23313392</v>
      </c>
      <c r="Y20" s="10">
        <v>13373976</v>
      </c>
      <c r="Z20" s="10">
        <v>1331418</v>
      </c>
      <c r="AA20" s="10">
        <v>22944324</v>
      </c>
      <c r="AB20" s="10">
        <v>1778748</v>
      </c>
      <c r="AC20" s="10">
        <v>-23365038</v>
      </c>
      <c r="AD20" s="10">
        <v>0</v>
      </c>
      <c r="AE20" s="10">
        <v>0</v>
      </c>
      <c r="AF20" s="10">
        <v>0</v>
      </c>
      <c r="AG20" s="10">
        <v>0</v>
      </c>
      <c r="AH20" s="10">
        <v>19898</v>
      </c>
      <c r="AI20" s="3"/>
      <c r="AJ20" s="3"/>
      <c r="AK20" s="10">
        <v>493629638</v>
      </c>
      <c r="AL20" s="10">
        <v>8298151</v>
      </c>
      <c r="AM20" s="10">
        <v>2280281</v>
      </c>
      <c r="AN20" s="10">
        <v>158997663</v>
      </c>
      <c r="AO20" s="10">
        <v>7688744</v>
      </c>
      <c r="AP20" s="10">
        <v>258352462</v>
      </c>
      <c r="AQ20" s="10">
        <v>96747547</v>
      </c>
      <c r="AR20" s="10">
        <v>73431627</v>
      </c>
      <c r="AS20" s="10">
        <v>24163436</v>
      </c>
      <c r="AT20" s="10">
        <v>220476</v>
      </c>
      <c r="AU20" s="10">
        <v>0</v>
      </c>
      <c r="AV20" s="10">
        <v>0</v>
      </c>
      <c r="AW20" s="10">
        <v>143784</v>
      </c>
      <c r="AX20" s="10">
        <v>8694</v>
      </c>
      <c r="AY20" s="10">
        <v>10000</v>
      </c>
      <c r="AZ20" s="1">
        <v>28507039.050000001</v>
      </c>
      <c r="BA20" s="1">
        <v>15108731</v>
      </c>
      <c r="BB20" s="19">
        <v>17886843.189999998</v>
      </c>
      <c r="BC20" s="15">
        <v>1792353</v>
      </c>
      <c r="BD20" s="15">
        <v>3381798</v>
      </c>
      <c r="BE20" s="20">
        <v>57161977</v>
      </c>
      <c r="BF20" s="20">
        <v>57161977</v>
      </c>
      <c r="BG20" s="20">
        <v>125293275</v>
      </c>
      <c r="BH20" s="20">
        <v>119825734</v>
      </c>
      <c r="BI20" s="19"/>
      <c r="BJ20" s="19"/>
      <c r="BK20" s="19"/>
      <c r="BL20" s="5">
        <v>6011658529</v>
      </c>
      <c r="BM20" s="5">
        <v>5315841945</v>
      </c>
      <c r="BN20" s="15">
        <v>9185017</v>
      </c>
      <c r="BO20" s="3"/>
      <c r="BP20" s="1"/>
      <c r="BQ20" s="1"/>
      <c r="BR20" s="5"/>
      <c r="BS20" s="5"/>
      <c r="BT20" s="5"/>
    </row>
    <row r="21" spans="1:72" x14ac:dyDescent="0.25">
      <c r="A21" s="6" t="s">
        <v>75</v>
      </c>
      <c r="B21" s="10">
        <v>65861841</v>
      </c>
      <c r="C21" s="10">
        <v>54140616</v>
      </c>
      <c r="D21" s="10">
        <v>14814250</v>
      </c>
      <c r="E21" s="10">
        <v>0</v>
      </c>
      <c r="F21" s="10">
        <v>11362015</v>
      </c>
      <c r="G21" s="10">
        <v>3009904</v>
      </c>
      <c r="H21" s="10">
        <v>4860950</v>
      </c>
      <c r="I21" s="10">
        <v>599300</v>
      </c>
      <c r="J21" s="10">
        <v>0</v>
      </c>
      <c r="K21" s="10">
        <v>0</v>
      </c>
      <c r="L21" s="10">
        <v>78219869</v>
      </c>
      <c r="M21" s="10">
        <v>25415229</v>
      </c>
      <c r="N21" s="10">
        <v>590</v>
      </c>
      <c r="O21" s="10">
        <v>143</v>
      </c>
      <c r="P21" s="10">
        <v>1619250</v>
      </c>
      <c r="Q21" s="10">
        <v>573000</v>
      </c>
      <c r="R21" s="10">
        <v>150000</v>
      </c>
      <c r="S21" s="10">
        <v>322850</v>
      </c>
      <c r="T21" s="10">
        <v>11000</v>
      </c>
      <c r="U21" s="10">
        <v>5000</v>
      </c>
      <c r="V21" s="10">
        <v>1619250</v>
      </c>
      <c r="W21" s="10">
        <v>573000</v>
      </c>
      <c r="X21" s="10">
        <v>150000</v>
      </c>
      <c r="Y21" s="10">
        <v>322850</v>
      </c>
      <c r="Z21" s="10">
        <v>11000</v>
      </c>
      <c r="AA21" s="10">
        <v>5000</v>
      </c>
      <c r="AB21" s="10">
        <v>-661100</v>
      </c>
      <c r="AC21" s="10">
        <v>-416461</v>
      </c>
      <c r="AD21" s="10">
        <v>27947</v>
      </c>
      <c r="AE21" s="10">
        <v>69600</v>
      </c>
      <c r="AF21" s="10">
        <v>12477435</v>
      </c>
      <c r="AG21" s="10">
        <v>109281</v>
      </c>
      <c r="AH21" s="3"/>
      <c r="AI21" s="10">
        <v>79597</v>
      </c>
      <c r="AJ21" s="3"/>
      <c r="AK21" s="10">
        <v>38515903</v>
      </c>
      <c r="AL21" s="10">
        <v>910163</v>
      </c>
      <c r="AM21" s="3"/>
      <c r="AN21" s="10">
        <v>5915830</v>
      </c>
      <c r="AO21" s="10">
        <v>43103</v>
      </c>
      <c r="AP21" s="10">
        <v>194956</v>
      </c>
      <c r="AQ21" s="10">
        <v>3231436</v>
      </c>
      <c r="AR21" s="10">
        <v>126434</v>
      </c>
      <c r="AS21" s="3"/>
      <c r="AT21" s="10">
        <v>50719</v>
      </c>
      <c r="AU21" s="3"/>
      <c r="AV21" s="3"/>
      <c r="AW21" s="3"/>
      <c r="AX21" s="10">
        <v>400</v>
      </c>
      <c r="AY21" s="10">
        <v>28000</v>
      </c>
      <c r="AZ21" s="1">
        <v>2224287.7400000002</v>
      </c>
      <c r="BA21" s="1">
        <v>1178873</v>
      </c>
      <c r="BB21" s="19">
        <v>6534442.4299999997</v>
      </c>
      <c r="BC21" s="15">
        <v>622767</v>
      </c>
      <c r="BD21" s="15">
        <v>1175031</v>
      </c>
      <c r="BE21" s="20">
        <v>4531145</v>
      </c>
      <c r="BF21" s="20">
        <v>4531145</v>
      </c>
      <c r="BG21" s="20">
        <v>25997702</v>
      </c>
      <c r="BH21" s="20">
        <v>21200585</v>
      </c>
      <c r="BI21" s="19"/>
      <c r="BJ21" s="19"/>
      <c r="BK21" s="19"/>
      <c r="BL21" s="5">
        <v>211046109</v>
      </c>
      <c r="BM21" s="5">
        <v>144086673</v>
      </c>
      <c r="BN21" s="15">
        <v>277450</v>
      </c>
      <c r="BO21" s="3"/>
      <c r="BP21" s="1"/>
      <c r="BQ21" s="1"/>
      <c r="BR21" s="5"/>
      <c r="BS21" s="5"/>
      <c r="BT21" s="5"/>
    </row>
    <row r="22" spans="1:72" x14ac:dyDescent="0.25">
      <c r="A22" s="6" t="s">
        <v>76</v>
      </c>
      <c r="B22" s="10">
        <v>226045940</v>
      </c>
      <c r="C22" s="10">
        <v>56946850</v>
      </c>
      <c r="D22" s="10">
        <v>177826199</v>
      </c>
      <c r="E22" s="10">
        <v>660919160</v>
      </c>
      <c r="F22" s="10">
        <v>17394800</v>
      </c>
      <c r="G22" s="10">
        <v>2939700</v>
      </c>
      <c r="H22" s="10">
        <v>3620700</v>
      </c>
      <c r="I22" s="10">
        <v>376800</v>
      </c>
      <c r="J22" s="10">
        <v>77300</v>
      </c>
      <c r="K22" s="10">
        <v>0</v>
      </c>
      <c r="L22" s="10">
        <v>120012390</v>
      </c>
      <c r="M22" s="10">
        <v>39229500</v>
      </c>
      <c r="N22" s="10">
        <v>699</v>
      </c>
      <c r="O22" s="10">
        <v>116</v>
      </c>
      <c r="P22" s="10">
        <v>4845400</v>
      </c>
      <c r="Q22" s="10">
        <v>1900800</v>
      </c>
      <c r="R22" s="10">
        <v>4917000</v>
      </c>
      <c r="S22" s="10">
        <v>1280800</v>
      </c>
      <c r="T22" s="10">
        <v>233700</v>
      </c>
      <c r="U22" s="10">
        <v>531900</v>
      </c>
      <c r="V22" s="10">
        <v>4845400</v>
      </c>
      <c r="W22" s="10">
        <v>2329900</v>
      </c>
      <c r="X22" s="10">
        <v>4917000</v>
      </c>
      <c r="Y22" s="10">
        <v>1280800</v>
      </c>
      <c r="Z22" s="10">
        <v>366600</v>
      </c>
      <c r="AA22" s="10">
        <v>531900</v>
      </c>
      <c r="AB22" s="10">
        <v>-538800</v>
      </c>
      <c r="AC22" s="10">
        <v>14037</v>
      </c>
      <c r="AD22" s="10">
        <v>22923</v>
      </c>
      <c r="AE22" s="10">
        <v>0</v>
      </c>
      <c r="AF22" s="10">
        <v>0</v>
      </c>
      <c r="AG22" s="10">
        <v>66201</v>
      </c>
      <c r="AH22" s="3"/>
      <c r="AI22" s="10">
        <v>928565</v>
      </c>
      <c r="AJ22" s="3"/>
      <c r="AK22" s="10">
        <v>62059384</v>
      </c>
      <c r="AL22" s="10">
        <v>2085626</v>
      </c>
      <c r="AM22" s="3"/>
      <c r="AN22" s="10">
        <v>34195833</v>
      </c>
      <c r="AO22" s="10">
        <v>75562763</v>
      </c>
      <c r="AP22" s="10">
        <v>346613642</v>
      </c>
      <c r="AQ22" s="10">
        <v>56724002</v>
      </c>
      <c r="AR22" s="10">
        <v>353634964</v>
      </c>
      <c r="AS22" s="10">
        <v>69684129</v>
      </c>
      <c r="AT22" s="3"/>
      <c r="AU22" s="3"/>
      <c r="AV22" s="3"/>
      <c r="AW22" s="3"/>
      <c r="AX22" s="3"/>
      <c r="AY22" s="3"/>
      <c r="AZ22" s="1">
        <v>3583920.31</v>
      </c>
      <c r="BA22" s="1">
        <v>1899478</v>
      </c>
      <c r="BB22" s="19">
        <v>12703168</v>
      </c>
      <c r="BC22" s="15">
        <v>1614130</v>
      </c>
      <c r="BD22" s="15">
        <v>3045529</v>
      </c>
      <c r="BE22" s="20">
        <v>47064297</v>
      </c>
      <c r="BF22" s="20">
        <v>47064297</v>
      </c>
      <c r="BG22" s="20">
        <v>60719670</v>
      </c>
      <c r="BH22" s="20">
        <v>59001939</v>
      </c>
      <c r="BI22" s="19"/>
      <c r="BJ22" s="19"/>
      <c r="BK22" s="19"/>
      <c r="BL22" s="5">
        <v>801955006</v>
      </c>
      <c r="BM22" s="5">
        <v>628230152</v>
      </c>
      <c r="BN22" s="15">
        <v>778777</v>
      </c>
      <c r="BO22" s="3"/>
      <c r="BP22" s="1"/>
      <c r="BQ22" s="1"/>
      <c r="BR22" s="5"/>
      <c r="BS22" s="5"/>
      <c r="BT22" s="5"/>
    </row>
    <row r="23" spans="1:72" x14ac:dyDescent="0.25">
      <c r="A23" s="6" t="s">
        <v>77</v>
      </c>
      <c r="B23" s="10">
        <v>351570079</v>
      </c>
      <c r="C23" s="10">
        <v>121906511</v>
      </c>
      <c r="D23" s="10">
        <v>136460214</v>
      </c>
      <c r="E23" s="10">
        <v>0</v>
      </c>
      <c r="F23" s="10">
        <v>37465720</v>
      </c>
      <c r="G23" s="10">
        <v>21322500</v>
      </c>
      <c r="H23" s="10">
        <v>17599400</v>
      </c>
      <c r="I23" s="10">
        <v>5791150</v>
      </c>
      <c r="J23" s="10">
        <v>94200</v>
      </c>
      <c r="K23" s="10">
        <v>61400</v>
      </c>
      <c r="L23" s="10">
        <v>51990977</v>
      </c>
      <c r="M23" s="10">
        <v>17019200</v>
      </c>
      <c r="N23" s="10">
        <v>2089</v>
      </c>
      <c r="O23" s="10">
        <v>1096</v>
      </c>
      <c r="P23" s="10">
        <v>7045900</v>
      </c>
      <c r="Q23" s="10">
        <v>1205000</v>
      </c>
      <c r="R23" s="10">
        <v>1900000</v>
      </c>
      <c r="S23" s="10">
        <v>111000</v>
      </c>
      <c r="T23" s="10">
        <v>0</v>
      </c>
      <c r="U23" s="10">
        <v>1700</v>
      </c>
      <c r="V23" s="10">
        <v>7045900</v>
      </c>
      <c r="W23" s="10">
        <v>1055000</v>
      </c>
      <c r="X23" s="10">
        <v>1900000</v>
      </c>
      <c r="Y23" s="10">
        <v>111000</v>
      </c>
      <c r="Z23" s="10">
        <v>0</v>
      </c>
      <c r="AA23" s="10">
        <v>1700</v>
      </c>
      <c r="AB23" s="10">
        <v>-8397754</v>
      </c>
      <c r="AC23" s="10">
        <v>-241002</v>
      </c>
      <c r="AD23" s="10">
        <v>145044</v>
      </c>
      <c r="AE23" s="10">
        <v>0</v>
      </c>
      <c r="AF23" s="10">
        <v>0</v>
      </c>
      <c r="AG23" s="10">
        <v>222006</v>
      </c>
      <c r="AH23" s="3"/>
      <c r="AI23" s="10">
        <v>1598113</v>
      </c>
      <c r="AJ23" s="10">
        <v>56000</v>
      </c>
      <c r="AK23" s="10">
        <v>154698748</v>
      </c>
      <c r="AL23" s="10">
        <v>4161234</v>
      </c>
      <c r="AM23" s="10">
        <v>55000</v>
      </c>
      <c r="AN23" s="10">
        <v>20822330</v>
      </c>
      <c r="AO23" s="10">
        <v>844352</v>
      </c>
      <c r="AP23" s="10">
        <v>17109956</v>
      </c>
      <c r="AQ23" s="10">
        <v>23292921</v>
      </c>
      <c r="AR23" s="10">
        <v>11122480</v>
      </c>
      <c r="AS23" s="10">
        <v>0</v>
      </c>
      <c r="AT23" s="10">
        <v>737348</v>
      </c>
      <c r="AU23" s="10">
        <v>0</v>
      </c>
      <c r="AV23" s="10">
        <v>0</v>
      </c>
      <c r="AW23" s="10">
        <v>0</v>
      </c>
      <c r="AX23" s="10">
        <v>0</v>
      </c>
      <c r="AY23" s="10">
        <v>7500</v>
      </c>
      <c r="AZ23" s="1">
        <v>8933829.9600000009</v>
      </c>
      <c r="BA23" s="1">
        <v>4734930</v>
      </c>
      <c r="BB23" s="19"/>
      <c r="BC23" s="15">
        <v>0</v>
      </c>
      <c r="BD23" s="15">
        <v>0</v>
      </c>
      <c r="BE23" s="20">
        <v>13840501</v>
      </c>
      <c r="BF23" s="20">
        <v>13840501</v>
      </c>
      <c r="BG23" s="20">
        <v>37339197</v>
      </c>
      <c r="BH23" s="20">
        <v>37339197</v>
      </c>
      <c r="BI23" s="19"/>
      <c r="BJ23" s="19"/>
      <c r="BK23" s="19"/>
      <c r="BL23" s="5">
        <v>871325130</v>
      </c>
      <c r="BM23" s="5">
        <v>656550520</v>
      </c>
      <c r="BN23" s="15">
        <v>14780291</v>
      </c>
      <c r="BO23" s="3"/>
      <c r="BP23" s="1"/>
      <c r="BQ23" s="1"/>
      <c r="BR23" s="5"/>
      <c r="BS23" s="5"/>
      <c r="BT23" s="5"/>
    </row>
    <row r="24" spans="1:72" x14ac:dyDescent="0.25">
      <c r="A24" s="6" t="s">
        <v>78</v>
      </c>
      <c r="B24" s="10">
        <v>200049033</v>
      </c>
      <c r="C24" s="10">
        <v>153099660</v>
      </c>
      <c r="D24" s="10">
        <v>55894700</v>
      </c>
      <c r="E24" s="10">
        <v>0</v>
      </c>
      <c r="F24" s="10">
        <v>30088000</v>
      </c>
      <c r="G24" s="10">
        <v>9381600</v>
      </c>
      <c r="H24" s="10">
        <v>18239300</v>
      </c>
      <c r="I24" s="10">
        <v>2669000</v>
      </c>
      <c r="J24" s="10">
        <v>0</v>
      </c>
      <c r="K24" s="10">
        <v>0</v>
      </c>
      <c r="L24" s="10">
        <v>242060825</v>
      </c>
      <c r="M24" s="10">
        <v>87046393</v>
      </c>
      <c r="N24" s="10">
        <v>1539</v>
      </c>
      <c r="O24" s="10">
        <v>400</v>
      </c>
      <c r="P24" s="10">
        <v>3319000</v>
      </c>
      <c r="Q24" s="10">
        <v>4435500</v>
      </c>
      <c r="R24" s="10">
        <v>975000</v>
      </c>
      <c r="S24" s="10">
        <v>442000</v>
      </c>
      <c r="T24" s="10">
        <v>192000</v>
      </c>
      <c r="U24" s="10">
        <v>253000</v>
      </c>
      <c r="V24" s="10">
        <v>3319000</v>
      </c>
      <c r="W24" s="10">
        <v>4435500</v>
      </c>
      <c r="X24" s="10">
        <v>975000</v>
      </c>
      <c r="Y24" s="10">
        <v>442000</v>
      </c>
      <c r="Z24" s="10">
        <v>192000</v>
      </c>
      <c r="AA24" s="10">
        <v>253000</v>
      </c>
      <c r="AB24" s="10">
        <v>-1666900</v>
      </c>
      <c r="AC24" s="10">
        <v>0</v>
      </c>
      <c r="AD24" s="10">
        <v>147406</v>
      </c>
      <c r="AE24" s="10">
        <v>0</v>
      </c>
      <c r="AF24" s="10">
        <v>0</v>
      </c>
      <c r="AG24" s="10">
        <v>261086</v>
      </c>
      <c r="AH24" s="10">
        <v>5009</v>
      </c>
      <c r="AI24" s="10">
        <v>92177</v>
      </c>
      <c r="AJ24" s="3"/>
      <c r="AK24" s="10">
        <v>77776925</v>
      </c>
      <c r="AL24" s="10">
        <v>1720469</v>
      </c>
      <c r="AM24" s="3"/>
      <c r="AN24" s="10">
        <v>9150930</v>
      </c>
      <c r="AO24" s="10">
        <v>40362</v>
      </c>
      <c r="AP24" s="10">
        <v>13222074</v>
      </c>
      <c r="AQ24" s="10">
        <v>11686078</v>
      </c>
      <c r="AR24" s="10">
        <v>11252370</v>
      </c>
      <c r="AS24" s="3"/>
      <c r="AT24" s="3"/>
      <c r="AU24" s="3"/>
      <c r="AV24" s="3"/>
      <c r="AW24" s="3"/>
      <c r="AX24" s="3"/>
      <c r="AY24" s="3"/>
      <c r="AZ24" s="1">
        <v>4491605.99</v>
      </c>
      <c r="BA24" s="1">
        <v>2380551</v>
      </c>
      <c r="BB24" s="19"/>
      <c r="BC24" s="15">
        <v>0</v>
      </c>
      <c r="BD24" s="15">
        <v>0</v>
      </c>
      <c r="BE24" s="20">
        <v>13935775</v>
      </c>
      <c r="BF24" s="20">
        <v>13935775</v>
      </c>
      <c r="BG24" s="20">
        <v>36922841</v>
      </c>
      <c r="BH24" s="20">
        <v>36922841</v>
      </c>
      <c r="BI24" s="19"/>
      <c r="BJ24" s="19"/>
      <c r="BK24" s="19"/>
      <c r="BL24" s="5">
        <v>562754510</v>
      </c>
      <c r="BM24" s="5">
        <v>430017949</v>
      </c>
      <c r="BN24" s="15">
        <v>656000</v>
      </c>
      <c r="BO24" s="3"/>
      <c r="BP24" s="1"/>
      <c r="BQ24" s="1"/>
      <c r="BR24" s="5"/>
      <c r="BS24" s="5"/>
      <c r="BT24" s="5"/>
    </row>
    <row r="25" spans="1:72" x14ac:dyDescent="0.25">
      <c r="A25" s="6" t="s">
        <v>79</v>
      </c>
      <c r="B25" s="10">
        <v>1477702705</v>
      </c>
      <c r="C25" s="10">
        <v>250461017</v>
      </c>
      <c r="D25" s="10">
        <v>583562593</v>
      </c>
      <c r="E25" s="10">
        <v>31623101</v>
      </c>
      <c r="F25" s="10">
        <v>88562462</v>
      </c>
      <c r="G25" s="10">
        <v>12490295</v>
      </c>
      <c r="H25" s="10">
        <v>13930693</v>
      </c>
      <c r="I25" s="10">
        <v>1310912</v>
      </c>
      <c r="J25" s="10">
        <v>94200</v>
      </c>
      <c r="K25" s="10">
        <v>0</v>
      </c>
      <c r="L25" s="10">
        <v>569819307</v>
      </c>
      <c r="M25" s="10">
        <v>135988352</v>
      </c>
      <c r="N25" s="10">
        <v>3438</v>
      </c>
      <c r="O25" s="10">
        <v>477</v>
      </c>
      <c r="P25" s="10">
        <v>60907054</v>
      </c>
      <c r="Q25" s="10">
        <v>8572762</v>
      </c>
      <c r="R25" s="10">
        <v>12159922</v>
      </c>
      <c r="S25" s="10">
        <v>6233914</v>
      </c>
      <c r="T25" s="10">
        <v>2092975</v>
      </c>
      <c r="U25" s="10">
        <v>3082055</v>
      </c>
      <c r="V25" s="10">
        <v>60907054</v>
      </c>
      <c r="W25" s="10">
        <v>9583631</v>
      </c>
      <c r="X25" s="10">
        <v>15159922</v>
      </c>
      <c r="Y25" s="10">
        <v>6233914</v>
      </c>
      <c r="Z25" s="10">
        <v>6775052</v>
      </c>
      <c r="AA25" s="10">
        <v>3082055</v>
      </c>
      <c r="AB25" s="10">
        <v>-10430115</v>
      </c>
      <c r="AC25" s="10">
        <v>-5366536</v>
      </c>
      <c r="AD25" s="10">
        <v>49065</v>
      </c>
      <c r="AE25" s="10">
        <v>2852</v>
      </c>
      <c r="AF25" s="10">
        <v>156257971</v>
      </c>
      <c r="AG25" s="10">
        <v>407676</v>
      </c>
      <c r="AH25" s="10">
        <v>2080508</v>
      </c>
      <c r="AI25" s="10">
        <v>1288100</v>
      </c>
      <c r="AJ25" s="3"/>
      <c r="AK25" s="10">
        <v>294089963</v>
      </c>
      <c r="AL25" s="10">
        <v>7665557</v>
      </c>
      <c r="AM25" s="3"/>
      <c r="AN25" s="10">
        <v>118973636</v>
      </c>
      <c r="AO25" s="10">
        <v>12700297</v>
      </c>
      <c r="AP25" s="10">
        <v>256469164</v>
      </c>
      <c r="AQ25" s="10">
        <v>141383749</v>
      </c>
      <c r="AR25" s="10">
        <v>110218309</v>
      </c>
      <c r="AS25" s="10">
        <v>36495798</v>
      </c>
      <c r="AT25" s="10">
        <v>2405618</v>
      </c>
      <c r="AU25" s="10">
        <v>15329381</v>
      </c>
      <c r="AV25" s="10">
        <v>79502</v>
      </c>
      <c r="AW25" s="10">
        <v>113161848</v>
      </c>
      <c r="AX25" s="10">
        <v>2073497</v>
      </c>
      <c r="AY25" s="10">
        <v>1120500</v>
      </c>
      <c r="AZ25" s="1">
        <v>16983652.140000001</v>
      </c>
      <c r="BA25" s="1">
        <v>9001336</v>
      </c>
      <c r="BB25" s="19"/>
      <c r="BC25" s="15">
        <v>1705267</v>
      </c>
      <c r="BD25" s="15">
        <v>3217484</v>
      </c>
      <c r="BE25" s="20">
        <v>16235074</v>
      </c>
      <c r="BF25" s="20">
        <v>16235074</v>
      </c>
      <c r="BG25" s="20">
        <v>71764277</v>
      </c>
      <c r="BH25" s="20">
        <v>65730748</v>
      </c>
      <c r="BI25" s="19"/>
      <c r="BJ25" s="19">
        <v>15193407</v>
      </c>
      <c r="BK25" s="19"/>
      <c r="BL25" s="5">
        <v>2997773957</v>
      </c>
      <c r="BM25" s="5">
        <v>2588152605</v>
      </c>
      <c r="BN25" s="15">
        <v>4727463</v>
      </c>
      <c r="BO25" s="3"/>
      <c r="BP25" s="1"/>
      <c r="BQ25" s="1"/>
      <c r="BR25" s="5"/>
      <c r="BS25" s="5"/>
      <c r="BT25" s="5"/>
    </row>
    <row r="26" spans="1:72" x14ac:dyDescent="0.25">
      <c r="A26" s="6" t="s">
        <v>80</v>
      </c>
      <c r="B26" s="10">
        <v>1341111209</v>
      </c>
      <c r="C26" s="10">
        <v>228449185</v>
      </c>
      <c r="D26" s="10">
        <v>440577500</v>
      </c>
      <c r="E26" s="10">
        <v>0</v>
      </c>
      <c r="F26" s="10">
        <v>66512380</v>
      </c>
      <c r="G26" s="10">
        <v>12303700</v>
      </c>
      <c r="H26" s="10">
        <v>10273600</v>
      </c>
      <c r="I26" s="10">
        <v>1846500</v>
      </c>
      <c r="J26" s="10">
        <v>62800</v>
      </c>
      <c r="K26" s="10">
        <v>31400</v>
      </c>
      <c r="L26" s="10">
        <v>391464094</v>
      </c>
      <c r="M26" s="10">
        <v>0</v>
      </c>
      <c r="N26" s="10">
        <v>2528</v>
      </c>
      <c r="O26" s="10">
        <v>481</v>
      </c>
      <c r="P26" s="10">
        <v>13881905</v>
      </c>
      <c r="Q26" s="10">
        <v>928500</v>
      </c>
      <c r="R26" s="10">
        <v>6022000</v>
      </c>
      <c r="S26" s="10">
        <v>4004590</v>
      </c>
      <c r="T26" s="10">
        <v>320800</v>
      </c>
      <c r="U26" s="10">
        <v>1075700</v>
      </c>
      <c r="V26" s="10">
        <v>13881905</v>
      </c>
      <c r="W26" s="10">
        <v>1490200</v>
      </c>
      <c r="X26" s="10">
        <v>6022000</v>
      </c>
      <c r="Y26" s="10">
        <v>4004590</v>
      </c>
      <c r="Z26" s="10">
        <v>871000</v>
      </c>
      <c r="AA26" s="10">
        <v>1075700</v>
      </c>
      <c r="AB26" s="10">
        <v>-5889300</v>
      </c>
      <c r="AC26" s="10">
        <v>-1530776</v>
      </c>
      <c r="AD26" s="10">
        <v>0</v>
      </c>
      <c r="AE26" s="10">
        <v>0</v>
      </c>
      <c r="AF26" s="3"/>
      <c r="AG26" s="10">
        <v>81025</v>
      </c>
      <c r="AH26" s="3"/>
      <c r="AI26" s="3"/>
      <c r="AJ26" s="3"/>
      <c r="AK26" s="10">
        <v>234473177</v>
      </c>
      <c r="AL26" s="10">
        <v>4958742</v>
      </c>
      <c r="AM26" s="10">
        <v>118000</v>
      </c>
      <c r="AN26" s="10">
        <v>67537974</v>
      </c>
      <c r="AO26" s="10">
        <v>9860983</v>
      </c>
      <c r="AP26" s="10">
        <v>251657295</v>
      </c>
      <c r="AQ26" s="10">
        <v>103811499</v>
      </c>
      <c r="AR26" s="10">
        <v>80748592</v>
      </c>
      <c r="AS26" s="10">
        <v>68772484</v>
      </c>
      <c r="AT26" s="10">
        <v>447413</v>
      </c>
      <c r="AU26" s="3"/>
      <c r="AV26" s="3"/>
      <c r="AW26" s="10">
        <v>6534</v>
      </c>
      <c r="AX26" s="10">
        <v>437</v>
      </c>
      <c r="AY26" s="10">
        <v>21500</v>
      </c>
      <c r="AZ26" s="1">
        <v>13540791.51</v>
      </c>
      <c r="BA26" s="1">
        <v>7176620</v>
      </c>
      <c r="BB26" s="19"/>
      <c r="BC26" s="15">
        <v>2202974</v>
      </c>
      <c r="BD26" s="15">
        <v>4156554</v>
      </c>
      <c r="BE26" s="20">
        <v>60373852</v>
      </c>
      <c r="BF26" s="20">
        <v>60201939</v>
      </c>
      <c r="BG26" s="20">
        <v>115382816</v>
      </c>
      <c r="BH26" s="20">
        <v>111416335</v>
      </c>
      <c r="BI26" s="19"/>
      <c r="BJ26" s="19"/>
      <c r="BK26" s="19"/>
      <c r="BL26" s="5">
        <v>2611778137</v>
      </c>
      <c r="BM26" s="5">
        <v>2191348350</v>
      </c>
      <c r="BN26" s="15">
        <v>1879300</v>
      </c>
      <c r="BO26" s="3"/>
      <c r="BP26" s="1"/>
      <c r="BQ26" s="1"/>
      <c r="BR26" s="5"/>
      <c r="BS26" s="5"/>
      <c r="BT26" s="5"/>
    </row>
    <row r="27" spans="1:72" x14ac:dyDescent="0.25">
      <c r="A27" s="6" t="s">
        <v>81</v>
      </c>
      <c r="B27" s="10">
        <v>184178400</v>
      </c>
      <c r="C27" s="10">
        <v>65705600</v>
      </c>
      <c r="D27" s="10">
        <v>71098600</v>
      </c>
      <c r="E27" s="10">
        <v>0</v>
      </c>
      <c r="F27" s="10">
        <v>32079900</v>
      </c>
      <c r="G27" s="10">
        <v>25527500</v>
      </c>
      <c r="H27" s="10">
        <v>11617500</v>
      </c>
      <c r="I27" s="10">
        <v>4656000</v>
      </c>
      <c r="J27" s="10">
        <v>0</v>
      </c>
      <c r="K27" s="10">
        <v>31400</v>
      </c>
      <c r="L27" s="10">
        <v>63695500</v>
      </c>
      <c r="M27" s="10">
        <v>44116100</v>
      </c>
      <c r="N27" s="10">
        <v>1490</v>
      </c>
      <c r="O27" s="10">
        <v>1164</v>
      </c>
      <c r="P27" s="10">
        <v>3861400</v>
      </c>
      <c r="Q27" s="10">
        <v>686800</v>
      </c>
      <c r="R27" s="10">
        <v>753800</v>
      </c>
      <c r="S27" s="10">
        <v>2882800</v>
      </c>
      <c r="T27" s="10">
        <v>334400</v>
      </c>
      <c r="U27" s="10">
        <v>1046000</v>
      </c>
      <c r="V27" s="10">
        <v>3861400</v>
      </c>
      <c r="W27" s="10">
        <v>686800</v>
      </c>
      <c r="X27" s="10">
        <v>753800</v>
      </c>
      <c r="Y27" s="10">
        <v>2882800</v>
      </c>
      <c r="Z27" s="10">
        <v>334400</v>
      </c>
      <c r="AA27" s="10">
        <v>1046000</v>
      </c>
      <c r="AB27" s="10">
        <v>-4353600</v>
      </c>
      <c r="AC27" s="10">
        <v>-121737</v>
      </c>
      <c r="AD27" s="10">
        <v>184416</v>
      </c>
      <c r="AE27" s="10">
        <v>0</v>
      </c>
      <c r="AF27" s="10">
        <v>0</v>
      </c>
      <c r="AG27" s="10">
        <v>201443</v>
      </c>
      <c r="AH27" s="10">
        <v>3607126</v>
      </c>
      <c r="AI27" s="10">
        <v>40992675</v>
      </c>
      <c r="AJ27" s="10">
        <v>1462823</v>
      </c>
      <c r="AK27" s="10">
        <v>94600919</v>
      </c>
      <c r="AL27" s="10">
        <v>2217372</v>
      </c>
      <c r="AM27" s="3"/>
      <c r="AN27" s="10">
        <v>18975313</v>
      </c>
      <c r="AO27" s="10">
        <v>81789</v>
      </c>
      <c r="AP27" s="10">
        <v>7503208</v>
      </c>
      <c r="AQ27" s="10">
        <v>11717727</v>
      </c>
      <c r="AR27" s="10">
        <v>5550545</v>
      </c>
      <c r="AS27" s="3"/>
      <c r="AT27" s="10">
        <v>345949</v>
      </c>
      <c r="AU27" s="3"/>
      <c r="AV27" s="3"/>
      <c r="AW27" s="3"/>
      <c r="AX27" s="3"/>
      <c r="AY27" s="10">
        <v>22500</v>
      </c>
      <c r="AZ27" s="1">
        <v>5463189.1699999999</v>
      </c>
      <c r="BA27" s="1">
        <v>2895490</v>
      </c>
      <c r="BB27" s="19"/>
      <c r="BC27" s="15">
        <v>689600</v>
      </c>
      <c r="BD27" s="15">
        <v>1301132</v>
      </c>
      <c r="BE27" s="20">
        <v>11511133</v>
      </c>
      <c r="BF27" s="20">
        <v>11511133</v>
      </c>
      <c r="BG27" s="20">
        <v>29603087</v>
      </c>
      <c r="BH27" s="20">
        <v>29293558</v>
      </c>
      <c r="BI27" s="19"/>
      <c r="BJ27" s="19"/>
      <c r="BK27" s="19"/>
      <c r="BL27" s="5">
        <v>539028125</v>
      </c>
      <c r="BM27" s="5">
        <v>397820053</v>
      </c>
      <c r="BN27" s="15">
        <v>504700</v>
      </c>
      <c r="BO27" s="3"/>
      <c r="BP27" s="1"/>
      <c r="BQ27" s="1"/>
      <c r="BR27" s="5"/>
      <c r="BS27" s="5"/>
      <c r="BT27" s="5"/>
    </row>
    <row r="28" spans="1:72" x14ac:dyDescent="0.25">
      <c r="A28" s="6" t="s">
        <v>82</v>
      </c>
      <c r="B28" s="10">
        <v>175262249</v>
      </c>
      <c r="C28" s="10">
        <v>67810476</v>
      </c>
      <c r="D28" s="10">
        <v>96582337</v>
      </c>
      <c r="E28" s="10">
        <v>0</v>
      </c>
      <c r="F28" s="10">
        <v>20988200</v>
      </c>
      <c r="G28" s="10">
        <v>7788085</v>
      </c>
      <c r="H28" s="10">
        <v>8773250</v>
      </c>
      <c r="I28" s="10">
        <v>690500</v>
      </c>
      <c r="J28" s="10">
        <v>31400</v>
      </c>
      <c r="K28" s="10">
        <v>0</v>
      </c>
      <c r="L28" s="10">
        <v>96265204</v>
      </c>
      <c r="M28" s="10">
        <v>42455900</v>
      </c>
      <c r="N28" s="10">
        <v>1027</v>
      </c>
      <c r="O28" s="10">
        <v>314</v>
      </c>
      <c r="P28" s="10">
        <v>4986800</v>
      </c>
      <c r="Q28" s="10">
        <v>1781000</v>
      </c>
      <c r="R28" s="10">
        <v>1648000</v>
      </c>
      <c r="S28" s="10">
        <v>852650</v>
      </c>
      <c r="T28" s="10">
        <v>0</v>
      </c>
      <c r="U28" s="10">
        <v>560200</v>
      </c>
      <c r="V28" s="10">
        <v>4996800</v>
      </c>
      <c r="W28" s="10">
        <v>1781000</v>
      </c>
      <c r="X28" s="10">
        <v>1648000</v>
      </c>
      <c r="Y28" s="10">
        <v>852650</v>
      </c>
      <c r="Z28" s="10">
        <v>0</v>
      </c>
      <c r="AA28" s="10">
        <v>560200</v>
      </c>
      <c r="AB28" s="10">
        <v>-2815916</v>
      </c>
      <c r="AC28" s="10">
        <v>110113</v>
      </c>
      <c r="AD28" s="10">
        <v>48014</v>
      </c>
      <c r="AE28" s="10">
        <v>0</v>
      </c>
      <c r="AF28" s="10">
        <v>0</v>
      </c>
      <c r="AG28" s="10">
        <v>96433</v>
      </c>
      <c r="AH28" s="10">
        <v>5055935</v>
      </c>
      <c r="AI28" s="10">
        <v>111403</v>
      </c>
      <c r="AJ28" s="3"/>
      <c r="AK28" s="10">
        <v>46944314</v>
      </c>
      <c r="AL28" s="10">
        <v>6636307</v>
      </c>
      <c r="AM28" s="10">
        <v>6063506</v>
      </c>
      <c r="AN28" s="10">
        <v>9257437</v>
      </c>
      <c r="AO28" s="10">
        <v>3707018</v>
      </c>
      <c r="AP28" s="10">
        <v>28077291</v>
      </c>
      <c r="AQ28" s="10">
        <v>10424758</v>
      </c>
      <c r="AR28" s="10">
        <v>5894362</v>
      </c>
      <c r="AS28" s="10">
        <v>0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0">
        <v>0</v>
      </c>
      <c r="AZ28" s="1">
        <v>2711027.23</v>
      </c>
      <c r="BA28" s="1">
        <v>1436844</v>
      </c>
      <c r="BB28" s="19"/>
      <c r="BC28" s="15">
        <v>0</v>
      </c>
      <c r="BD28" s="15">
        <v>0</v>
      </c>
      <c r="BE28" s="20">
        <v>608454</v>
      </c>
      <c r="BF28" s="20">
        <v>608454</v>
      </c>
      <c r="BG28" s="20">
        <v>16686505</v>
      </c>
      <c r="BH28" s="20">
        <v>16686505</v>
      </c>
      <c r="BI28" s="19"/>
      <c r="BJ28" s="19"/>
      <c r="BK28" s="19"/>
      <c r="BL28" s="5">
        <v>440524037</v>
      </c>
      <c r="BM28" s="5">
        <v>368211613</v>
      </c>
      <c r="BN28" s="15">
        <v>455907</v>
      </c>
      <c r="BO28" s="3"/>
      <c r="BP28" s="1"/>
      <c r="BQ28" s="1"/>
      <c r="BR28" s="5"/>
      <c r="BS28" s="5"/>
      <c r="BT28" s="5"/>
    </row>
    <row r="29" spans="1:72" x14ac:dyDescent="0.25">
      <c r="A29" s="6" t="s">
        <v>83</v>
      </c>
      <c r="B29" s="10">
        <v>132030212</v>
      </c>
      <c r="C29" s="10">
        <v>111930820</v>
      </c>
      <c r="D29" s="10">
        <v>32760059</v>
      </c>
      <c r="E29" s="10">
        <v>1080000</v>
      </c>
      <c r="F29" s="10">
        <v>20889803</v>
      </c>
      <c r="G29" s="10">
        <v>5592140</v>
      </c>
      <c r="H29" s="10">
        <v>7030905</v>
      </c>
      <c r="I29" s="10">
        <v>1207800</v>
      </c>
      <c r="J29" s="10">
        <v>17500</v>
      </c>
      <c r="K29" s="10">
        <v>10000</v>
      </c>
      <c r="L29" s="10">
        <v>118740078</v>
      </c>
      <c r="M29" s="10">
        <v>51887101</v>
      </c>
      <c r="N29" s="10">
        <v>973</v>
      </c>
      <c r="O29" s="10">
        <v>256</v>
      </c>
      <c r="P29" s="10">
        <v>1422854</v>
      </c>
      <c r="Q29" s="10">
        <v>2205500</v>
      </c>
      <c r="R29" s="10">
        <v>445000</v>
      </c>
      <c r="S29" s="10">
        <v>893290</v>
      </c>
      <c r="T29" s="10">
        <v>156900</v>
      </c>
      <c r="U29" s="10">
        <v>103467</v>
      </c>
      <c r="V29" s="10">
        <v>1422854</v>
      </c>
      <c r="W29" s="10">
        <v>2205500</v>
      </c>
      <c r="X29" s="10">
        <v>445000</v>
      </c>
      <c r="Y29" s="10">
        <v>893290</v>
      </c>
      <c r="Z29" s="10">
        <v>81500</v>
      </c>
      <c r="AA29" s="10">
        <v>103467</v>
      </c>
      <c r="AB29" s="10">
        <v>-2224617</v>
      </c>
      <c r="AC29" s="10">
        <v>0</v>
      </c>
      <c r="AD29" s="10">
        <v>100884</v>
      </c>
      <c r="AE29" s="10">
        <v>13498</v>
      </c>
      <c r="AF29" s="10">
        <v>2363702</v>
      </c>
      <c r="AG29" s="10">
        <v>218152</v>
      </c>
      <c r="AH29" s="3"/>
      <c r="AI29" s="10">
        <v>490935</v>
      </c>
      <c r="AJ29" s="10">
        <v>6694</v>
      </c>
      <c r="AK29" s="10">
        <v>53976115</v>
      </c>
      <c r="AL29" s="10">
        <v>1458213</v>
      </c>
      <c r="AM29" s="3"/>
      <c r="AN29" s="10">
        <v>7238963</v>
      </c>
      <c r="AO29" s="10">
        <v>49160</v>
      </c>
      <c r="AP29" s="10">
        <v>6701367</v>
      </c>
      <c r="AQ29" s="10">
        <v>6701418</v>
      </c>
      <c r="AR29" s="10">
        <v>5427003</v>
      </c>
      <c r="AS29" s="3"/>
      <c r="AT29" s="10">
        <v>206700</v>
      </c>
      <c r="AU29" s="3"/>
      <c r="AV29" s="3"/>
      <c r="AW29" s="10">
        <v>22489</v>
      </c>
      <c r="AX29" s="10">
        <v>290274</v>
      </c>
      <c r="AY29" s="10">
        <v>33000</v>
      </c>
      <c r="AZ29" s="1">
        <v>3117112.71</v>
      </c>
      <c r="BA29" s="1">
        <v>1652070</v>
      </c>
      <c r="BB29" s="19">
        <v>17394490.219999999</v>
      </c>
      <c r="BC29" s="15">
        <v>0</v>
      </c>
      <c r="BD29" s="15">
        <v>0</v>
      </c>
      <c r="BE29" s="20">
        <v>1418107</v>
      </c>
      <c r="BF29" s="20">
        <v>1418107</v>
      </c>
      <c r="BG29" s="20">
        <v>21266959</v>
      </c>
      <c r="BH29" s="20">
        <v>21266959</v>
      </c>
      <c r="BI29" s="19"/>
      <c r="BJ29" s="19"/>
      <c r="BK29" s="19"/>
      <c r="BL29" s="5">
        <v>370979725</v>
      </c>
      <c r="BM29" s="5">
        <v>291208261</v>
      </c>
      <c r="BN29" s="15">
        <v>636707</v>
      </c>
      <c r="BO29" s="3"/>
      <c r="BP29" s="1"/>
      <c r="BQ29" s="1"/>
      <c r="BR29" s="5"/>
      <c r="BS29" s="5"/>
      <c r="BT29" s="5"/>
    </row>
    <row r="30" spans="1:72" x14ac:dyDescent="0.25">
      <c r="A30" s="6" t="s">
        <v>84</v>
      </c>
      <c r="B30" s="10">
        <v>117846390</v>
      </c>
      <c r="C30" s="10">
        <v>92443230</v>
      </c>
      <c r="D30" s="10">
        <v>28315245</v>
      </c>
      <c r="E30" s="10">
        <v>0</v>
      </c>
      <c r="F30" s="10">
        <v>14011000</v>
      </c>
      <c r="G30" s="10">
        <v>4233250</v>
      </c>
      <c r="H30" s="10">
        <v>6877200</v>
      </c>
      <c r="I30" s="10">
        <v>753600</v>
      </c>
      <c r="J30" s="10">
        <v>31400</v>
      </c>
      <c r="K30" s="10">
        <v>0</v>
      </c>
      <c r="L30" s="10">
        <v>123561245</v>
      </c>
      <c r="M30" s="10">
        <v>40522375</v>
      </c>
      <c r="N30" s="10">
        <v>689</v>
      </c>
      <c r="O30" s="10">
        <v>177</v>
      </c>
      <c r="P30" s="10">
        <v>3600000</v>
      </c>
      <c r="Q30" s="10">
        <v>1180500</v>
      </c>
      <c r="R30" s="10">
        <v>355000</v>
      </c>
      <c r="S30" s="10">
        <v>541160</v>
      </c>
      <c r="T30" s="10">
        <v>152000</v>
      </c>
      <c r="U30" s="10">
        <v>205000</v>
      </c>
      <c r="V30" s="10">
        <v>3600000</v>
      </c>
      <c r="W30" s="10">
        <v>1290000</v>
      </c>
      <c r="X30" s="10">
        <v>355000</v>
      </c>
      <c r="Y30" s="10">
        <v>541160</v>
      </c>
      <c r="Z30" s="10">
        <v>385000</v>
      </c>
      <c r="AA30" s="10">
        <v>205000</v>
      </c>
      <c r="AB30" s="10">
        <v>-1019400</v>
      </c>
      <c r="AC30" s="10">
        <v>-76189</v>
      </c>
      <c r="AD30" s="10">
        <v>168903</v>
      </c>
      <c r="AE30" s="10">
        <v>0</v>
      </c>
      <c r="AF30" s="10">
        <v>0</v>
      </c>
      <c r="AG30" s="10">
        <v>0</v>
      </c>
      <c r="AH30" s="10">
        <v>2709445</v>
      </c>
      <c r="AI30" s="3"/>
      <c r="AJ30" s="3"/>
      <c r="AK30" s="10">
        <v>33944572</v>
      </c>
      <c r="AL30" s="10">
        <v>5256307</v>
      </c>
      <c r="AM30" s="10">
        <v>1760732</v>
      </c>
      <c r="AN30" s="10">
        <v>5052038</v>
      </c>
      <c r="AO30" s="10">
        <v>60987</v>
      </c>
      <c r="AP30" s="10">
        <v>731898</v>
      </c>
      <c r="AQ30" s="10">
        <v>3526364</v>
      </c>
      <c r="AR30" s="10">
        <v>3749053</v>
      </c>
      <c r="AS30" s="10">
        <v>0</v>
      </c>
      <c r="AT30" s="10">
        <v>125296</v>
      </c>
      <c r="AU30" s="10">
        <v>0</v>
      </c>
      <c r="AV30" s="10">
        <v>0</v>
      </c>
      <c r="AW30" s="10">
        <v>0</v>
      </c>
      <c r="AX30" s="10">
        <v>0</v>
      </c>
      <c r="AY30" s="10">
        <v>8000</v>
      </c>
      <c r="AZ30" s="1">
        <v>1960294.04</v>
      </c>
      <c r="BA30" s="1">
        <v>1038956</v>
      </c>
      <c r="BB30" s="19"/>
      <c r="BC30" s="15">
        <v>0</v>
      </c>
      <c r="BD30" s="15">
        <v>0</v>
      </c>
      <c r="BE30" s="20">
        <v>714492</v>
      </c>
      <c r="BF30" s="20">
        <v>714492</v>
      </c>
      <c r="BG30" s="20">
        <v>13076272</v>
      </c>
      <c r="BH30" s="20">
        <v>13076272</v>
      </c>
      <c r="BI30" s="19"/>
      <c r="BJ30" s="19"/>
      <c r="BK30" s="19"/>
      <c r="BL30" s="5">
        <v>303984298</v>
      </c>
      <c r="BM30" s="5">
        <v>249953699</v>
      </c>
      <c r="BN30" s="15">
        <v>257000</v>
      </c>
      <c r="BO30" s="3"/>
      <c r="BP30" s="1"/>
      <c r="BQ30" s="1"/>
      <c r="BR30" s="5"/>
      <c r="BS30" s="5"/>
      <c r="BT30" s="5"/>
    </row>
    <row r="31" spans="1:72" x14ac:dyDescent="0.25">
      <c r="A31" s="6" t="s">
        <v>85</v>
      </c>
      <c r="B31" s="10">
        <v>2854072576</v>
      </c>
      <c r="C31" s="10">
        <v>288847050</v>
      </c>
      <c r="D31" s="10">
        <v>1147092800</v>
      </c>
      <c r="E31" s="10">
        <v>0</v>
      </c>
      <c r="F31" s="10">
        <v>210401733</v>
      </c>
      <c r="G31" s="10">
        <v>25531453</v>
      </c>
      <c r="H31" s="10">
        <v>15837900</v>
      </c>
      <c r="I31" s="10">
        <v>0</v>
      </c>
      <c r="J31" s="10">
        <v>0</v>
      </c>
      <c r="K31" s="10">
        <v>0</v>
      </c>
      <c r="L31" s="10">
        <v>565887262</v>
      </c>
      <c r="M31" s="10">
        <v>165157950</v>
      </c>
      <c r="N31" s="10">
        <v>7322</v>
      </c>
      <c r="O31" s="10">
        <v>844</v>
      </c>
      <c r="P31" s="10">
        <v>69190335</v>
      </c>
      <c r="Q31" s="10">
        <v>5531125</v>
      </c>
      <c r="R31" s="10">
        <v>43597093</v>
      </c>
      <c r="S31" s="10">
        <v>20757970</v>
      </c>
      <c r="T31" s="10">
        <v>6526556</v>
      </c>
      <c r="U31" s="10">
        <v>11538742</v>
      </c>
      <c r="V31" s="10">
        <v>69190335</v>
      </c>
      <c r="W31" s="10">
        <v>8060037</v>
      </c>
      <c r="X31" s="10">
        <v>43597093</v>
      </c>
      <c r="Y31" s="10">
        <v>20757970</v>
      </c>
      <c r="Z31" s="10">
        <v>13312605</v>
      </c>
      <c r="AA31" s="10">
        <v>11538742</v>
      </c>
      <c r="AB31" s="10">
        <v>-16338854</v>
      </c>
      <c r="AC31" s="10">
        <v>-21110562</v>
      </c>
      <c r="AD31" s="10">
        <v>0</v>
      </c>
      <c r="AE31" s="10">
        <v>0</v>
      </c>
      <c r="AF31" s="10">
        <v>0</v>
      </c>
      <c r="AG31" s="10">
        <v>248302.61</v>
      </c>
      <c r="AH31" s="10">
        <v>7935260</v>
      </c>
      <c r="AI31" s="10">
        <v>261129</v>
      </c>
      <c r="AJ31" s="10">
        <v>108527</v>
      </c>
      <c r="AK31" s="10">
        <v>547953162</v>
      </c>
      <c r="AL31" s="10">
        <v>12315965</v>
      </c>
      <c r="AM31" s="10">
        <v>98000</v>
      </c>
      <c r="AN31" s="10">
        <v>218955987</v>
      </c>
      <c r="AO31" s="10">
        <v>18388606</v>
      </c>
      <c r="AP31" s="10">
        <v>358413382</v>
      </c>
      <c r="AQ31" s="10">
        <v>236469797</v>
      </c>
      <c r="AR31" s="10">
        <v>215481589</v>
      </c>
      <c r="AS31" s="10">
        <v>56074455</v>
      </c>
      <c r="AT31" s="10">
        <v>94734728</v>
      </c>
      <c r="AU31" s="10">
        <v>32055152</v>
      </c>
      <c r="AV31" s="10">
        <v>3056900</v>
      </c>
      <c r="AW31" s="10">
        <v>56410355</v>
      </c>
      <c r="AX31" s="10">
        <v>1279053</v>
      </c>
      <c r="AY31" s="10">
        <v>3994739</v>
      </c>
      <c r="AZ31" s="1">
        <v>31644214.579999998</v>
      </c>
      <c r="BA31" s="1">
        <v>16771434</v>
      </c>
      <c r="BB31" s="19">
        <v>20550750.340000004</v>
      </c>
      <c r="BC31" s="15">
        <v>1499197</v>
      </c>
      <c r="BD31" s="15">
        <v>2828673</v>
      </c>
      <c r="BE31" s="20">
        <v>49456075</v>
      </c>
      <c r="BF31" s="20">
        <v>49456075</v>
      </c>
      <c r="BG31" s="20">
        <v>149104504</v>
      </c>
      <c r="BH31" s="20">
        <v>143877678</v>
      </c>
      <c r="BI31" s="19">
        <v>6251349</v>
      </c>
      <c r="BJ31" s="19"/>
      <c r="BK31" s="19"/>
      <c r="BL31" s="5">
        <v>5550256592</v>
      </c>
      <c r="BM31" s="5">
        <v>4772131732</v>
      </c>
      <c r="BN31" s="15">
        <v>3676767</v>
      </c>
      <c r="BO31" s="3"/>
      <c r="BP31" s="1"/>
      <c r="BQ31" s="1"/>
      <c r="BR31" s="5"/>
      <c r="BS31" s="5"/>
      <c r="BT31" s="5"/>
    </row>
    <row r="32" spans="1:72" x14ac:dyDescent="0.25">
      <c r="A32" s="6" t="s">
        <v>86</v>
      </c>
      <c r="B32" s="10">
        <v>286020744</v>
      </c>
      <c r="C32" s="10">
        <v>103745697</v>
      </c>
      <c r="D32" s="10">
        <v>42074364</v>
      </c>
      <c r="E32" s="10">
        <v>0</v>
      </c>
      <c r="F32" s="10">
        <v>21030450</v>
      </c>
      <c r="G32" s="10">
        <v>9824490</v>
      </c>
      <c r="H32" s="10">
        <v>11718700</v>
      </c>
      <c r="I32" s="10">
        <v>2552500</v>
      </c>
      <c r="J32" s="10">
        <v>0</v>
      </c>
      <c r="K32" s="10">
        <v>0</v>
      </c>
      <c r="L32" s="10">
        <v>151862443</v>
      </c>
      <c r="M32" s="10">
        <v>78029735</v>
      </c>
      <c r="N32" s="10">
        <v>1133</v>
      </c>
      <c r="O32" s="10">
        <v>466</v>
      </c>
      <c r="P32" s="10">
        <v>9069500</v>
      </c>
      <c r="Q32" s="10">
        <v>2253500</v>
      </c>
      <c r="R32" s="10">
        <v>932500</v>
      </c>
      <c r="S32" s="10">
        <v>277700</v>
      </c>
      <c r="T32" s="10">
        <v>119500</v>
      </c>
      <c r="U32" s="10">
        <v>0</v>
      </c>
      <c r="V32" s="10">
        <v>9069500</v>
      </c>
      <c r="W32" s="10">
        <v>2253500</v>
      </c>
      <c r="X32" s="10">
        <v>932500</v>
      </c>
      <c r="Y32" s="10">
        <v>277700</v>
      </c>
      <c r="Z32" s="10">
        <v>119500</v>
      </c>
      <c r="AA32" s="10">
        <v>0</v>
      </c>
      <c r="AB32" s="10">
        <v>-1002725</v>
      </c>
      <c r="AC32" s="10">
        <v>-2636</v>
      </c>
      <c r="AD32" s="10">
        <v>61305</v>
      </c>
      <c r="AE32" s="10">
        <v>150943</v>
      </c>
      <c r="AF32" s="10">
        <v>5485811</v>
      </c>
      <c r="AG32" s="10">
        <v>127464</v>
      </c>
      <c r="AH32" s="10">
        <v>1603674</v>
      </c>
      <c r="AI32" s="10">
        <v>162493</v>
      </c>
      <c r="AJ32" s="3"/>
      <c r="AK32" s="10">
        <v>61795671</v>
      </c>
      <c r="AL32" s="10">
        <v>5597905</v>
      </c>
      <c r="AM32" s="10">
        <v>104500</v>
      </c>
      <c r="AN32" s="10">
        <v>5639047</v>
      </c>
      <c r="AO32" s="10">
        <v>100539</v>
      </c>
      <c r="AP32" s="10">
        <v>2429370</v>
      </c>
      <c r="AQ32" s="10">
        <v>2399940</v>
      </c>
      <c r="AR32" s="10">
        <v>1216377</v>
      </c>
      <c r="AS32" s="3"/>
      <c r="AT32" s="3"/>
      <c r="AU32" s="3"/>
      <c r="AV32" s="3"/>
      <c r="AW32" s="3"/>
      <c r="AX32" s="3"/>
      <c r="AY32" s="10">
        <v>60000</v>
      </c>
      <c r="AZ32" s="1">
        <v>3568690.92</v>
      </c>
      <c r="BA32" s="1">
        <v>1891406</v>
      </c>
      <c r="BB32" s="19"/>
      <c r="BC32" s="15">
        <v>224804</v>
      </c>
      <c r="BD32" s="15">
        <v>424158</v>
      </c>
      <c r="BE32" s="20">
        <v>1019577</v>
      </c>
      <c r="BF32" s="20">
        <v>1019577</v>
      </c>
      <c r="BG32" s="20">
        <v>15462253</v>
      </c>
      <c r="BH32" s="20">
        <v>14912604</v>
      </c>
      <c r="BI32" s="19"/>
      <c r="BJ32" s="19"/>
      <c r="BK32" s="19"/>
      <c r="BL32" s="5">
        <v>527188465</v>
      </c>
      <c r="BM32" s="5">
        <v>441746498</v>
      </c>
      <c r="BN32" s="15">
        <v>209000</v>
      </c>
      <c r="BO32" s="3"/>
      <c r="BP32" s="1"/>
      <c r="BQ32" s="1"/>
      <c r="BR32" s="5"/>
      <c r="BS32" s="5"/>
      <c r="BT32" s="5"/>
    </row>
    <row r="33" spans="1:72" x14ac:dyDescent="0.25">
      <c r="A33" s="6" t="s">
        <v>87</v>
      </c>
      <c r="B33" s="10">
        <v>51248488</v>
      </c>
      <c r="C33" s="10">
        <v>55102028</v>
      </c>
      <c r="D33" s="10">
        <v>12488470</v>
      </c>
      <c r="E33" s="10">
        <v>0</v>
      </c>
      <c r="F33" s="10">
        <v>6880610</v>
      </c>
      <c r="G33" s="10">
        <v>4798565</v>
      </c>
      <c r="H33" s="10">
        <v>10381197</v>
      </c>
      <c r="I33" s="10">
        <v>3082448</v>
      </c>
      <c r="J33" s="10">
        <v>0</v>
      </c>
      <c r="K33" s="10">
        <v>0</v>
      </c>
      <c r="L33" s="10">
        <v>78691442</v>
      </c>
      <c r="M33" s="10">
        <v>0</v>
      </c>
      <c r="N33" s="10">
        <v>647</v>
      </c>
      <c r="O33" s="10">
        <v>335</v>
      </c>
      <c r="P33" s="10">
        <v>1441616</v>
      </c>
      <c r="Q33" s="10">
        <v>537990</v>
      </c>
      <c r="R33" s="10">
        <v>0</v>
      </c>
      <c r="S33" s="10">
        <v>188408</v>
      </c>
      <c r="T33" s="10">
        <v>56350</v>
      </c>
      <c r="U33" s="10">
        <v>0</v>
      </c>
      <c r="V33" s="10">
        <v>1441616</v>
      </c>
      <c r="W33" s="10">
        <v>580889</v>
      </c>
      <c r="X33" s="10">
        <v>0</v>
      </c>
      <c r="Y33" s="10">
        <v>188408</v>
      </c>
      <c r="Z33" s="10">
        <v>20188</v>
      </c>
      <c r="AA33" s="10">
        <v>0</v>
      </c>
      <c r="AB33" s="10">
        <v>-1431605</v>
      </c>
      <c r="AC33" s="10">
        <v>0</v>
      </c>
      <c r="AD33" s="10">
        <v>124610</v>
      </c>
      <c r="AE33" s="10">
        <v>0</v>
      </c>
      <c r="AF33" s="10">
        <v>0</v>
      </c>
      <c r="AG33" s="10">
        <v>139547</v>
      </c>
      <c r="AH33" s="10">
        <v>1800109</v>
      </c>
      <c r="AI33" s="10">
        <v>198254</v>
      </c>
      <c r="AJ33" s="10">
        <v>30161</v>
      </c>
      <c r="AK33" s="10">
        <v>28759299</v>
      </c>
      <c r="AL33" s="10">
        <v>839451</v>
      </c>
      <c r="AM33" s="3"/>
      <c r="AN33" s="10">
        <v>1647884</v>
      </c>
      <c r="AO33" s="10">
        <v>31276</v>
      </c>
      <c r="AP33" s="10">
        <v>0</v>
      </c>
      <c r="AQ33" s="10">
        <v>1101960</v>
      </c>
      <c r="AR33" s="10">
        <v>83855</v>
      </c>
      <c r="AS33" s="3"/>
      <c r="AT33" s="10">
        <v>799512</v>
      </c>
      <c r="AU33" s="3"/>
      <c r="AV33" s="3"/>
      <c r="AW33" s="3"/>
      <c r="AX33" s="3"/>
      <c r="AY33" s="3"/>
      <c r="AZ33" s="1">
        <v>1660845.29</v>
      </c>
      <c r="BA33" s="1">
        <v>880248</v>
      </c>
      <c r="BB33" s="19"/>
      <c r="BC33" s="15">
        <v>0</v>
      </c>
      <c r="BD33" s="15">
        <v>0</v>
      </c>
      <c r="BE33" s="20">
        <v>1543875</v>
      </c>
      <c r="BF33" s="20">
        <v>1543875</v>
      </c>
      <c r="BG33" s="20">
        <v>17645712</v>
      </c>
      <c r="BH33" s="20">
        <v>17645712</v>
      </c>
      <c r="BI33" s="19"/>
      <c r="BJ33" s="19"/>
      <c r="BK33" s="19"/>
      <c r="BL33" s="5">
        <v>173317215</v>
      </c>
      <c r="BM33" s="5">
        <v>123648630</v>
      </c>
      <c r="BN33" s="15">
        <v>215481</v>
      </c>
      <c r="BO33" s="3"/>
      <c r="BP33" s="1"/>
      <c r="BQ33" s="1"/>
      <c r="BR33" s="5"/>
      <c r="BS33" s="5"/>
      <c r="BT33" s="5"/>
    </row>
    <row r="34" spans="1:72" x14ac:dyDescent="0.25">
      <c r="A34" s="6" t="s">
        <v>88</v>
      </c>
      <c r="B34" s="10">
        <v>200705132</v>
      </c>
      <c r="C34" s="10">
        <v>103896183</v>
      </c>
      <c r="D34" s="10">
        <v>54059754</v>
      </c>
      <c r="E34" s="10">
        <v>0</v>
      </c>
      <c r="F34" s="10">
        <v>28273679</v>
      </c>
      <c r="G34" s="10">
        <v>9299744</v>
      </c>
      <c r="H34" s="10">
        <v>8765818</v>
      </c>
      <c r="I34" s="10">
        <v>1640099</v>
      </c>
      <c r="J34" s="10">
        <v>60800</v>
      </c>
      <c r="K34" s="10">
        <v>62800</v>
      </c>
      <c r="L34" s="10">
        <v>24134787</v>
      </c>
      <c r="M34" s="10">
        <v>336956</v>
      </c>
      <c r="N34" s="10">
        <v>1256</v>
      </c>
      <c r="O34" s="10">
        <v>401</v>
      </c>
      <c r="P34" s="10">
        <v>3888395</v>
      </c>
      <c r="Q34" s="10">
        <v>1372302</v>
      </c>
      <c r="R34" s="10">
        <v>1089000</v>
      </c>
      <c r="S34" s="10">
        <v>7496920</v>
      </c>
      <c r="T34" s="10">
        <v>5946146</v>
      </c>
      <c r="U34" s="10">
        <v>1923926</v>
      </c>
      <c r="V34" s="10">
        <v>3888395</v>
      </c>
      <c r="W34" s="10">
        <v>1486102</v>
      </c>
      <c r="X34" s="10">
        <v>1089000</v>
      </c>
      <c r="Y34" s="10">
        <v>7496920</v>
      </c>
      <c r="Z34" s="10">
        <v>1101175</v>
      </c>
      <c r="AA34" s="10">
        <v>1923926</v>
      </c>
      <c r="AB34" s="10">
        <v>-3511033</v>
      </c>
      <c r="AC34" s="10">
        <v>39985</v>
      </c>
      <c r="AD34" s="10">
        <v>83039</v>
      </c>
      <c r="AE34" s="10">
        <v>12619</v>
      </c>
      <c r="AF34" s="10">
        <v>10819496</v>
      </c>
      <c r="AG34" s="10">
        <v>136598</v>
      </c>
      <c r="AH34" s="10">
        <v>1373524</v>
      </c>
      <c r="AI34" s="10">
        <v>67008</v>
      </c>
      <c r="AJ34" s="3"/>
      <c r="AK34" s="10">
        <v>69516339</v>
      </c>
      <c r="AL34" s="10">
        <v>1495772</v>
      </c>
      <c r="AM34" s="10">
        <v>0</v>
      </c>
      <c r="AN34" s="10">
        <v>5833830</v>
      </c>
      <c r="AO34" s="10">
        <v>29733</v>
      </c>
      <c r="AP34" s="10">
        <v>693924</v>
      </c>
      <c r="AQ34" s="10">
        <v>5821857</v>
      </c>
      <c r="AR34" s="10">
        <v>6619366</v>
      </c>
      <c r="AS34" s="10">
        <v>0</v>
      </c>
      <c r="AT34" s="10">
        <v>6143</v>
      </c>
      <c r="AU34" s="10">
        <v>0</v>
      </c>
      <c r="AV34" s="10">
        <v>0</v>
      </c>
      <c r="AW34" s="10">
        <v>859</v>
      </c>
      <c r="AX34" s="10">
        <v>41472</v>
      </c>
      <c r="AY34" s="10">
        <v>0</v>
      </c>
      <c r="AZ34" s="1">
        <v>4014558.36</v>
      </c>
      <c r="BA34" s="1">
        <v>2127716</v>
      </c>
      <c r="BB34" s="19"/>
      <c r="BC34" s="15">
        <v>3625717</v>
      </c>
      <c r="BD34" s="15">
        <v>6840975</v>
      </c>
      <c r="BE34" s="20">
        <v>12631592</v>
      </c>
      <c r="BF34" s="20">
        <v>12631592</v>
      </c>
      <c r="BG34" s="20">
        <v>31962127</v>
      </c>
      <c r="BH34" s="20">
        <v>29158542</v>
      </c>
      <c r="BI34" s="19"/>
      <c r="BJ34" s="19"/>
      <c r="BK34" s="19"/>
      <c r="BL34" s="5">
        <v>490342699</v>
      </c>
      <c r="BM34" s="5">
        <v>371787021</v>
      </c>
      <c r="BN34" s="15">
        <v>387960</v>
      </c>
      <c r="BO34" s="3"/>
      <c r="BP34" s="1"/>
      <c r="BQ34" s="1"/>
      <c r="BR34" s="5"/>
      <c r="BS34" s="5"/>
      <c r="BT34" s="5"/>
    </row>
    <row r="35" spans="1:72" x14ac:dyDescent="0.25">
      <c r="A35" s="6" t="s">
        <v>89</v>
      </c>
      <c r="B35" s="10">
        <v>14681278300</v>
      </c>
      <c r="C35" s="10">
        <v>836737800</v>
      </c>
      <c r="D35" s="10">
        <v>6219161800</v>
      </c>
      <c r="E35" s="10">
        <v>57000</v>
      </c>
      <c r="F35" s="10">
        <v>457321200</v>
      </c>
      <c r="G35" s="10">
        <v>35998200</v>
      </c>
      <c r="H35" s="10">
        <v>8208300</v>
      </c>
      <c r="I35" s="10">
        <v>282600</v>
      </c>
      <c r="J35" s="10">
        <v>690800</v>
      </c>
      <c r="K35" s="10">
        <v>31400</v>
      </c>
      <c r="L35" s="10">
        <v>1696932400</v>
      </c>
      <c r="M35" s="10">
        <v>603622300</v>
      </c>
      <c r="N35" s="10">
        <v>14929</v>
      </c>
      <c r="O35" s="10">
        <v>1191</v>
      </c>
      <c r="P35" s="10">
        <v>355993890</v>
      </c>
      <c r="Q35" s="10">
        <v>24204300</v>
      </c>
      <c r="R35" s="10">
        <v>145572200</v>
      </c>
      <c r="S35" s="10">
        <v>21801050</v>
      </c>
      <c r="T35" s="10">
        <v>4120300</v>
      </c>
      <c r="U35" s="10">
        <v>28760100</v>
      </c>
      <c r="V35" s="10">
        <v>355993890</v>
      </c>
      <c r="W35" s="10">
        <v>24964800</v>
      </c>
      <c r="X35" s="10">
        <v>145572200</v>
      </c>
      <c r="Y35" s="10">
        <v>21801050</v>
      </c>
      <c r="Z35" s="10">
        <v>25123400</v>
      </c>
      <c r="AA35" s="10">
        <v>28760100</v>
      </c>
      <c r="AB35" s="10">
        <v>23636700</v>
      </c>
      <c r="AC35" s="10">
        <v>-6440769</v>
      </c>
      <c r="AD35" s="10">
        <v>0</v>
      </c>
      <c r="AE35" s="10">
        <v>0</v>
      </c>
      <c r="AF35" s="10">
        <v>0</v>
      </c>
      <c r="AG35" s="10">
        <v>0</v>
      </c>
      <c r="AH35" s="3"/>
      <c r="AI35" s="10">
        <v>1516274</v>
      </c>
      <c r="AJ35" s="3"/>
      <c r="AK35" s="10">
        <v>1840109466</v>
      </c>
      <c r="AL35" s="10">
        <v>27250521</v>
      </c>
      <c r="AM35" s="10">
        <v>529464</v>
      </c>
      <c r="AN35" s="10">
        <v>934561490</v>
      </c>
      <c r="AO35" s="10">
        <v>48609485</v>
      </c>
      <c r="AP35" s="10">
        <v>408908162</v>
      </c>
      <c r="AQ35" s="10">
        <v>636206231</v>
      </c>
      <c r="AR35" s="10">
        <v>352279341</v>
      </c>
      <c r="AS35" s="10">
        <v>176310438</v>
      </c>
      <c r="AT35" s="10">
        <v>1185942265</v>
      </c>
      <c r="AU35" s="10">
        <v>2281870</v>
      </c>
      <c r="AV35" s="10">
        <v>420922</v>
      </c>
      <c r="AW35" s="10">
        <v>24510227</v>
      </c>
      <c r="AX35" s="10">
        <v>3691539</v>
      </c>
      <c r="AY35" s="10">
        <v>22148565</v>
      </c>
      <c r="AZ35" s="1">
        <v>106266051.23999999</v>
      </c>
      <c r="BA35" s="1">
        <v>56321007</v>
      </c>
      <c r="BB35" s="19"/>
      <c r="BC35" s="15">
        <v>2035384</v>
      </c>
      <c r="BD35" s="15">
        <v>3840347</v>
      </c>
      <c r="BE35" s="20">
        <v>209439409</v>
      </c>
      <c r="BF35" s="20">
        <v>207816829</v>
      </c>
      <c r="BG35" s="20">
        <v>498773036</v>
      </c>
      <c r="BH35" s="20">
        <v>471634503</v>
      </c>
      <c r="BI35" s="19"/>
      <c r="BJ35" s="19"/>
      <c r="BK35" s="19"/>
      <c r="BL35" s="5">
        <v>25963239090</v>
      </c>
      <c r="BM35" s="5">
        <v>23358071380</v>
      </c>
      <c r="BN35" s="15">
        <v>22556100</v>
      </c>
      <c r="BO35" s="3"/>
      <c r="BP35" s="1"/>
      <c r="BQ35" s="1"/>
      <c r="BR35" s="5"/>
      <c r="BS35" s="5"/>
      <c r="BT35" s="5"/>
    </row>
    <row r="36" spans="1:72" x14ac:dyDescent="0.25">
      <c r="A36" s="6" t="s">
        <v>90</v>
      </c>
      <c r="B36" s="10">
        <v>235708520</v>
      </c>
      <c r="C36" s="10">
        <v>150376375</v>
      </c>
      <c r="D36" s="10">
        <v>49852385</v>
      </c>
      <c r="E36" s="10">
        <v>0</v>
      </c>
      <c r="F36" s="10">
        <v>25602200</v>
      </c>
      <c r="G36" s="10">
        <v>6615800</v>
      </c>
      <c r="H36" s="10">
        <v>10366950</v>
      </c>
      <c r="I36" s="10">
        <v>1723600</v>
      </c>
      <c r="J36" s="10">
        <v>105300</v>
      </c>
      <c r="K36" s="10">
        <v>0</v>
      </c>
      <c r="L36" s="10">
        <v>139476030</v>
      </c>
      <c r="M36" s="10">
        <v>76103967</v>
      </c>
      <c r="N36" s="10">
        <v>1230</v>
      </c>
      <c r="O36" s="10">
        <v>295</v>
      </c>
      <c r="P36" s="10">
        <v>5901100</v>
      </c>
      <c r="Q36" s="10">
        <v>2235400</v>
      </c>
      <c r="R36" s="10">
        <v>702500</v>
      </c>
      <c r="S36" s="10">
        <v>1164018</v>
      </c>
      <c r="T36" s="10">
        <v>400800</v>
      </c>
      <c r="U36" s="10">
        <v>263000</v>
      </c>
      <c r="V36" s="10">
        <v>5901100</v>
      </c>
      <c r="W36" s="10">
        <v>2124500</v>
      </c>
      <c r="X36" s="10">
        <v>702500</v>
      </c>
      <c r="Y36" s="10">
        <v>1164018</v>
      </c>
      <c r="Z36" s="10">
        <v>246500</v>
      </c>
      <c r="AA36" s="10">
        <v>263000</v>
      </c>
      <c r="AB36" s="10">
        <v>-1747800</v>
      </c>
      <c r="AC36" s="10">
        <v>-384630</v>
      </c>
      <c r="AD36" s="10">
        <v>51396</v>
      </c>
      <c r="AE36" s="10">
        <v>46839</v>
      </c>
      <c r="AF36" s="10">
        <v>64784050</v>
      </c>
      <c r="AG36" s="10">
        <v>213573</v>
      </c>
      <c r="AH36" s="3"/>
      <c r="AI36" s="10">
        <v>127048</v>
      </c>
      <c r="AJ36" s="3"/>
      <c r="AK36" s="10">
        <v>88932921</v>
      </c>
      <c r="AL36" s="10">
        <v>1133530</v>
      </c>
      <c r="AM36" s="3"/>
      <c r="AN36" s="10">
        <v>15016037</v>
      </c>
      <c r="AO36" s="10">
        <v>768603</v>
      </c>
      <c r="AP36" s="10">
        <v>29266853</v>
      </c>
      <c r="AQ36" s="10">
        <v>21375373</v>
      </c>
      <c r="AR36" s="10">
        <v>11814359</v>
      </c>
      <c r="AS36" s="3"/>
      <c r="AT36" s="10">
        <v>1490930</v>
      </c>
      <c r="AU36" s="3"/>
      <c r="AV36" s="3"/>
      <c r="AW36" s="10">
        <v>40680</v>
      </c>
      <c r="AX36" s="10">
        <v>1114</v>
      </c>
      <c r="AY36" s="10">
        <v>261000</v>
      </c>
      <c r="AZ36" s="1">
        <v>5135863.12</v>
      </c>
      <c r="BA36" s="1">
        <v>2722007</v>
      </c>
      <c r="BB36" s="19"/>
      <c r="BC36" s="15">
        <v>452645</v>
      </c>
      <c r="BD36" s="15">
        <v>854047</v>
      </c>
      <c r="BE36" s="20">
        <v>10681618</v>
      </c>
      <c r="BF36" s="20">
        <v>10681618</v>
      </c>
      <c r="BG36" s="20">
        <v>23515967</v>
      </c>
      <c r="BH36" s="20">
        <v>23276439</v>
      </c>
      <c r="BI36" s="19"/>
      <c r="BJ36" s="19"/>
      <c r="BK36" s="19"/>
      <c r="BL36" s="5">
        <v>600423501</v>
      </c>
      <c r="BM36" s="5">
        <v>473224341</v>
      </c>
      <c r="BN36" s="15">
        <v>828280</v>
      </c>
      <c r="BO36" s="3"/>
      <c r="BP36" s="1"/>
      <c r="BQ36" s="1"/>
      <c r="BR36" s="5"/>
      <c r="BS36" s="5"/>
      <c r="BT36" s="5"/>
    </row>
    <row r="37" spans="1:72" x14ac:dyDescent="0.25">
      <c r="A37" s="6" t="s">
        <v>91</v>
      </c>
      <c r="B37" s="10">
        <v>547415528</v>
      </c>
      <c r="C37" s="10">
        <v>105888372</v>
      </c>
      <c r="D37" s="10">
        <v>213535119</v>
      </c>
      <c r="E37" s="10">
        <v>0</v>
      </c>
      <c r="F37" s="10">
        <v>72604400</v>
      </c>
      <c r="G37" s="10">
        <v>59846740</v>
      </c>
      <c r="H37" s="10">
        <v>17990034</v>
      </c>
      <c r="I37" s="10">
        <v>8354400</v>
      </c>
      <c r="J37" s="10">
        <v>205900</v>
      </c>
      <c r="K37" s="10">
        <v>62800</v>
      </c>
      <c r="L37" s="10">
        <v>63769465</v>
      </c>
      <c r="M37" s="10">
        <v>63769465</v>
      </c>
      <c r="N37" s="10">
        <v>3291</v>
      </c>
      <c r="O37" s="10">
        <v>2757</v>
      </c>
      <c r="P37" s="10">
        <v>5240300</v>
      </c>
      <c r="Q37" s="10">
        <v>927000</v>
      </c>
      <c r="R37" s="10">
        <v>162000</v>
      </c>
      <c r="S37" s="10">
        <v>1303500</v>
      </c>
      <c r="T37" s="10">
        <v>686200</v>
      </c>
      <c r="U37" s="10">
        <v>855500</v>
      </c>
      <c r="V37" s="10">
        <v>5240300</v>
      </c>
      <c r="W37" s="10">
        <v>1007000</v>
      </c>
      <c r="X37" s="10">
        <v>162000</v>
      </c>
      <c r="Y37" s="10">
        <v>1303500</v>
      </c>
      <c r="Z37" s="10">
        <v>871000</v>
      </c>
      <c r="AA37" s="10">
        <v>855500</v>
      </c>
      <c r="AB37" s="10">
        <v>-11849200</v>
      </c>
      <c r="AC37" s="10">
        <v>-489125</v>
      </c>
      <c r="AD37" s="10">
        <v>185455</v>
      </c>
      <c r="AE37" s="10">
        <v>0</v>
      </c>
      <c r="AF37" s="10">
        <v>0</v>
      </c>
      <c r="AG37" s="10">
        <v>183925</v>
      </c>
      <c r="AH37" s="10">
        <v>3484753</v>
      </c>
      <c r="AI37" s="10">
        <v>222926281</v>
      </c>
      <c r="AJ37" s="10">
        <v>115715394</v>
      </c>
      <c r="AK37" s="10">
        <v>252622039</v>
      </c>
      <c r="AL37" s="10">
        <v>5836235</v>
      </c>
      <c r="AM37" s="10">
        <v>150000</v>
      </c>
      <c r="AN37" s="10">
        <v>158952911</v>
      </c>
      <c r="AO37" s="10">
        <v>625641</v>
      </c>
      <c r="AP37" s="10">
        <v>6655167</v>
      </c>
      <c r="AQ37" s="10">
        <v>70513840</v>
      </c>
      <c r="AR37" s="10">
        <v>23461542</v>
      </c>
      <c r="AS37" s="10">
        <v>849094</v>
      </c>
      <c r="AT37" s="10">
        <v>0</v>
      </c>
      <c r="AU37" s="10">
        <v>0</v>
      </c>
      <c r="AV37" s="10">
        <v>0</v>
      </c>
      <c r="AW37" s="10">
        <v>0</v>
      </c>
      <c r="AX37" s="10">
        <v>565718</v>
      </c>
      <c r="AY37" s="10">
        <v>3016000</v>
      </c>
      <c r="AZ37" s="1">
        <v>14588885.630000001</v>
      </c>
      <c r="BA37" s="1">
        <v>7732109</v>
      </c>
      <c r="BB37" s="19"/>
      <c r="BC37" s="15">
        <v>4309241</v>
      </c>
      <c r="BD37" s="15">
        <v>8130644</v>
      </c>
      <c r="BE37" s="20">
        <v>14805530</v>
      </c>
      <c r="BF37" s="20">
        <v>14805530</v>
      </c>
      <c r="BG37" s="20">
        <v>123618829</v>
      </c>
      <c r="BH37" s="20">
        <v>119834513</v>
      </c>
      <c r="BI37" s="19"/>
      <c r="BJ37" s="19"/>
      <c r="BK37" s="19"/>
      <c r="BL37" s="5">
        <v>1844197506</v>
      </c>
      <c r="BM37" s="5">
        <v>1439057839</v>
      </c>
      <c r="BN37" s="15">
        <v>12306100</v>
      </c>
      <c r="BO37" s="3"/>
      <c r="BP37" s="1"/>
      <c r="BQ37" s="1"/>
      <c r="BR37" s="5"/>
      <c r="BS37" s="5"/>
      <c r="BT37" s="5"/>
    </row>
    <row r="38" spans="1:72" x14ac:dyDescent="0.25">
      <c r="A38" s="6" t="s">
        <v>92</v>
      </c>
      <c r="B38" s="10">
        <v>1834997263</v>
      </c>
      <c r="C38" s="10">
        <v>151713854</v>
      </c>
      <c r="D38" s="10">
        <v>760279050</v>
      </c>
      <c r="E38" s="10">
        <v>0</v>
      </c>
      <c r="F38" s="10">
        <v>109637660</v>
      </c>
      <c r="G38" s="10">
        <v>10302997</v>
      </c>
      <c r="H38" s="10">
        <v>8371363</v>
      </c>
      <c r="I38" s="10">
        <v>688526</v>
      </c>
      <c r="J38" s="10">
        <v>62800</v>
      </c>
      <c r="K38" s="10">
        <v>0</v>
      </c>
      <c r="L38" s="10">
        <v>150729639</v>
      </c>
      <c r="M38" s="10">
        <v>117674289</v>
      </c>
      <c r="N38" s="10">
        <v>3820</v>
      </c>
      <c r="O38" s="10">
        <v>375</v>
      </c>
      <c r="P38" s="10">
        <v>30081959</v>
      </c>
      <c r="Q38" s="10">
        <v>3703039</v>
      </c>
      <c r="R38" s="10">
        <v>18768868</v>
      </c>
      <c r="S38" s="10">
        <v>4017395</v>
      </c>
      <c r="T38" s="10">
        <v>1255752</v>
      </c>
      <c r="U38" s="10">
        <v>2052523</v>
      </c>
      <c r="V38" s="10">
        <v>30081959</v>
      </c>
      <c r="W38" s="10">
        <v>4023800</v>
      </c>
      <c r="X38" s="10">
        <v>18768868</v>
      </c>
      <c r="Y38" s="10">
        <v>4017395</v>
      </c>
      <c r="Z38" s="10">
        <v>1782929</v>
      </c>
      <c r="AA38" s="10">
        <v>2052523</v>
      </c>
      <c r="AB38" s="10">
        <v>-3071373</v>
      </c>
      <c r="AC38" s="10">
        <v>544899</v>
      </c>
      <c r="AD38" s="10">
        <v>0</v>
      </c>
      <c r="AE38" s="10">
        <v>0</v>
      </c>
      <c r="AF38" s="10">
        <v>0</v>
      </c>
      <c r="AG38" s="10">
        <v>103702</v>
      </c>
      <c r="AH38" s="3"/>
      <c r="AI38" s="10">
        <v>532298</v>
      </c>
      <c r="AJ38" s="3"/>
      <c r="AK38" s="10">
        <v>318995436</v>
      </c>
      <c r="AL38" s="10">
        <v>9382562</v>
      </c>
      <c r="AM38" s="10">
        <v>1591200</v>
      </c>
      <c r="AN38" s="10">
        <v>112194925</v>
      </c>
      <c r="AO38" s="10">
        <v>8959591</v>
      </c>
      <c r="AP38" s="10">
        <v>153425755</v>
      </c>
      <c r="AQ38" s="10">
        <v>76768339</v>
      </c>
      <c r="AR38" s="10">
        <v>62518290</v>
      </c>
      <c r="AS38" s="10">
        <v>46299225</v>
      </c>
      <c r="AT38" s="10">
        <v>2346517</v>
      </c>
      <c r="AU38" s="3"/>
      <c r="AV38" s="3"/>
      <c r="AW38" s="10">
        <v>25181</v>
      </c>
      <c r="AX38" s="10">
        <v>9726</v>
      </c>
      <c r="AY38" s="10">
        <v>3213789</v>
      </c>
      <c r="AZ38" s="1">
        <v>18421939.550000001</v>
      </c>
      <c r="BA38" s="1">
        <v>9763628</v>
      </c>
      <c r="BB38" s="19"/>
      <c r="BC38" s="15">
        <v>0</v>
      </c>
      <c r="BD38" s="15">
        <v>0</v>
      </c>
      <c r="BE38" s="20">
        <v>11162282</v>
      </c>
      <c r="BF38" s="20">
        <v>10837825</v>
      </c>
      <c r="BG38" s="20">
        <v>34297860</v>
      </c>
      <c r="BH38" s="20">
        <v>34181376</v>
      </c>
      <c r="BI38" s="19">
        <v>97942920</v>
      </c>
      <c r="BJ38" s="19"/>
      <c r="BK38" s="19"/>
      <c r="BL38" s="5">
        <v>3426549067</v>
      </c>
      <c r="BM38" s="5">
        <v>2945445320</v>
      </c>
      <c r="BN38" s="15">
        <v>7579498</v>
      </c>
      <c r="BO38" s="3"/>
      <c r="BP38" s="1"/>
      <c r="BQ38" s="1"/>
      <c r="BR38" s="5"/>
      <c r="BS38" s="5"/>
      <c r="BT38" s="5"/>
    </row>
    <row r="39" spans="1:72" x14ac:dyDescent="0.25">
      <c r="A39" s="6" t="s">
        <v>93</v>
      </c>
      <c r="B39" s="10">
        <v>75368693</v>
      </c>
      <c r="C39" s="10">
        <v>49947742</v>
      </c>
      <c r="D39" s="10">
        <v>64542437</v>
      </c>
      <c r="E39" s="10">
        <v>2032086</v>
      </c>
      <c r="F39" s="10">
        <v>16208955</v>
      </c>
      <c r="G39" s="10">
        <v>3488700</v>
      </c>
      <c r="H39" s="10">
        <v>3292780</v>
      </c>
      <c r="I39" s="10">
        <v>254275</v>
      </c>
      <c r="J39" s="10">
        <v>22500</v>
      </c>
      <c r="K39" s="10">
        <v>15000</v>
      </c>
      <c r="L39" s="10">
        <v>101860807</v>
      </c>
      <c r="M39" s="10">
        <v>14260180</v>
      </c>
      <c r="N39" s="10">
        <v>693</v>
      </c>
      <c r="O39" s="10">
        <v>151</v>
      </c>
      <c r="P39" s="10">
        <v>1573580</v>
      </c>
      <c r="Q39" s="10">
        <v>1858688</v>
      </c>
      <c r="R39" s="10">
        <v>4046800</v>
      </c>
      <c r="S39" s="10">
        <v>928835</v>
      </c>
      <c r="T39" s="10">
        <v>399008</v>
      </c>
      <c r="U39" s="10">
        <v>2164165</v>
      </c>
      <c r="V39" s="10">
        <v>1573580</v>
      </c>
      <c r="W39" s="10">
        <v>14987524</v>
      </c>
      <c r="X39" s="10">
        <v>4046800</v>
      </c>
      <c r="Y39" s="10">
        <v>928835</v>
      </c>
      <c r="Z39" s="10">
        <v>214200</v>
      </c>
      <c r="AA39" s="10">
        <v>2164165</v>
      </c>
      <c r="AB39" s="10">
        <v>-726688</v>
      </c>
      <c r="AC39" s="10">
        <v>-539853</v>
      </c>
      <c r="AD39" s="10">
        <v>22652</v>
      </c>
      <c r="AE39" s="10">
        <v>23288</v>
      </c>
      <c r="AF39" s="10">
        <v>4334782</v>
      </c>
      <c r="AG39" s="10">
        <v>404958</v>
      </c>
      <c r="AH39" s="3"/>
      <c r="AI39" s="3"/>
      <c r="AJ39" s="3"/>
      <c r="AK39" s="10">
        <v>30709153</v>
      </c>
      <c r="AL39" s="10">
        <v>595582</v>
      </c>
      <c r="AM39" s="3"/>
      <c r="AN39" s="10">
        <v>11721693</v>
      </c>
      <c r="AO39" s="10">
        <v>1911038</v>
      </c>
      <c r="AP39" s="10">
        <v>36803955</v>
      </c>
      <c r="AQ39" s="10">
        <v>16938404</v>
      </c>
      <c r="AR39" s="10">
        <v>39323943</v>
      </c>
      <c r="AS39" s="10">
        <v>5050050</v>
      </c>
      <c r="AT39" s="3"/>
      <c r="AU39" s="3"/>
      <c r="AV39" s="3"/>
      <c r="AW39" s="10">
        <v>24341256</v>
      </c>
      <c r="AX39" s="3"/>
      <c r="AY39" s="10">
        <v>190900</v>
      </c>
      <c r="AZ39" s="1">
        <v>1773449.07</v>
      </c>
      <c r="BA39" s="1">
        <v>939928</v>
      </c>
      <c r="BB39" s="19">
        <v>18814098.91</v>
      </c>
      <c r="BC39" s="15">
        <v>469353</v>
      </c>
      <c r="BD39" s="15">
        <v>885572</v>
      </c>
      <c r="BE39" s="20">
        <v>4372720</v>
      </c>
      <c r="BF39" s="20">
        <v>4372720</v>
      </c>
      <c r="BG39" s="20">
        <v>19706552</v>
      </c>
      <c r="BH39" s="20">
        <v>14767445</v>
      </c>
      <c r="BI39" s="19"/>
      <c r="BJ39" s="19">
        <v>3224800</v>
      </c>
      <c r="BK39" s="19"/>
      <c r="BL39" s="5">
        <v>275508988</v>
      </c>
      <c r="BM39" s="5">
        <v>220430007</v>
      </c>
      <c r="BN39" s="15">
        <v>1154370</v>
      </c>
      <c r="BO39" s="3"/>
      <c r="BP39" s="1"/>
      <c r="BQ39" s="1"/>
      <c r="BR39" s="5"/>
      <c r="BS39" s="5"/>
      <c r="BT39" s="5"/>
    </row>
    <row r="40" spans="1:72" x14ac:dyDescent="0.25">
      <c r="A40" s="6" t="s">
        <v>94</v>
      </c>
      <c r="B40" s="10">
        <v>238963090</v>
      </c>
      <c r="C40" s="10">
        <v>58631569</v>
      </c>
      <c r="D40" s="10">
        <v>92581302</v>
      </c>
      <c r="E40" s="10">
        <v>47482444</v>
      </c>
      <c r="F40" s="10">
        <v>10054500</v>
      </c>
      <c r="G40" s="10">
        <v>4131300</v>
      </c>
      <c r="H40" s="10">
        <v>3352600</v>
      </c>
      <c r="I40" s="10">
        <v>555400</v>
      </c>
      <c r="J40" s="10">
        <v>0</v>
      </c>
      <c r="K40" s="10">
        <v>0</v>
      </c>
      <c r="L40" s="10">
        <v>92299330</v>
      </c>
      <c r="M40" s="10">
        <v>0</v>
      </c>
      <c r="N40" s="10">
        <v>448</v>
      </c>
      <c r="O40" s="10">
        <v>155</v>
      </c>
      <c r="P40" s="10">
        <v>6155300</v>
      </c>
      <c r="Q40" s="10">
        <v>2257500</v>
      </c>
      <c r="R40" s="10">
        <v>5875500</v>
      </c>
      <c r="S40" s="10">
        <v>1882560</v>
      </c>
      <c r="T40" s="10">
        <v>243125</v>
      </c>
      <c r="U40" s="10">
        <v>628330</v>
      </c>
      <c r="V40" s="10">
        <v>6155300</v>
      </c>
      <c r="W40" s="10">
        <v>2357848</v>
      </c>
      <c r="X40" s="10">
        <v>5875500</v>
      </c>
      <c r="Y40" s="10">
        <v>1882560</v>
      </c>
      <c r="Z40" s="10">
        <v>246200</v>
      </c>
      <c r="AA40" s="10">
        <v>628330</v>
      </c>
      <c r="AB40" s="10">
        <v>-1315700</v>
      </c>
      <c r="AC40" s="10">
        <v>-124939</v>
      </c>
      <c r="AD40" s="10">
        <v>21135</v>
      </c>
      <c r="AE40" s="10">
        <v>0</v>
      </c>
      <c r="AF40" s="10">
        <v>0</v>
      </c>
      <c r="AG40" s="10">
        <v>49917</v>
      </c>
      <c r="AH40" s="3"/>
      <c r="AI40" s="10">
        <v>3143202</v>
      </c>
      <c r="AJ40" s="3"/>
      <c r="AK40" s="10">
        <v>46832972</v>
      </c>
      <c r="AL40" s="10">
        <v>2791134</v>
      </c>
      <c r="AM40" s="10">
        <v>736122</v>
      </c>
      <c r="AN40" s="10">
        <v>14646114</v>
      </c>
      <c r="AO40" s="10">
        <v>1376717</v>
      </c>
      <c r="AP40" s="10">
        <v>284154832</v>
      </c>
      <c r="AQ40" s="10">
        <v>34748666</v>
      </c>
      <c r="AR40" s="10">
        <v>99065154</v>
      </c>
      <c r="AS40" s="10">
        <v>14105909</v>
      </c>
      <c r="AT40" s="10">
        <v>135634</v>
      </c>
      <c r="AU40" s="10">
        <v>0</v>
      </c>
      <c r="AV40" s="10">
        <v>0</v>
      </c>
      <c r="AW40" s="10">
        <v>24629545</v>
      </c>
      <c r="AX40" s="10">
        <v>480130</v>
      </c>
      <c r="AY40" s="10">
        <v>23000</v>
      </c>
      <c r="AZ40" s="1">
        <v>2704597.25</v>
      </c>
      <c r="BA40" s="1">
        <v>1433437</v>
      </c>
      <c r="BB40" s="19">
        <v>11493341.939999999</v>
      </c>
      <c r="BC40" s="15">
        <v>582261</v>
      </c>
      <c r="BD40" s="15">
        <v>1098607</v>
      </c>
      <c r="BE40" s="20">
        <v>4126372</v>
      </c>
      <c r="BF40" s="20">
        <v>4126372</v>
      </c>
      <c r="BG40" s="20">
        <v>21012958</v>
      </c>
      <c r="BH40" s="20">
        <v>19956974</v>
      </c>
      <c r="BI40" s="19"/>
      <c r="BJ40" s="19"/>
      <c r="BK40" s="19"/>
      <c r="BL40" s="5">
        <v>519813810</v>
      </c>
      <c r="BM40" s="5">
        <v>444090660</v>
      </c>
      <c r="BN40" s="15">
        <v>411269</v>
      </c>
      <c r="BO40" s="3"/>
      <c r="BP40" s="1"/>
      <c r="BQ40" s="1"/>
      <c r="BR40" s="5"/>
      <c r="BS40" s="5"/>
      <c r="BT40" s="5"/>
    </row>
    <row r="41" spans="1:72" x14ac:dyDescent="0.25">
      <c r="A41" s="6" t="s">
        <v>95</v>
      </c>
      <c r="B41" s="10">
        <v>486171486</v>
      </c>
      <c r="C41" s="10">
        <v>121605070</v>
      </c>
      <c r="D41" s="10">
        <v>49195001</v>
      </c>
      <c r="E41" s="10">
        <v>0</v>
      </c>
      <c r="F41" s="10">
        <v>31204100</v>
      </c>
      <c r="G41" s="10">
        <v>8686800</v>
      </c>
      <c r="H41" s="10">
        <v>10279600</v>
      </c>
      <c r="I41" s="10">
        <v>1366600</v>
      </c>
      <c r="J41" s="10">
        <v>94200</v>
      </c>
      <c r="K41" s="10">
        <v>31400</v>
      </c>
      <c r="L41" s="10">
        <v>180136430</v>
      </c>
      <c r="M41" s="10">
        <v>86251500</v>
      </c>
      <c r="N41" s="10">
        <v>1346</v>
      </c>
      <c r="O41" s="10">
        <v>336</v>
      </c>
      <c r="P41" s="10">
        <v>7054000</v>
      </c>
      <c r="Q41" s="10">
        <v>1871400</v>
      </c>
      <c r="R41" s="10">
        <v>725000</v>
      </c>
      <c r="S41" s="10">
        <v>4672170</v>
      </c>
      <c r="T41" s="10">
        <v>762100</v>
      </c>
      <c r="U41" s="10">
        <v>1385340</v>
      </c>
      <c r="V41" s="10">
        <v>7054000</v>
      </c>
      <c r="W41" s="10">
        <v>1871400</v>
      </c>
      <c r="X41" s="10">
        <v>725000</v>
      </c>
      <c r="Y41" s="10">
        <v>4672170</v>
      </c>
      <c r="Z41" s="10">
        <v>1199000</v>
      </c>
      <c r="AA41" s="10">
        <v>1385340</v>
      </c>
      <c r="AB41" s="10">
        <v>-1846125</v>
      </c>
      <c r="AC41" s="10">
        <v>-216651</v>
      </c>
      <c r="AD41" s="10">
        <v>0</v>
      </c>
      <c r="AE41" s="10">
        <v>0</v>
      </c>
      <c r="AF41" s="10">
        <v>0</v>
      </c>
      <c r="AG41" s="10">
        <v>134548</v>
      </c>
      <c r="AH41" s="3"/>
      <c r="AI41" s="10">
        <v>94919</v>
      </c>
      <c r="AJ41" s="3"/>
      <c r="AK41" s="10">
        <v>97866405</v>
      </c>
      <c r="AL41" s="10">
        <v>5375970</v>
      </c>
      <c r="AM41" s="10">
        <v>909615</v>
      </c>
      <c r="AN41" s="10">
        <v>6442608</v>
      </c>
      <c r="AO41" s="10">
        <v>127530</v>
      </c>
      <c r="AP41" s="10">
        <v>5463977</v>
      </c>
      <c r="AQ41" s="10">
        <v>5642429</v>
      </c>
      <c r="AR41" s="10">
        <v>1565234</v>
      </c>
      <c r="AS41" s="3"/>
      <c r="AT41" s="10">
        <v>582875</v>
      </c>
      <c r="AU41" s="3"/>
      <c r="AV41" s="3"/>
      <c r="AW41" s="3"/>
      <c r="AX41" s="3"/>
      <c r="AY41" s="10">
        <v>15500</v>
      </c>
      <c r="AZ41" s="1">
        <v>5651770.5099999998</v>
      </c>
      <c r="BA41" s="1">
        <v>2995438</v>
      </c>
      <c r="BB41" s="19"/>
      <c r="BC41" s="15">
        <v>0</v>
      </c>
      <c r="BD41" s="15">
        <v>0</v>
      </c>
      <c r="BE41" s="20">
        <v>12196506</v>
      </c>
      <c r="BF41" s="20">
        <v>12196506</v>
      </c>
      <c r="BG41" s="20">
        <v>24470281</v>
      </c>
      <c r="BH41" s="20">
        <v>24470281</v>
      </c>
      <c r="BI41" s="19"/>
      <c r="BJ41" s="19"/>
      <c r="BK41" s="19"/>
      <c r="BL41" s="5">
        <v>812183643</v>
      </c>
      <c r="BM41" s="5">
        <v>669279043</v>
      </c>
      <c r="BN41" s="15">
        <v>941500</v>
      </c>
      <c r="BO41" s="3"/>
      <c r="BP41" s="1"/>
      <c r="BQ41" s="1"/>
      <c r="BR41" s="5"/>
      <c r="BS41" s="5"/>
      <c r="BT41" s="5"/>
    </row>
    <row r="42" spans="1:72" x14ac:dyDescent="0.25">
      <c r="A42" s="6" t="s">
        <v>96</v>
      </c>
      <c r="B42" s="10">
        <v>597288985</v>
      </c>
      <c r="C42" s="10">
        <v>183400043</v>
      </c>
      <c r="D42" s="10">
        <v>186177490</v>
      </c>
      <c r="E42" s="10">
        <v>600000</v>
      </c>
      <c r="F42" s="10">
        <v>28350850</v>
      </c>
      <c r="G42" s="10">
        <v>6200650</v>
      </c>
      <c r="H42" s="10">
        <v>15183200</v>
      </c>
      <c r="I42" s="10">
        <v>1248300</v>
      </c>
      <c r="J42" s="10">
        <v>282600</v>
      </c>
      <c r="K42" s="10">
        <v>0</v>
      </c>
      <c r="L42" s="10">
        <v>293628578</v>
      </c>
      <c r="M42" s="10">
        <v>152361600</v>
      </c>
      <c r="N42" s="10">
        <v>1441</v>
      </c>
      <c r="O42" s="10">
        <v>250</v>
      </c>
      <c r="P42" s="10">
        <v>15183230</v>
      </c>
      <c r="Q42" s="10">
        <v>6357300</v>
      </c>
      <c r="R42" s="10">
        <v>2115000</v>
      </c>
      <c r="S42" s="10">
        <v>4644541</v>
      </c>
      <c r="T42" s="10">
        <v>972100</v>
      </c>
      <c r="U42" s="10">
        <v>415400</v>
      </c>
      <c r="V42" s="10">
        <v>15183230</v>
      </c>
      <c r="W42" s="10">
        <v>3564600</v>
      </c>
      <c r="X42" s="10">
        <v>2115000</v>
      </c>
      <c r="Y42" s="10">
        <v>4644541</v>
      </c>
      <c r="Z42" s="10">
        <v>1604000</v>
      </c>
      <c r="AA42" s="10">
        <v>415400</v>
      </c>
      <c r="AB42" s="10">
        <v>-974360</v>
      </c>
      <c r="AC42" s="10">
        <v>-40202</v>
      </c>
      <c r="AD42" s="10">
        <v>47082</v>
      </c>
      <c r="AE42" s="10">
        <v>32</v>
      </c>
      <c r="AF42" s="10">
        <v>0</v>
      </c>
      <c r="AG42" s="10">
        <v>145092</v>
      </c>
      <c r="AH42" s="3"/>
      <c r="AI42" s="3"/>
      <c r="AJ42" s="3"/>
      <c r="AK42" s="10">
        <v>136452608</v>
      </c>
      <c r="AL42" s="10">
        <v>4002008</v>
      </c>
      <c r="AM42" s="3"/>
      <c r="AN42" s="10">
        <v>24591832</v>
      </c>
      <c r="AO42" s="10">
        <v>469266</v>
      </c>
      <c r="AP42" s="10">
        <v>44893280</v>
      </c>
      <c r="AQ42" s="10">
        <v>49166913</v>
      </c>
      <c r="AR42" s="10">
        <v>21107525</v>
      </c>
      <c r="AS42" s="10">
        <v>21462</v>
      </c>
      <c r="AT42" s="3"/>
      <c r="AU42" s="3"/>
      <c r="AV42" s="3"/>
      <c r="AW42" s="3"/>
      <c r="AX42" s="10">
        <v>6363</v>
      </c>
      <c r="AY42" s="3"/>
      <c r="AZ42" s="1">
        <v>7880118.0599999996</v>
      </c>
      <c r="BA42" s="1">
        <v>4176463</v>
      </c>
      <c r="BB42" s="19"/>
      <c r="BC42" s="15">
        <v>2099686</v>
      </c>
      <c r="BD42" s="15">
        <v>3961671</v>
      </c>
      <c r="BE42" s="20">
        <v>21292478</v>
      </c>
      <c r="BF42" s="20">
        <v>21292478</v>
      </c>
      <c r="BG42" s="20">
        <v>67710280</v>
      </c>
      <c r="BH42" s="20">
        <v>61144081</v>
      </c>
      <c r="BI42" s="19"/>
      <c r="BJ42" s="19"/>
      <c r="BK42" s="19"/>
      <c r="BL42" s="5">
        <v>1270261853</v>
      </c>
      <c r="BM42" s="5">
        <v>1041094529</v>
      </c>
      <c r="BN42" s="15">
        <v>2474400</v>
      </c>
      <c r="BO42" s="3"/>
      <c r="BP42" s="1"/>
      <c r="BQ42" s="1"/>
      <c r="BR42" s="5"/>
      <c r="BS42" s="5"/>
      <c r="BT42" s="5"/>
    </row>
    <row r="43" spans="1:72" x14ac:dyDescent="0.25">
      <c r="A43" s="6" t="s">
        <v>97</v>
      </c>
      <c r="B43" s="10">
        <v>649177205</v>
      </c>
      <c r="C43" s="10">
        <v>297850492</v>
      </c>
      <c r="D43" s="10">
        <v>227498556</v>
      </c>
      <c r="E43" s="10">
        <v>18024947</v>
      </c>
      <c r="F43" s="10">
        <v>81263325</v>
      </c>
      <c r="G43" s="10">
        <v>15182550</v>
      </c>
      <c r="H43" s="10">
        <v>22034750</v>
      </c>
      <c r="I43" s="10">
        <v>2605450</v>
      </c>
      <c r="J43" s="10">
        <v>94200</v>
      </c>
      <c r="K43" s="10">
        <v>31400</v>
      </c>
      <c r="L43" s="10">
        <v>611780029</v>
      </c>
      <c r="M43" s="10">
        <v>166104323</v>
      </c>
      <c r="N43" s="10">
        <v>3445</v>
      </c>
      <c r="O43" s="10">
        <v>624</v>
      </c>
      <c r="P43" s="10">
        <v>10252700</v>
      </c>
      <c r="Q43" s="10">
        <v>5476400</v>
      </c>
      <c r="R43" s="10">
        <v>3975650</v>
      </c>
      <c r="S43" s="10">
        <v>6745715</v>
      </c>
      <c r="T43" s="10">
        <v>1242021</v>
      </c>
      <c r="U43" s="10">
        <v>8965545</v>
      </c>
      <c r="V43" s="10">
        <v>10252700</v>
      </c>
      <c r="W43" s="10">
        <v>7769100</v>
      </c>
      <c r="X43" s="10">
        <v>3975650</v>
      </c>
      <c r="Y43" s="10">
        <v>6745715</v>
      </c>
      <c r="Z43" s="10">
        <v>2078051</v>
      </c>
      <c r="AA43" s="10">
        <v>8965545</v>
      </c>
      <c r="AB43" s="10">
        <v>-7097602</v>
      </c>
      <c r="AC43" s="10">
        <v>-2330107</v>
      </c>
      <c r="AD43" s="10">
        <v>48326</v>
      </c>
      <c r="AE43" s="10">
        <v>0</v>
      </c>
      <c r="AF43" s="10">
        <v>3734334</v>
      </c>
      <c r="AG43" s="10">
        <v>314124</v>
      </c>
      <c r="AH43" s="3"/>
      <c r="AI43" s="10">
        <v>175412</v>
      </c>
      <c r="AJ43" s="3"/>
      <c r="AK43" s="10">
        <v>231393980</v>
      </c>
      <c r="AL43" s="10">
        <v>5770214</v>
      </c>
      <c r="AM43" s="10">
        <v>362000</v>
      </c>
      <c r="AN43" s="10">
        <v>43647047</v>
      </c>
      <c r="AO43" s="10">
        <v>3399912</v>
      </c>
      <c r="AP43" s="10">
        <v>39780031</v>
      </c>
      <c r="AQ43" s="10">
        <v>55753630</v>
      </c>
      <c r="AR43" s="10">
        <v>26528466</v>
      </c>
      <c r="AS43" s="3"/>
      <c r="AT43" s="3"/>
      <c r="AU43" s="3"/>
      <c r="AV43" s="3"/>
      <c r="AW43" s="10">
        <v>2144134</v>
      </c>
      <c r="AX43" s="10">
        <v>87810</v>
      </c>
      <c r="AY43" s="10">
        <v>229317</v>
      </c>
      <c r="AZ43" s="1">
        <v>13362968.34</v>
      </c>
      <c r="BA43" s="1">
        <v>7082373</v>
      </c>
      <c r="BB43" s="19"/>
      <c r="BC43" s="15">
        <v>1900198</v>
      </c>
      <c r="BD43" s="15">
        <v>3585279</v>
      </c>
      <c r="BE43" s="20">
        <v>26858363</v>
      </c>
      <c r="BF43" s="20">
        <v>25427253</v>
      </c>
      <c r="BG43" s="20">
        <v>110380976</v>
      </c>
      <c r="BH43" s="20">
        <v>89231544</v>
      </c>
      <c r="BI43" s="19"/>
      <c r="BJ43" s="19">
        <v>4689105</v>
      </c>
      <c r="BK43" s="19"/>
      <c r="BL43" s="5">
        <v>1642996921</v>
      </c>
      <c r="BM43" s="5">
        <v>1277502254</v>
      </c>
      <c r="BN43" s="15">
        <v>4378644</v>
      </c>
      <c r="BO43" s="3"/>
      <c r="BP43" s="1"/>
      <c r="BQ43" s="1"/>
      <c r="BR43" s="5"/>
      <c r="BS43" s="5"/>
      <c r="BT43" s="5"/>
    </row>
    <row r="44" spans="1:72" x14ac:dyDescent="0.25">
      <c r="A44" s="6" t="s">
        <v>98</v>
      </c>
      <c r="B44" s="10">
        <v>556222527</v>
      </c>
      <c r="C44" s="10">
        <v>176761416</v>
      </c>
      <c r="D44" s="10">
        <v>146038076</v>
      </c>
      <c r="E44" s="10">
        <v>13450000</v>
      </c>
      <c r="F44" s="10">
        <v>44182029</v>
      </c>
      <c r="G44" s="10">
        <v>11447469</v>
      </c>
      <c r="H44" s="10">
        <v>17827550</v>
      </c>
      <c r="I44" s="10">
        <v>3003800</v>
      </c>
      <c r="J44" s="10">
        <v>188000</v>
      </c>
      <c r="K44" s="10">
        <v>31400</v>
      </c>
      <c r="L44" s="10">
        <v>219645073</v>
      </c>
      <c r="M44" s="10">
        <v>106176019</v>
      </c>
      <c r="N44" s="10">
        <v>2098</v>
      </c>
      <c r="O44" s="10">
        <v>529</v>
      </c>
      <c r="P44" s="10">
        <v>19076214</v>
      </c>
      <c r="Q44" s="10">
        <v>3266987</v>
      </c>
      <c r="R44" s="10">
        <v>3104730</v>
      </c>
      <c r="S44" s="10">
        <v>4655505</v>
      </c>
      <c r="T44" s="10">
        <v>2382689</v>
      </c>
      <c r="U44" s="10">
        <v>840297</v>
      </c>
      <c r="V44" s="10">
        <v>19076214</v>
      </c>
      <c r="W44" s="10">
        <v>3304257</v>
      </c>
      <c r="X44" s="10">
        <v>3104730</v>
      </c>
      <c r="Y44" s="10">
        <v>4655505</v>
      </c>
      <c r="Z44" s="10">
        <v>2855171</v>
      </c>
      <c r="AA44" s="10">
        <v>840297</v>
      </c>
      <c r="AB44" s="10">
        <v>-4076378</v>
      </c>
      <c r="AC44" s="10">
        <v>-3823324</v>
      </c>
      <c r="AD44" s="10">
        <v>128113</v>
      </c>
      <c r="AE44" s="10">
        <v>71966</v>
      </c>
      <c r="AF44" s="10">
        <v>75384569</v>
      </c>
      <c r="AG44" s="10">
        <v>270775</v>
      </c>
      <c r="AH44" s="10">
        <v>10685</v>
      </c>
      <c r="AI44" s="10">
        <v>537057</v>
      </c>
      <c r="AJ44" s="3"/>
      <c r="AK44" s="10">
        <v>136579879</v>
      </c>
      <c r="AL44" s="10">
        <v>12882200</v>
      </c>
      <c r="AM44" s="10">
        <v>305050</v>
      </c>
      <c r="AN44" s="10">
        <v>30066795</v>
      </c>
      <c r="AO44" s="10">
        <v>1300904</v>
      </c>
      <c r="AP44" s="10">
        <v>71398955</v>
      </c>
      <c r="AQ44" s="10">
        <v>48700237</v>
      </c>
      <c r="AR44" s="10">
        <v>45041654</v>
      </c>
      <c r="AS44" s="10">
        <v>2540562</v>
      </c>
      <c r="AT44" s="10">
        <v>37239</v>
      </c>
      <c r="AU44" s="10">
        <v>0</v>
      </c>
      <c r="AV44" s="10">
        <v>0</v>
      </c>
      <c r="AW44" s="10">
        <v>114020</v>
      </c>
      <c r="AX44" s="10">
        <v>11454</v>
      </c>
      <c r="AY44" s="10">
        <v>303000</v>
      </c>
      <c r="AZ44" s="1">
        <v>7887467.9400000004</v>
      </c>
      <c r="BA44" s="1">
        <v>4180358</v>
      </c>
      <c r="BB44" s="19"/>
      <c r="BC44" s="15">
        <v>1736658</v>
      </c>
      <c r="BD44" s="15">
        <v>3276714</v>
      </c>
      <c r="BE44" s="20">
        <v>8533431</v>
      </c>
      <c r="BF44" s="20">
        <v>5895679</v>
      </c>
      <c r="BG44" s="20">
        <v>38080665</v>
      </c>
      <c r="BH44" s="20">
        <v>34832106</v>
      </c>
      <c r="BI44" s="19"/>
      <c r="BJ44" s="19"/>
      <c r="BK44" s="19"/>
      <c r="BL44" s="5">
        <v>1155744577</v>
      </c>
      <c r="BM44" s="5">
        <v>959637697</v>
      </c>
      <c r="BN44" s="15">
        <v>1314270</v>
      </c>
      <c r="BO44" s="3"/>
      <c r="BP44" s="1"/>
      <c r="BQ44" s="1"/>
      <c r="BR44" s="5"/>
      <c r="BS44" s="5"/>
      <c r="BT44" s="5"/>
    </row>
    <row r="45" spans="1:72" x14ac:dyDescent="0.25">
      <c r="A45" s="6" t="s">
        <v>99</v>
      </c>
      <c r="B45" s="10">
        <v>155267987</v>
      </c>
      <c r="C45" s="10">
        <v>102116131</v>
      </c>
      <c r="D45" s="10">
        <v>33139820</v>
      </c>
      <c r="E45" s="10">
        <v>0</v>
      </c>
      <c r="F45" s="10">
        <v>20934550</v>
      </c>
      <c r="G45" s="10">
        <v>7387378</v>
      </c>
      <c r="H45" s="10">
        <v>11505700</v>
      </c>
      <c r="I45" s="10">
        <v>2170200</v>
      </c>
      <c r="J45" s="10">
        <v>61400</v>
      </c>
      <c r="K45" s="10">
        <v>0</v>
      </c>
      <c r="L45" s="10">
        <v>137819528</v>
      </c>
      <c r="M45" s="10">
        <v>38399800</v>
      </c>
      <c r="N45" s="10">
        <v>1088</v>
      </c>
      <c r="O45" s="10">
        <v>338</v>
      </c>
      <c r="P45" s="10">
        <v>1645450</v>
      </c>
      <c r="Q45" s="10">
        <v>893200</v>
      </c>
      <c r="R45" s="10">
        <v>200000</v>
      </c>
      <c r="S45" s="10">
        <v>126300</v>
      </c>
      <c r="T45" s="10">
        <v>157000</v>
      </c>
      <c r="U45" s="10">
        <v>0</v>
      </c>
      <c r="V45" s="10">
        <v>1645450</v>
      </c>
      <c r="W45" s="10">
        <v>923500</v>
      </c>
      <c r="X45" s="10">
        <v>200000</v>
      </c>
      <c r="Y45" s="10">
        <v>126300</v>
      </c>
      <c r="Z45" s="10">
        <v>0</v>
      </c>
      <c r="AA45" s="10">
        <v>0</v>
      </c>
      <c r="AB45" s="10">
        <v>-2539000</v>
      </c>
      <c r="AC45" s="10">
        <v>-16894</v>
      </c>
      <c r="AD45" s="10">
        <v>40426</v>
      </c>
      <c r="AE45" s="10">
        <v>0</v>
      </c>
      <c r="AF45" s="10">
        <v>0</v>
      </c>
      <c r="AG45" s="10">
        <v>250338</v>
      </c>
      <c r="AH45" s="10">
        <v>382735</v>
      </c>
      <c r="AI45" s="10">
        <v>50274</v>
      </c>
      <c r="AJ45" s="3"/>
      <c r="AK45" s="10">
        <v>54408316</v>
      </c>
      <c r="AL45" s="10">
        <v>1312624</v>
      </c>
      <c r="AM45" s="3"/>
      <c r="AN45" s="10">
        <v>5769882</v>
      </c>
      <c r="AO45" s="10">
        <v>17347</v>
      </c>
      <c r="AP45" s="10">
        <v>3269684</v>
      </c>
      <c r="AQ45" s="10">
        <v>4983013</v>
      </c>
      <c r="AR45" s="10">
        <v>1545152</v>
      </c>
      <c r="AS45" s="3"/>
      <c r="AT45" s="10">
        <v>1091038</v>
      </c>
      <c r="AU45" s="3"/>
      <c r="AV45" s="3"/>
      <c r="AW45" s="3"/>
      <c r="AX45" s="3"/>
      <c r="AY45" s="3"/>
      <c r="AZ45" s="1">
        <v>3142072.25</v>
      </c>
      <c r="BA45" s="1">
        <v>1665298</v>
      </c>
      <c r="BB45" s="19"/>
      <c r="BC45" s="19">
        <v>0</v>
      </c>
      <c r="BD45" s="19">
        <v>0</v>
      </c>
      <c r="BE45" s="20">
        <v>9260965</v>
      </c>
      <c r="BF45" s="20">
        <v>9260965</v>
      </c>
      <c r="BG45" s="20">
        <v>27362052</v>
      </c>
      <c r="BH45" s="20">
        <v>27362052</v>
      </c>
      <c r="BI45" s="19"/>
      <c r="BJ45" s="19"/>
      <c r="BK45" s="19"/>
      <c r="BL45" s="5">
        <v>395736444</v>
      </c>
      <c r="BM45" s="5">
        <v>301727189</v>
      </c>
      <c r="BN45" s="15">
        <v>276762</v>
      </c>
      <c r="BO45" s="3"/>
      <c r="BP45" s="1"/>
      <c r="BQ45" s="1"/>
      <c r="BR45" s="5"/>
      <c r="BS45" s="5"/>
      <c r="BT45" s="5"/>
    </row>
    <row r="46" spans="1:72" x14ac:dyDescent="0.25">
      <c r="A46" s="6" t="s">
        <v>100</v>
      </c>
      <c r="B46" s="10">
        <v>840874664</v>
      </c>
      <c r="C46" s="10">
        <v>106978163</v>
      </c>
      <c r="D46" s="10">
        <v>271199279</v>
      </c>
      <c r="E46" s="10">
        <v>0</v>
      </c>
      <c r="F46" s="10">
        <v>90899228</v>
      </c>
      <c r="G46" s="10">
        <v>28459209</v>
      </c>
      <c r="H46" s="10">
        <v>13745200</v>
      </c>
      <c r="I46" s="10">
        <v>4044274</v>
      </c>
      <c r="J46" s="10">
        <v>157000</v>
      </c>
      <c r="K46" s="10">
        <v>0</v>
      </c>
      <c r="L46" s="10">
        <v>95450162</v>
      </c>
      <c r="M46" s="10">
        <v>90365316</v>
      </c>
      <c r="N46" s="10">
        <v>3563</v>
      </c>
      <c r="O46" s="10">
        <v>1173</v>
      </c>
      <c r="P46" s="10">
        <v>3396342</v>
      </c>
      <c r="Q46" s="10">
        <v>565747</v>
      </c>
      <c r="R46" s="10">
        <v>5763483</v>
      </c>
      <c r="S46" s="10">
        <v>1020472</v>
      </c>
      <c r="T46" s="10">
        <v>11144</v>
      </c>
      <c r="U46" s="10">
        <v>196100</v>
      </c>
      <c r="V46" s="10">
        <v>3396342</v>
      </c>
      <c r="W46" s="10">
        <v>610935</v>
      </c>
      <c r="X46" s="10">
        <v>5763483</v>
      </c>
      <c r="Y46" s="10">
        <v>1020472</v>
      </c>
      <c r="Z46" s="10">
        <v>16244</v>
      </c>
      <c r="AA46" s="10">
        <v>196100</v>
      </c>
      <c r="AB46" s="10">
        <v>-18108316</v>
      </c>
      <c r="AC46" s="10">
        <v>-790877</v>
      </c>
      <c r="AD46" s="10">
        <v>149519</v>
      </c>
      <c r="AE46" s="10">
        <v>0</v>
      </c>
      <c r="AF46" s="10">
        <v>0</v>
      </c>
      <c r="AG46" s="10">
        <v>189218</v>
      </c>
      <c r="AH46" s="10">
        <v>618983</v>
      </c>
      <c r="AI46" s="10">
        <v>568568</v>
      </c>
      <c r="AJ46" s="3"/>
      <c r="AK46" s="10">
        <v>220731730</v>
      </c>
      <c r="AL46" s="10">
        <v>5818590</v>
      </c>
      <c r="AM46" s="3"/>
      <c r="AN46" s="10">
        <v>41834562</v>
      </c>
      <c r="AO46" s="10">
        <v>1014281</v>
      </c>
      <c r="AP46" s="10">
        <v>96662451</v>
      </c>
      <c r="AQ46" s="10">
        <v>64857881</v>
      </c>
      <c r="AR46" s="10">
        <v>74573565</v>
      </c>
      <c r="AS46" s="10">
        <v>63397418</v>
      </c>
      <c r="AT46" s="10">
        <v>231057</v>
      </c>
      <c r="AU46" s="3"/>
      <c r="AV46" s="3"/>
      <c r="AW46" s="10">
        <v>110296</v>
      </c>
      <c r="AX46" s="3"/>
      <c r="AY46" s="10">
        <v>1341000</v>
      </c>
      <c r="AZ46" s="1">
        <v>12747224.970000001</v>
      </c>
      <c r="BA46" s="1">
        <v>6756029</v>
      </c>
      <c r="BB46" s="19">
        <v>13702463.52</v>
      </c>
      <c r="BC46" s="15">
        <v>23806900</v>
      </c>
      <c r="BD46" s="15">
        <v>44918680</v>
      </c>
      <c r="BE46" s="20">
        <v>44877420</v>
      </c>
      <c r="BF46" s="20">
        <v>44877420</v>
      </c>
      <c r="BG46" s="20">
        <v>91713789</v>
      </c>
      <c r="BH46" s="20">
        <v>77861092</v>
      </c>
      <c r="BI46" s="19"/>
      <c r="BJ46" s="19"/>
      <c r="BK46" s="19"/>
      <c r="BL46" s="5">
        <v>1707798142</v>
      </c>
      <c r="BM46" s="5">
        <v>1327946381</v>
      </c>
      <c r="BN46" s="15">
        <v>1240064</v>
      </c>
      <c r="BO46" s="3"/>
      <c r="BP46" s="1"/>
      <c r="BQ46" s="1"/>
      <c r="BR46" s="5"/>
      <c r="BS46" s="5"/>
      <c r="BT46" s="5"/>
    </row>
    <row r="47" spans="1:72" x14ac:dyDescent="0.25">
      <c r="A47" s="6" t="s">
        <v>101</v>
      </c>
      <c r="B47" s="10">
        <v>142694981</v>
      </c>
      <c r="C47" s="10">
        <v>77023550</v>
      </c>
      <c r="D47" s="10">
        <v>124520408</v>
      </c>
      <c r="E47" s="10">
        <v>254666663</v>
      </c>
      <c r="F47" s="10">
        <v>14326000</v>
      </c>
      <c r="G47" s="10">
        <v>2566400</v>
      </c>
      <c r="H47" s="10">
        <v>7135400</v>
      </c>
      <c r="I47" s="10">
        <v>1108000</v>
      </c>
      <c r="J47" s="10">
        <v>0</v>
      </c>
      <c r="K47" s="10">
        <v>0</v>
      </c>
      <c r="L47" s="10">
        <v>130189250</v>
      </c>
      <c r="M47" s="10">
        <v>55547400</v>
      </c>
      <c r="N47" s="10">
        <v>729</v>
      </c>
      <c r="O47" s="10">
        <v>137</v>
      </c>
      <c r="P47" s="10">
        <v>5864100</v>
      </c>
      <c r="Q47" s="10">
        <v>1805100</v>
      </c>
      <c r="R47" s="10">
        <v>367600</v>
      </c>
      <c r="S47" s="10">
        <v>2099100</v>
      </c>
      <c r="T47" s="10">
        <v>737100</v>
      </c>
      <c r="U47" s="10">
        <v>196100</v>
      </c>
      <c r="V47" s="10">
        <v>5745100</v>
      </c>
      <c r="W47" s="10">
        <v>2045300</v>
      </c>
      <c r="X47" s="10">
        <v>367600</v>
      </c>
      <c r="Y47" s="10">
        <v>1184400</v>
      </c>
      <c r="Z47" s="10">
        <v>1184000</v>
      </c>
      <c r="AA47" s="10">
        <v>196100</v>
      </c>
      <c r="AB47" s="10">
        <v>-912500</v>
      </c>
      <c r="AC47" s="10">
        <v>-1123004</v>
      </c>
      <c r="AD47" s="10">
        <v>85844</v>
      </c>
      <c r="AE47" s="10">
        <v>0</v>
      </c>
      <c r="AF47" s="10">
        <v>0</v>
      </c>
      <c r="AG47" s="10">
        <v>107429</v>
      </c>
      <c r="AH47" s="10">
        <v>631978</v>
      </c>
      <c r="AI47" s="10">
        <v>305403</v>
      </c>
      <c r="AJ47" s="10">
        <v>230000</v>
      </c>
      <c r="AK47" s="10">
        <v>54085021</v>
      </c>
      <c r="AL47" s="10">
        <v>1614625</v>
      </c>
      <c r="AM47" s="10">
        <v>0</v>
      </c>
      <c r="AN47" s="10">
        <v>26398412</v>
      </c>
      <c r="AO47" s="10">
        <v>41695904</v>
      </c>
      <c r="AP47" s="10">
        <v>494655220</v>
      </c>
      <c r="AQ47" s="10">
        <v>43731920</v>
      </c>
      <c r="AR47" s="10">
        <v>138145323</v>
      </c>
      <c r="AS47" s="10">
        <v>12939033</v>
      </c>
      <c r="AT47" s="10">
        <v>729085</v>
      </c>
      <c r="AU47" s="10">
        <v>0</v>
      </c>
      <c r="AV47" s="10">
        <v>0</v>
      </c>
      <c r="AW47" s="10">
        <v>509976</v>
      </c>
      <c r="AX47" s="10">
        <v>179670</v>
      </c>
      <c r="AY47" s="10">
        <v>0</v>
      </c>
      <c r="AZ47" s="1">
        <v>3123402.01</v>
      </c>
      <c r="BA47" s="1">
        <v>1655403</v>
      </c>
      <c r="BB47" s="19">
        <v>18841838.620000001</v>
      </c>
      <c r="BC47" s="15">
        <v>1291102</v>
      </c>
      <c r="BD47" s="15">
        <v>2436041</v>
      </c>
      <c r="BE47" s="20">
        <v>10952497</v>
      </c>
      <c r="BF47" s="20">
        <v>10952497</v>
      </c>
      <c r="BG47" s="20">
        <v>31594106</v>
      </c>
      <c r="BH47" s="20">
        <v>29930537</v>
      </c>
      <c r="BI47" s="19"/>
      <c r="BJ47" s="19"/>
      <c r="BK47" s="19"/>
      <c r="BL47" s="5">
        <v>556761741</v>
      </c>
      <c r="BM47" s="5">
        <v>457232556</v>
      </c>
      <c r="BN47" s="15">
        <v>493500</v>
      </c>
      <c r="BO47" s="3"/>
      <c r="BP47" s="1"/>
      <c r="BQ47" s="1"/>
      <c r="BR47" s="5"/>
      <c r="BS47" s="5"/>
      <c r="BT47" s="5"/>
    </row>
    <row r="48" spans="1:72" x14ac:dyDescent="0.25">
      <c r="A48" s="6" t="s">
        <v>102</v>
      </c>
      <c r="B48" s="10">
        <v>3328823179</v>
      </c>
      <c r="C48" s="10">
        <v>384424377</v>
      </c>
      <c r="D48" s="10">
        <v>1231048421</v>
      </c>
      <c r="E48" s="10">
        <v>5250000</v>
      </c>
      <c r="F48" s="10">
        <v>158404206</v>
      </c>
      <c r="G48" s="10">
        <v>24445000</v>
      </c>
      <c r="H48" s="10">
        <v>23486100</v>
      </c>
      <c r="I48" s="10">
        <v>1964100</v>
      </c>
      <c r="J48" s="10">
        <v>376800</v>
      </c>
      <c r="K48" s="10">
        <v>0</v>
      </c>
      <c r="L48" s="10">
        <v>439905638</v>
      </c>
      <c r="M48" s="10">
        <v>0</v>
      </c>
      <c r="N48" s="10">
        <v>5945</v>
      </c>
      <c r="O48" s="10">
        <v>896</v>
      </c>
      <c r="P48" s="10">
        <v>81120100</v>
      </c>
      <c r="Q48" s="10">
        <v>7502700</v>
      </c>
      <c r="R48" s="10">
        <v>21350000</v>
      </c>
      <c r="S48" s="10">
        <v>5203784</v>
      </c>
      <c r="T48" s="10">
        <v>491000</v>
      </c>
      <c r="U48" s="10">
        <v>2796400</v>
      </c>
      <c r="V48" s="10">
        <v>81120100</v>
      </c>
      <c r="W48" s="10">
        <v>7502700</v>
      </c>
      <c r="X48" s="10">
        <v>21350000</v>
      </c>
      <c r="Y48" s="10">
        <v>5203784</v>
      </c>
      <c r="Z48" s="10">
        <v>491000</v>
      </c>
      <c r="AA48" s="10">
        <v>2796400</v>
      </c>
      <c r="AB48" s="10">
        <v>-13663542</v>
      </c>
      <c r="AC48" s="10">
        <v>-18532938</v>
      </c>
      <c r="AD48" s="10">
        <v>91396</v>
      </c>
      <c r="AE48" s="10">
        <v>0</v>
      </c>
      <c r="AF48" s="10">
        <v>0</v>
      </c>
      <c r="AG48" s="10">
        <v>280269</v>
      </c>
      <c r="AH48" s="3"/>
      <c r="AI48" s="10">
        <v>1076484</v>
      </c>
      <c r="AJ48" s="3"/>
      <c r="AK48" s="10">
        <v>561653192</v>
      </c>
      <c r="AL48" s="10">
        <v>12769360</v>
      </c>
      <c r="AM48" s="10">
        <v>62000</v>
      </c>
      <c r="AN48" s="10">
        <v>186325086</v>
      </c>
      <c r="AO48" s="10">
        <v>17663190</v>
      </c>
      <c r="AP48" s="10">
        <v>418179294</v>
      </c>
      <c r="AQ48" s="10">
        <v>189099842</v>
      </c>
      <c r="AR48" s="10">
        <v>155994818</v>
      </c>
      <c r="AS48" s="10">
        <v>3503280</v>
      </c>
      <c r="AT48" s="3"/>
      <c r="AU48" s="10">
        <v>913240</v>
      </c>
      <c r="AV48" s="3"/>
      <c r="AW48" s="10">
        <v>16322286</v>
      </c>
      <c r="AX48" s="10">
        <v>225240</v>
      </c>
      <c r="AY48" s="10">
        <v>2842757</v>
      </c>
      <c r="AZ48" s="1">
        <v>32435389.300000001</v>
      </c>
      <c r="BA48" s="1">
        <v>17190756</v>
      </c>
      <c r="BB48" s="19">
        <v>1512370.07</v>
      </c>
      <c r="BC48" s="15">
        <v>4301140</v>
      </c>
      <c r="BD48" s="15">
        <v>8115359</v>
      </c>
      <c r="BE48" s="20">
        <v>37632882</v>
      </c>
      <c r="BF48" s="20">
        <v>33988874</v>
      </c>
      <c r="BG48" s="20">
        <v>149476464</v>
      </c>
      <c r="BH48" s="20">
        <v>140557730</v>
      </c>
      <c r="BI48" s="19"/>
      <c r="BJ48" s="19"/>
      <c r="BK48" s="19"/>
      <c r="BL48" s="5">
        <v>6108921631</v>
      </c>
      <c r="BM48" s="5">
        <v>5338460579</v>
      </c>
      <c r="BN48" s="15">
        <v>12268800</v>
      </c>
      <c r="BO48" s="3"/>
      <c r="BP48" s="1"/>
      <c r="BQ48" s="1"/>
      <c r="BR48" s="5"/>
      <c r="BS48" s="5"/>
      <c r="BT48" s="5"/>
    </row>
    <row r="49" spans="1:72" x14ac:dyDescent="0.25">
      <c r="A49" s="6" t="s">
        <v>103</v>
      </c>
      <c r="B49" s="10">
        <v>358679617</v>
      </c>
      <c r="C49" s="10">
        <v>37447742</v>
      </c>
      <c r="D49" s="10">
        <v>150421305</v>
      </c>
      <c r="E49" s="10">
        <v>0</v>
      </c>
      <c r="F49" s="10">
        <v>53849052</v>
      </c>
      <c r="G49" s="10">
        <v>60593853</v>
      </c>
      <c r="H49" s="10">
        <v>2468915</v>
      </c>
      <c r="I49" s="10">
        <v>1389800</v>
      </c>
      <c r="J49" s="10">
        <v>324900</v>
      </c>
      <c r="K49" s="10">
        <v>115650</v>
      </c>
      <c r="L49" s="10">
        <v>93795659</v>
      </c>
      <c r="M49" s="10">
        <v>12755400</v>
      </c>
      <c r="N49" s="10">
        <v>2133</v>
      </c>
      <c r="O49" s="10">
        <v>2431</v>
      </c>
      <c r="P49" s="10">
        <v>7669655</v>
      </c>
      <c r="Q49" s="10">
        <v>8900</v>
      </c>
      <c r="R49" s="10">
        <v>449600</v>
      </c>
      <c r="S49" s="10">
        <v>3878154</v>
      </c>
      <c r="T49" s="10">
        <v>50875</v>
      </c>
      <c r="U49" s="10">
        <v>356600</v>
      </c>
      <c r="V49" s="10">
        <v>7669655</v>
      </c>
      <c r="W49" s="10">
        <v>21500</v>
      </c>
      <c r="X49" s="10">
        <v>449600</v>
      </c>
      <c r="Y49" s="10">
        <v>3878154</v>
      </c>
      <c r="Z49" s="10">
        <v>61600</v>
      </c>
      <c r="AA49" s="10">
        <v>356600</v>
      </c>
      <c r="AB49" s="10">
        <v>-3254005</v>
      </c>
      <c r="AC49" s="10">
        <v>-36944</v>
      </c>
      <c r="AD49" s="10">
        <v>236763</v>
      </c>
      <c r="AE49" s="10">
        <v>0</v>
      </c>
      <c r="AF49" s="10">
        <v>0</v>
      </c>
      <c r="AG49" s="10">
        <v>209004</v>
      </c>
      <c r="AH49" s="10">
        <v>11215331</v>
      </c>
      <c r="AI49" s="10">
        <v>46322441</v>
      </c>
      <c r="AJ49" s="10">
        <v>175851073</v>
      </c>
      <c r="AK49" s="10">
        <v>153405497</v>
      </c>
      <c r="AL49" s="10">
        <v>1196887</v>
      </c>
      <c r="AM49" s="3"/>
      <c r="AN49" s="10">
        <v>148869687</v>
      </c>
      <c r="AO49" s="10">
        <v>3902335</v>
      </c>
      <c r="AP49" s="10">
        <v>37201424</v>
      </c>
      <c r="AQ49" s="10">
        <v>27295198</v>
      </c>
      <c r="AR49" s="10">
        <v>10939761</v>
      </c>
      <c r="AS49" s="3"/>
      <c r="AT49" s="10">
        <v>87271</v>
      </c>
      <c r="AU49" s="3"/>
      <c r="AV49" s="3"/>
      <c r="AW49" s="3"/>
      <c r="AX49" s="3"/>
      <c r="AY49" s="10">
        <v>367600</v>
      </c>
      <c r="AZ49" s="1">
        <v>8859144.9100000001</v>
      </c>
      <c r="BA49" s="1">
        <v>4695347</v>
      </c>
      <c r="BB49" s="19"/>
      <c r="BC49" s="15">
        <v>6680818</v>
      </c>
      <c r="BD49" s="15">
        <v>12605316</v>
      </c>
      <c r="BE49" s="20">
        <v>11123153</v>
      </c>
      <c r="BF49" s="20">
        <v>11123153</v>
      </c>
      <c r="BG49" s="20">
        <v>47111266</v>
      </c>
      <c r="BH49" s="20">
        <v>42019242</v>
      </c>
      <c r="BI49" s="19"/>
      <c r="BJ49" s="19"/>
      <c r="BK49" s="19"/>
      <c r="BL49" s="5">
        <v>1179125673</v>
      </c>
      <c r="BM49" s="5">
        <v>960004729</v>
      </c>
      <c r="BN49" s="15">
        <v>594421</v>
      </c>
      <c r="BO49" s="3"/>
      <c r="BP49" s="1"/>
      <c r="BQ49" s="1"/>
      <c r="BR49" s="5"/>
      <c r="BS49" s="5"/>
      <c r="BT49" s="5"/>
    </row>
    <row r="50" spans="1:72" x14ac:dyDescent="0.25">
      <c r="A50" s="6" t="s">
        <v>104</v>
      </c>
      <c r="B50" s="10">
        <v>454177235</v>
      </c>
      <c r="C50" s="10">
        <v>204921160</v>
      </c>
      <c r="D50" s="10">
        <v>103949091</v>
      </c>
      <c r="E50" s="10">
        <v>0</v>
      </c>
      <c r="F50" s="10">
        <v>28483717</v>
      </c>
      <c r="G50" s="10">
        <v>4086265</v>
      </c>
      <c r="H50" s="10">
        <v>11465389</v>
      </c>
      <c r="I50" s="10">
        <v>1407452</v>
      </c>
      <c r="J50" s="10">
        <v>31400</v>
      </c>
      <c r="K50" s="10">
        <v>0</v>
      </c>
      <c r="L50" s="10">
        <v>304835439</v>
      </c>
      <c r="M50" s="10">
        <v>139577274</v>
      </c>
      <c r="N50" s="10">
        <v>1287</v>
      </c>
      <c r="O50" s="10">
        <v>182</v>
      </c>
      <c r="P50" s="10">
        <v>6977593</v>
      </c>
      <c r="Q50" s="10">
        <v>4735322</v>
      </c>
      <c r="R50" s="10">
        <v>5113938</v>
      </c>
      <c r="S50" s="10">
        <v>29500</v>
      </c>
      <c r="T50" s="10">
        <v>151518</v>
      </c>
      <c r="U50" s="10">
        <v>0</v>
      </c>
      <c r="V50" s="10">
        <v>6977593</v>
      </c>
      <c r="W50" s="10">
        <v>4735322</v>
      </c>
      <c r="X50" s="10">
        <v>5113938</v>
      </c>
      <c r="Y50" s="10">
        <v>29500</v>
      </c>
      <c r="Z50" s="10">
        <v>340862</v>
      </c>
      <c r="AA50" s="10">
        <v>0</v>
      </c>
      <c r="AB50" s="10">
        <v>-19340</v>
      </c>
      <c r="AC50" s="10">
        <v>-439</v>
      </c>
      <c r="AD50" s="10">
        <v>0</v>
      </c>
      <c r="AE50" s="10">
        <v>0</v>
      </c>
      <c r="AF50" s="10">
        <v>0</v>
      </c>
      <c r="AG50" s="10">
        <v>195325</v>
      </c>
      <c r="AH50" s="3"/>
      <c r="AI50" s="3"/>
      <c r="AJ50" s="3"/>
      <c r="AK50" s="10">
        <v>116116455</v>
      </c>
      <c r="AL50" s="10">
        <v>2357624</v>
      </c>
      <c r="AM50" s="3"/>
      <c r="AN50" s="10">
        <v>24361049</v>
      </c>
      <c r="AO50" s="10">
        <v>3456147</v>
      </c>
      <c r="AP50" s="10">
        <v>85714709</v>
      </c>
      <c r="AQ50" s="10">
        <v>17870735</v>
      </c>
      <c r="AR50" s="10">
        <v>18328807</v>
      </c>
      <c r="AS50" s="10">
        <v>294672</v>
      </c>
      <c r="AT50" s="10">
        <v>250289</v>
      </c>
      <c r="AU50" s="10">
        <v>2624032</v>
      </c>
      <c r="AV50" s="3"/>
      <c r="AW50" s="10">
        <v>307621</v>
      </c>
      <c r="AX50" s="10">
        <v>8250</v>
      </c>
      <c r="AY50" s="10">
        <v>110500</v>
      </c>
      <c r="AZ50" s="1">
        <v>6705708.21</v>
      </c>
      <c r="BA50" s="1">
        <v>3554025</v>
      </c>
      <c r="BB50" s="19"/>
      <c r="BC50" s="15">
        <v>1718431</v>
      </c>
      <c r="BD50" s="15">
        <v>3242322</v>
      </c>
      <c r="BE50" s="20">
        <v>11367420</v>
      </c>
      <c r="BF50" s="20">
        <v>11367420</v>
      </c>
      <c r="BG50" s="20">
        <v>42718047</v>
      </c>
      <c r="BH50" s="20">
        <v>38921913</v>
      </c>
      <c r="BI50" s="19"/>
      <c r="BJ50" s="19"/>
      <c r="BK50" s="19"/>
      <c r="BL50" s="5">
        <v>982771285</v>
      </c>
      <c r="BM50" s="5">
        <v>808735417</v>
      </c>
      <c r="BN50" s="15">
        <v>1005723</v>
      </c>
      <c r="BO50" s="3"/>
      <c r="BP50" s="1"/>
      <c r="BQ50" s="1"/>
      <c r="BR50" s="5"/>
      <c r="BS50" s="5"/>
      <c r="BT50" s="5"/>
    </row>
    <row r="51" spans="1:72" x14ac:dyDescent="0.25">
      <c r="A51" s="6" t="s">
        <v>105</v>
      </c>
      <c r="B51" s="10">
        <v>263837182</v>
      </c>
      <c r="C51" s="10">
        <v>176356664</v>
      </c>
      <c r="D51" s="10">
        <v>119483345</v>
      </c>
      <c r="E51" s="10">
        <v>0</v>
      </c>
      <c r="F51" s="10">
        <v>30750000</v>
      </c>
      <c r="G51" s="10">
        <v>8619200</v>
      </c>
      <c r="H51" s="10">
        <v>15608795</v>
      </c>
      <c r="I51" s="10">
        <v>2464800</v>
      </c>
      <c r="J51" s="10">
        <v>106800</v>
      </c>
      <c r="K51" s="10">
        <v>0</v>
      </c>
      <c r="L51" s="10">
        <v>236141216</v>
      </c>
      <c r="M51" s="10">
        <v>110112562</v>
      </c>
      <c r="N51" s="10">
        <v>1593</v>
      </c>
      <c r="O51" s="10">
        <v>419</v>
      </c>
      <c r="P51" s="10">
        <v>4243700</v>
      </c>
      <c r="Q51" s="10">
        <v>4623350</v>
      </c>
      <c r="R51" s="10">
        <v>6724700</v>
      </c>
      <c r="S51" s="10">
        <v>1137790</v>
      </c>
      <c r="T51" s="10">
        <v>103400</v>
      </c>
      <c r="U51" s="10">
        <v>309590</v>
      </c>
      <c r="V51" s="10">
        <v>4243700</v>
      </c>
      <c r="W51" s="10">
        <v>4602350</v>
      </c>
      <c r="X51" s="10">
        <v>6724700</v>
      </c>
      <c r="Y51" s="10">
        <v>1137790</v>
      </c>
      <c r="Z51" s="10">
        <v>114200</v>
      </c>
      <c r="AA51" s="10">
        <v>309590</v>
      </c>
      <c r="AB51" s="10">
        <v>-2238056</v>
      </c>
      <c r="AC51" s="10">
        <v>-3120588</v>
      </c>
      <c r="AD51" s="10">
        <v>106144</v>
      </c>
      <c r="AE51" s="10">
        <v>0</v>
      </c>
      <c r="AF51" s="10">
        <v>0</v>
      </c>
      <c r="AG51" s="10">
        <v>236268</v>
      </c>
      <c r="AH51" s="10">
        <v>441490</v>
      </c>
      <c r="AI51" s="10">
        <v>78548</v>
      </c>
      <c r="AJ51" s="3"/>
      <c r="AK51" s="10">
        <v>78629432</v>
      </c>
      <c r="AL51" s="10">
        <v>3067575</v>
      </c>
      <c r="AM51" s="3"/>
      <c r="AN51" s="10">
        <v>16440941</v>
      </c>
      <c r="AO51" s="10">
        <v>86531</v>
      </c>
      <c r="AP51" s="10">
        <v>134937813</v>
      </c>
      <c r="AQ51" s="10">
        <v>35378777</v>
      </c>
      <c r="AR51" s="10">
        <v>26986264</v>
      </c>
      <c r="AS51" s="10">
        <v>2689353</v>
      </c>
      <c r="AT51" s="10">
        <v>57376</v>
      </c>
      <c r="AU51" s="3"/>
      <c r="AV51" s="10">
        <v>8000</v>
      </c>
      <c r="AW51" s="10">
        <v>2017164</v>
      </c>
      <c r="AX51" s="10">
        <v>22500</v>
      </c>
      <c r="AY51" s="3"/>
      <c r="AZ51" s="1">
        <v>4540838.1399999997</v>
      </c>
      <c r="BA51" s="1">
        <v>2406644</v>
      </c>
      <c r="BB51" s="19"/>
      <c r="BC51" s="15">
        <v>1128575</v>
      </c>
      <c r="BD51" s="15">
        <v>2129386</v>
      </c>
      <c r="BE51" s="20">
        <v>9454571</v>
      </c>
      <c r="BF51" s="20">
        <v>9454571</v>
      </c>
      <c r="BG51" s="20">
        <v>54937545</v>
      </c>
      <c r="BH51" s="20">
        <v>52177105</v>
      </c>
      <c r="BI51" s="19"/>
      <c r="BJ51" s="19"/>
      <c r="BK51" s="19"/>
      <c r="BL51" s="5">
        <v>758967380</v>
      </c>
      <c r="BM51" s="5">
        <v>612103478</v>
      </c>
      <c r="BN51" s="15">
        <v>692178</v>
      </c>
      <c r="BO51" s="3"/>
      <c r="BP51" s="1"/>
      <c r="BQ51" s="1"/>
      <c r="BR51" s="5"/>
      <c r="BS51" s="5"/>
      <c r="BT51" s="5"/>
    </row>
    <row r="52" spans="1:72" x14ac:dyDescent="0.25">
      <c r="A52" s="6" t="s">
        <v>106</v>
      </c>
      <c r="B52" s="10">
        <v>1208689341</v>
      </c>
      <c r="C52" s="10">
        <v>219441654</v>
      </c>
      <c r="D52" s="10">
        <v>467268991</v>
      </c>
      <c r="E52" s="10">
        <v>96640345</v>
      </c>
      <c r="F52" s="10">
        <v>93695251</v>
      </c>
      <c r="G52" s="10">
        <v>13954112</v>
      </c>
      <c r="H52" s="10">
        <v>9020501</v>
      </c>
      <c r="I52" s="10">
        <v>654100</v>
      </c>
      <c r="J52" s="10">
        <v>314000</v>
      </c>
      <c r="K52" s="10">
        <v>31400</v>
      </c>
      <c r="L52" s="10">
        <v>326103338</v>
      </c>
      <c r="M52" s="10">
        <v>96498267</v>
      </c>
      <c r="N52" s="10">
        <v>3437</v>
      </c>
      <c r="O52" s="10">
        <v>513</v>
      </c>
      <c r="P52" s="10">
        <v>23350246</v>
      </c>
      <c r="Q52" s="10">
        <v>2997100</v>
      </c>
      <c r="R52" s="10">
        <v>14557685</v>
      </c>
      <c r="S52" s="10">
        <v>9373833</v>
      </c>
      <c r="T52" s="10">
        <v>964226</v>
      </c>
      <c r="U52" s="10">
        <v>3962921</v>
      </c>
      <c r="V52" s="10">
        <v>23350246</v>
      </c>
      <c r="W52" s="10">
        <v>1134295</v>
      </c>
      <c r="X52" s="10">
        <v>14557685</v>
      </c>
      <c r="Y52" s="10">
        <v>9373833</v>
      </c>
      <c r="Z52" s="10">
        <v>278060</v>
      </c>
      <c r="AA52" s="10">
        <v>3962921</v>
      </c>
      <c r="AB52" s="10">
        <v>-3479730</v>
      </c>
      <c r="AC52" s="10">
        <v>147003</v>
      </c>
      <c r="AD52" s="10">
        <v>36791</v>
      </c>
      <c r="AE52" s="10">
        <v>5131</v>
      </c>
      <c r="AF52" s="10">
        <v>15942045</v>
      </c>
      <c r="AG52" s="10">
        <v>244512</v>
      </c>
      <c r="AH52" s="10">
        <v>33020981</v>
      </c>
      <c r="AI52" s="10">
        <v>8161</v>
      </c>
      <c r="AJ52" s="10">
        <v>43228506</v>
      </c>
      <c r="AK52" s="10">
        <v>278012065</v>
      </c>
      <c r="AL52" s="10">
        <v>11964228</v>
      </c>
      <c r="AM52" s="10">
        <v>229333</v>
      </c>
      <c r="AN52" s="10">
        <v>103387466</v>
      </c>
      <c r="AO52" s="10">
        <v>14322275</v>
      </c>
      <c r="AP52" s="10">
        <v>304491477</v>
      </c>
      <c r="AQ52" s="10">
        <v>102133519</v>
      </c>
      <c r="AR52" s="10">
        <v>149074909</v>
      </c>
      <c r="AS52" s="10">
        <v>81978334</v>
      </c>
      <c r="AT52" s="10">
        <v>2977661</v>
      </c>
      <c r="AU52" s="3"/>
      <c r="AV52" s="3"/>
      <c r="AW52" s="10">
        <v>66254191</v>
      </c>
      <c r="AX52" s="10">
        <v>27275144</v>
      </c>
      <c r="AY52" s="10">
        <v>3373810</v>
      </c>
      <c r="AZ52" s="1">
        <v>16055155.9</v>
      </c>
      <c r="BA52" s="1">
        <v>8509233</v>
      </c>
      <c r="BB52" s="19">
        <v>49733304.079999998</v>
      </c>
      <c r="BC52" s="15">
        <v>2161456</v>
      </c>
      <c r="BD52" s="15">
        <v>4078219</v>
      </c>
      <c r="BE52" s="20">
        <v>19243437</v>
      </c>
      <c r="BF52" s="20">
        <v>19243437</v>
      </c>
      <c r="BG52" s="20">
        <v>69897305</v>
      </c>
      <c r="BH52" s="20">
        <v>66652929</v>
      </c>
      <c r="BI52" s="19"/>
      <c r="BJ52" s="19"/>
      <c r="BK52" s="19"/>
      <c r="BL52" s="5">
        <v>2578044242</v>
      </c>
      <c r="BM52" s="5">
        <v>2191500894</v>
      </c>
      <c r="BN52" s="15">
        <v>4616600</v>
      </c>
      <c r="BO52" s="3"/>
      <c r="BP52" s="1"/>
      <c r="BQ52" s="1"/>
      <c r="BR52" s="5"/>
      <c r="BS52" s="5"/>
      <c r="BT52" s="5"/>
    </row>
    <row r="53" spans="1:72" x14ac:dyDescent="0.25">
      <c r="A53" s="6" t="s">
        <v>107</v>
      </c>
      <c r="B53" s="10">
        <v>428995000</v>
      </c>
      <c r="C53" s="10">
        <v>172355720</v>
      </c>
      <c r="D53" s="10">
        <v>65158800</v>
      </c>
      <c r="E53" s="10">
        <v>0</v>
      </c>
      <c r="F53" s="10">
        <v>26684300</v>
      </c>
      <c r="G53" s="10">
        <v>4289100</v>
      </c>
      <c r="H53" s="10">
        <v>8368400</v>
      </c>
      <c r="I53" s="10">
        <v>565200</v>
      </c>
      <c r="J53" s="10">
        <v>62800</v>
      </c>
      <c r="K53" s="10">
        <v>0</v>
      </c>
      <c r="L53" s="10">
        <v>283022714</v>
      </c>
      <c r="M53" s="10">
        <v>116980420</v>
      </c>
      <c r="N53" s="10">
        <v>1147</v>
      </c>
      <c r="O53" s="10">
        <v>160</v>
      </c>
      <c r="P53" s="10">
        <v>8484200</v>
      </c>
      <c r="Q53" s="10">
        <v>4460200</v>
      </c>
      <c r="R53" s="10">
        <v>660600</v>
      </c>
      <c r="S53" s="10">
        <v>2840200</v>
      </c>
      <c r="T53" s="10">
        <v>1579000</v>
      </c>
      <c r="U53" s="10">
        <v>146500</v>
      </c>
      <c r="V53" s="10">
        <v>8376800</v>
      </c>
      <c r="W53" s="10">
        <v>5533900</v>
      </c>
      <c r="X53" s="10">
        <v>660600</v>
      </c>
      <c r="Y53" s="10">
        <v>2296380</v>
      </c>
      <c r="Z53" s="10">
        <v>1337100</v>
      </c>
      <c r="AA53" s="10">
        <v>146500</v>
      </c>
      <c r="AB53" s="10">
        <v>-3505000</v>
      </c>
      <c r="AC53" s="10">
        <v>-60344</v>
      </c>
      <c r="AD53" s="10">
        <v>31439</v>
      </c>
      <c r="AE53" s="10">
        <v>95964</v>
      </c>
      <c r="AF53" s="10">
        <v>140493700</v>
      </c>
      <c r="AG53" s="10">
        <v>169518</v>
      </c>
      <c r="AH53" s="3"/>
      <c r="AI53" s="10">
        <v>229411</v>
      </c>
      <c r="AJ53" s="3"/>
      <c r="AK53" s="10">
        <v>94798288</v>
      </c>
      <c r="AL53" s="10">
        <v>2154004</v>
      </c>
      <c r="AM53" s="10">
        <v>64104</v>
      </c>
      <c r="AN53" s="10">
        <v>10548754</v>
      </c>
      <c r="AO53" s="10">
        <v>830148</v>
      </c>
      <c r="AP53" s="10">
        <v>31156317</v>
      </c>
      <c r="AQ53" s="10">
        <v>8522886</v>
      </c>
      <c r="AR53" s="10">
        <v>19331595</v>
      </c>
      <c r="AS53" s="10">
        <v>5414340</v>
      </c>
      <c r="AT53" s="10">
        <v>1516414</v>
      </c>
      <c r="AU53" s="10">
        <v>0</v>
      </c>
      <c r="AV53" s="10">
        <v>0</v>
      </c>
      <c r="AW53" s="10">
        <v>1132094</v>
      </c>
      <c r="AX53" s="10">
        <v>4634157</v>
      </c>
      <c r="AY53" s="10">
        <v>284500</v>
      </c>
      <c r="AZ53" s="1">
        <v>5474587.2000000002</v>
      </c>
      <c r="BA53" s="1">
        <v>2901531</v>
      </c>
      <c r="BB53" s="19"/>
      <c r="BC53" s="15">
        <v>759472</v>
      </c>
      <c r="BD53" s="15">
        <v>1432965</v>
      </c>
      <c r="BE53" s="20">
        <v>8653514</v>
      </c>
      <c r="BF53" s="20">
        <v>8653514</v>
      </c>
      <c r="BG53" s="20">
        <v>37587307</v>
      </c>
      <c r="BH53" s="20">
        <v>36210001</v>
      </c>
      <c r="BI53" s="19"/>
      <c r="BJ53" s="19"/>
      <c r="BK53" s="19"/>
      <c r="BL53" s="5">
        <v>832117529</v>
      </c>
      <c r="BM53" s="5">
        <v>686640719</v>
      </c>
      <c r="BN53" s="15">
        <v>440200</v>
      </c>
      <c r="BO53" s="3"/>
      <c r="BP53" s="1"/>
      <c r="BQ53" s="1"/>
      <c r="BR53" s="5"/>
      <c r="BS53" s="5"/>
      <c r="BT53" s="5"/>
    </row>
    <row r="54" spans="1:72" x14ac:dyDescent="0.25">
      <c r="A54" s="6" t="s">
        <v>108</v>
      </c>
      <c r="B54" s="10">
        <v>59566716</v>
      </c>
      <c r="C54" s="10">
        <v>74016474</v>
      </c>
      <c r="D54" s="10">
        <v>11832153</v>
      </c>
      <c r="E54" s="10">
        <v>0</v>
      </c>
      <c r="F54" s="10">
        <v>11907975</v>
      </c>
      <c r="G54" s="10">
        <v>2024000</v>
      </c>
      <c r="H54" s="10">
        <v>5833925</v>
      </c>
      <c r="I54" s="10">
        <v>363575</v>
      </c>
      <c r="J54" s="10">
        <v>10000</v>
      </c>
      <c r="K54" s="10">
        <v>0</v>
      </c>
      <c r="L54" s="10">
        <v>120685918</v>
      </c>
      <c r="M54" s="10">
        <v>23692890</v>
      </c>
      <c r="N54" s="10">
        <v>624</v>
      </c>
      <c r="O54" s="10">
        <v>102</v>
      </c>
      <c r="P54" s="10">
        <v>756000</v>
      </c>
      <c r="Q54" s="10">
        <v>1391875</v>
      </c>
      <c r="R54" s="10">
        <v>239500</v>
      </c>
      <c r="S54" s="10">
        <v>450600</v>
      </c>
      <c r="T54" s="10">
        <v>140650</v>
      </c>
      <c r="U54" s="10">
        <v>86300</v>
      </c>
      <c r="V54" s="10">
        <v>756000</v>
      </c>
      <c r="W54" s="10">
        <v>1633250</v>
      </c>
      <c r="X54" s="10">
        <v>239500</v>
      </c>
      <c r="Y54" s="10">
        <v>450600</v>
      </c>
      <c r="Z54" s="10">
        <v>721592</v>
      </c>
      <c r="AA54" s="10">
        <v>86300</v>
      </c>
      <c r="AB54" s="10">
        <v>-261333</v>
      </c>
      <c r="AC54" s="10">
        <v>0</v>
      </c>
      <c r="AD54" s="10">
        <v>27887</v>
      </c>
      <c r="AE54" s="10">
        <v>0</v>
      </c>
      <c r="AF54" s="10">
        <v>0</v>
      </c>
      <c r="AG54" s="10">
        <v>0</v>
      </c>
      <c r="AH54" s="3"/>
      <c r="AI54" s="10">
        <v>31532</v>
      </c>
      <c r="AJ54" s="3"/>
      <c r="AK54" s="10">
        <v>32218420</v>
      </c>
      <c r="AL54" s="10">
        <v>693260</v>
      </c>
      <c r="AM54" s="10">
        <v>0</v>
      </c>
      <c r="AN54" s="10">
        <v>6998496</v>
      </c>
      <c r="AO54" s="10">
        <v>11618</v>
      </c>
      <c r="AP54" s="10">
        <v>531645</v>
      </c>
      <c r="AQ54" s="10">
        <v>6372323</v>
      </c>
      <c r="AR54" s="10">
        <v>345742</v>
      </c>
      <c r="AS54" s="10">
        <v>0</v>
      </c>
      <c r="AT54" s="10">
        <v>1012218</v>
      </c>
      <c r="AU54" s="10">
        <v>0</v>
      </c>
      <c r="AV54" s="10">
        <v>0</v>
      </c>
      <c r="AW54" s="10">
        <v>2535613</v>
      </c>
      <c r="AX54" s="10">
        <v>0</v>
      </c>
      <c r="AY54" s="10">
        <v>0</v>
      </c>
      <c r="AZ54" s="1">
        <v>1860609.02</v>
      </c>
      <c r="BA54" s="1">
        <v>986123</v>
      </c>
      <c r="BB54" s="19">
        <v>4830647.04</v>
      </c>
      <c r="BC54" s="15">
        <v>1210091</v>
      </c>
      <c r="BD54" s="15">
        <v>2283191</v>
      </c>
      <c r="BE54" s="20">
        <v>9424741</v>
      </c>
      <c r="BF54" s="20">
        <v>9424741</v>
      </c>
      <c r="BG54" s="20">
        <v>49947365</v>
      </c>
      <c r="BH54" s="20">
        <v>33969975</v>
      </c>
      <c r="BI54" s="19"/>
      <c r="BJ54" s="19"/>
      <c r="BK54" s="19"/>
      <c r="BL54" s="5">
        <v>237331922</v>
      </c>
      <c r="BM54" s="5">
        <v>158829312</v>
      </c>
      <c r="BN54" s="15">
        <v>355700</v>
      </c>
      <c r="BO54" s="3"/>
      <c r="BP54" s="1"/>
      <c r="BQ54" s="1"/>
      <c r="BR54" s="5"/>
      <c r="BS54" s="5"/>
      <c r="BT54" s="5"/>
    </row>
    <row r="55" spans="1:72" x14ac:dyDescent="0.25">
      <c r="A55" s="6" t="s">
        <v>109</v>
      </c>
      <c r="B55" s="10">
        <v>997153770</v>
      </c>
      <c r="C55" s="10">
        <v>193780379</v>
      </c>
      <c r="D55" s="10">
        <v>338803941</v>
      </c>
      <c r="E55" s="10">
        <v>0</v>
      </c>
      <c r="F55" s="10">
        <v>92415355</v>
      </c>
      <c r="G55" s="10">
        <v>28458845</v>
      </c>
      <c r="H55" s="10">
        <v>11862450</v>
      </c>
      <c r="I55" s="10">
        <v>2580350</v>
      </c>
      <c r="J55" s="10">
        <v>219800</v>
      </c>
      <c r="K55" s="10">
        <v>0</v>
      </c>
      <c r="L55" s="10">
        <v>224080317</v>
      </c>
      <c r="M55" s="10">
        <v>97241600</v>
      </c>
      <c r="N55" s="10">
        <v>3645</v>
      </c>
      <c r="O55" s="10">
        <v>1155</v>
      </c>
      <c r="P55" s="10">
        <v>23689425</v>
      </c>
      <c r="Q55" s="10">
        <v>6561700</v>
      </c>
      <c r="R55" s="10">
        <v>8395477</v>
      </c>
      <c r="S55" s="10">
        <v>11847444</v>
      </c>
      <c r="T55" s="10">
        <v>1357075</v>
      </c>
      <c r="U55" s="10">
        <v>8627730</v>
      </c>
      <c r="V55" s="10">
        <v>23689425</v>
      </c>
      <c r="W55" s="10">
        <v>8230350</v>
      </c>
      <c r="X55" s="10">
        <v>8395477</v>
      </c>
      <c r="Y55" s="10">
        <v>11847444</v>
      </c>
      <c r="Z55" s="10">
        <v>1869325</v>
      </c>
      <c r="AA55" s="10">
        <v>8627730</v>
      </c>
      <c r="AB55" s="10">
        <v>-111078</v>
      </c>
      <c r="AC55" s="10">
        <v>-4607</v>
      </c>
      <c r="AD55" s="10">
        <v>80374</v>
      </c>
      <c r="AE55" s="10">
        <v>36322</v>
      </c>
      <c r="AF55" s="10">
        <v>13588906</v>
      </c>
      <c r="AG55" s="10">
        <v>2400478</v>
      </c>
      <c r="AH55" s="10">
        <v>9029638</v>
      </c>
      <c r="AI55" s="10">
        <v>2532835</v>
      </c>
      <c r="AJ55" s="10">
        <v>48031995</v>
      </c>
      <c r="AK55" s="10">
        <v>288103149</v>
      </c>
      <c r="AL55" s="10">
        <v>8122422</v>
      </c>
      <c r="AM55" s="10">
        <v>0</v>
      </c>
      <c r="AN55" s="10">
        <v>154548738</v>
      </c>
      <c r="AO55" s="10">
        <v>6602191</v>
      </c>
      <c r="AP55" s="10">
        <v>130836527</v>
      </c>
      <c r="AQ55" s="10">
        <v>77626569</v>
      </c>
      <c r="AR55" s="10">
        <v>73901850</v>
      </c>
      <c r="AS55" s="10">
        <v>81362086</v>
      </c>
      <c r="AT55" s="10">
        <v>1062850</v>
      </c>
      <c r="AU55" s="10">
        <v>0</v>
      </c>
      <c r="AV55" s="10">
        <v>0</v>
      </c>
      <c r="AW55" s="10">
        <v>9419873</v>
      </c>
      <c r="AX55" s="10">
        <v>252758</v>
      </c>
      <c r="AY55" s="10">
        <v>7936097</v>
      </c>
      <c r="AZ55" s="1">
        <v>16637914.52</v>
      </c>
      <c r="BA55" s="1">
        <v>8818095</v>
      </c>
      <c r="BB55" s="19">
        <v>1075856.73</v>
      </c>
      <c r="BC55" s="15">
        <v>7778507</v>
      </c>
      <c r="BD55" s="15">
        <v>14676429</v>
      </c>
      <c r="BE55" s="20">
        <v>40351483</v>
      </c>
      <c r="BF55" s="20">
        <v>37564669</v>
      </c>
      <c r="BG55" s="20">
        <v>134042014</v>
      </c>
      <c r="BH55" s="20">
        <v>122836143</v>
      </c>
      <c r="BI55" s="19"/>
      <c r="BJ55" s="19"/>
      <c r="BK55" s="19"/>
      <c r="BL55" s="5">
        <v>2301333041</v>
      </c>
      <c r="BM55" s="5">
        <v>1828110056</v>
      </c>
      <c r="BN55" s="15">
        <v>718400</v>
      </c>
      <c r="BO55" s="3"/>
      <c r="BP55" s="1"/>
      <c r="BQ55" s="1"/>
      <c r="BR55" s="5"/>
      <c r="BS55" s="5"/>
      <c r="BT55" s="5"/>
    </row>
    <row r="56" spans="1:72" x14ac:dyDescent="0.25">
      <c r="A56" s="6" t="s">
        <v>110</v>
      </c>
      <c r="B56" s="10">
        <v>126987200</v>
      </c>
      <c r="C56" s="10">
        <v>62967465</v>
      </c>
      <c r="D56" s="10">
        <v>40086120</v>
      </c>
      <c r="E56" s="10">
        <v>0</v>
      </c>
      <c r="F56" s="10">
        <v>17053800</v>
      </c>
      <c r="G56" s="10">
        <v>14215400</v>
      </c>
      <c r="H56" s="10">
        <v>12774350</v>
      </c>
      <c r="I56" s="10">
        <v>3237450</v>
      </c>
      <c r="J56" s="10">
        <v>46400</v>
      </c>
      <c r="K56" s="10">
        <v>0</v>
      </c>
      <c r="L56" s="10">
        <v>84627045</v>
      </c>
      <c r="M56" s="10">
        <v>51743791</v>
      </c>
      <c r="N56" s="10">
        <v>1105</v>
      </c>
      <c r="O56" s="10">
        <v>677</v>
      </c>
      <c r="P56" s="10">
        <v>1897500</v>
      </c>
      <c r="Q56" s="10">
        <v>1291000</v>
      </c>
      <c r="R56" s="10">
        <v>1324793</v>
      </c>
      <c r="S56" s="10">
        <v>1502100</v>
      </c>
      <c r="T56" s="10">
        <v>1022575</v>
      </c>
      <c r="U56" s="10">
        <v>199300</v>
      </c>
      <c r="V56" s="10">
        <v>1897500</v>
      </c>
      <c r="W56" s="10">
        <v>1532088</v>
      </c>
      <c r="X56" s="10">
        <v>1324793</v>
      </c>
      <c r="Y56" s="10">
        <v>1502100</v>
      </c>
      <c r="Z56" s="10">
        <v>1664000</v>
      </c>
      <c r="AA56" s="10">
        <v>199300</v>
      </c>
      <c r="AB56" s="10">
        <v>-2415250</v>
      </c>
      <c r="AC56" s="10">
        <v>-10116</v>
      </c>
      <c r="AD56" s="10">
        <v>75612</v>
      </c>
      <c r="AE56" s="10">
        <v>3248</v>
      </c>
      <c r="AF56" s="10">
        <v>2813776</v>
      </c>
      <c r="AG56" s="10">
        <v>144188</v>
      </c>
      <c r="AH56" s="10">
        <v>0</v>
      </c>
      <c r="AI56" s="10">
        <v>472871</v>
      </c>
      <c r="AJ56" s="10">
        <v>421315</v>
      </c>
      <c r="AK56" s="10">
        <v>63268335</v>
      </c>
      <c r="AL56" s="10">
        <v>998054</v>
      </c>
      <c r="AM56" s="10">
        <v>0</v>
      </c>
      <c r="AN56" s="10">
        <v>6688827</v>
      </c>
      <c r="AO56" s="10">
        <v>45335</v>
      </c>
      <c r="AP56" s="10">
        <v>5927452</v>
      </c>
      <c r="AQ56" s="10">
        <v>6192496</v>
      </c>
      <c r="AR56" s="10">
        <v>251775</v>
      </c>
      <c r="AS56" s="10">
        <v>0</v>
      </c>
      <c r="AT56" s="10">
        <v>346874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">
        <v>3653737.05</v>
      </c>
      <c r="BA56" s="1">
        <v>1936481</v>
      </c>
      <c r="BB56" s="19"/>
      <c r="BC56" s="15">
        <v>0</v>
      </c>
      <c r="BD56" s="15">
        <v>0</v>
      </c>
      <c r="BE56" s="20">
        <v>6822133</v>
      </c>
      <c r="BF56" s="20">
        <v>6822133</v>
      </c>
      <c r="BG56" s="20">
        <v>38539585</v>
      </c>
      <c r="BH56" s="20">
        <v>38539585</v>
      </c>
      <c r="BI56" s="19"/>
      <c r="BJ56" s="19"/>
      <c r="BK56" s="19"/>
      <c r="BL56" s="5">
        <v>355426217</v>
      </c>
      <c r="BM56" s="5">
        <v>243861629</v>
      </c>
      <c r="BN56" s="15">
        <v>3820400</v>
      </c>
      <c r="BO56" s="3"/>
      <c r="BP56" s="1"/>
      <c r="BQ56" s="1"/>
      <c r="BR56" s="5"/>
      <c r="BS56" s="5"/>
      <c r="BT56" s="5"/>
    </row>
    <row r="57" spans="1:72" x14ac:dyDescent="0.25">
      <c r="A57" s="6" t="s">
        <v>111</v>
      </c>
      <c r="B57" s="10">
        <v>35858122399</v>
      </c>
      <c r="C57" s="10">
        <v>106581560</v>
      </c>
      <c r="D57" s="10">
        <v>14581848655</v>
      </c>
      <c r="E57" s="10">
        <v>131452550</v>
      </c>
      <c r="F57" s="10">
        <v>1623154836</v>
      </c>
      <c r="G57" s="10">
        <v>152440730</v>
      </c>
      <c r="H57" s="10">
        <v>4896790</v>
      </c>
      <c r="I57" s="10">
        <v>188400</v>
      </c>
      <c r="J57" s="10">
        <v>2941520</v>
      </c>
      <c r="K57" s="10">
        <v>188400</v>
      </c>
      <c r="L57" s="10">
        <v>204816250</v>
      </c>
      <c r="M57" s="10">
        <v>107804790</v>
      </c>
      <c r="N57" s="10">
        <v>52282</v>
      </c>
      <c r="O57" s="10">
        <v>4944</v>
      </c>
      <c r="P57" s="10">
        <v>559693240</v>
      </c>
      <c r="Q57" s="10">
        <v>5357100</v>
      </c>
      <c r="R57" s="10">
        <v>516496100</v>
      </c>
      <c r="S57" s="10">
        <v>96558950</v>
      </c>
      <c r="T57" s="10">
        <v>4165550</v>
      </c>
      <c r="U57" s="10">
        <v>105347330</v>
      </c>
      <c r="V57" s="10">
        <v>559693240</v>
      </c>
      <c r="W57" s="10">
        <v>30165410</v>
      </c>
      <c r="X57" s="10">
        <v>516496100</v>
      </c>
      <c r="Y57" s="10">
        <v>96558950</v>
      </c>
      <c r="Z57" s="10">
        <v>33732600</v>
      </c>
      <c r="AA57" s="10">
        <v>105347330</v>
      </c>
      <c r="AB57" s="10">
        <v>-271143490</v>
      </c>
      <c r="AC57" s="10">
        <v>-65446243</v>
      </c>
      <c r="AD57" s="10">
        <v>0</v>
      </c>
      <c r="AE57" s="10">
        <v>0</v>
      </c>
      <c r="AF57" s="10">
        <v>0</v>
      </c>
      <c r="AG57" s="10">
        <v>0</v>
      </c>
      <c r="AH57" s="3"/>
      <c r="AI57" s="10">
        <v>574274</v>
      </c>
      <c r="AJ57" s="3"/>
      <c r="AK57" s="10">
        <v>4249505346</v>
      </c>
      <c r="AL57" s="10">
        <v>72382646</v>
      </c>
      <c r="AM57" s="10">
        <v>10299833</v>
      </c>
      <c r="AN57" s="10">
        <v>2274210575</v>
      </c>
      <c r="AO57" s="10">
        <v>83532059</v>
      </c>
      <c r="AP57" s="10">
        <v>1779421719</v>
      </c>
      <c r="AQ57" s="10">
        <v>1965896458</v>
      </c>
      <c r="AR57" s="10">
        <v>952796498</v>
      </c>
      <c r="AS57" s="10">
        <v>1001762409</v>
      </c>
      <c r="AT57" s="10">
        <v>2081373055</v>
      </c>
      <c r="AU57" s="10">
        <v>0</v>
      </c>
      <c r="AV57" s="10">
        <v>297713</v>
      </c>
      <c r="AW57" s="10">
        <v>35013459</v>
      </c>
      <c r="AX57" s="10">
        <v>9385027</v>
      </c>
      <c r="AY57" s="10">
        <v>187022735</v>
      </c>
      <c r="AZ57" s="1">
        <v>245408309.22</v>
      </c>
      <c r="BA57" s="1">
        <v>130066404</v>
      </c>
      <c r="BB57" s="19">
        <v>22788744.98</v>
      </c>
      <c r="BC57" s="15">
        <v>15582836</v>
      </c>
      <c r="BD57" s="15">
        <v>29401578</v>
      </c>
      <c r="BE57" s="20">
        <v>477475134</v>
      </c>
      <c r="BF57" s="20">
        <v>475126655</v>
      </c>
      <c r="BG57" s="20">
        <v>1306810325</v>
      </c>
      <c r="BH57" s="20">
        <v>1191615939</v>
      </c>
      <c r="BI57" s="19">
        <v>127420076</v>
      </c>
      <c r="BJ57" s="19"/>
      <c r="BK57" s="19"/>
      <c r="BL57" s="5">
        <v>61132465882</v>
      </c>
      <c r="BM57" s="5">
        <v>54870765980</v>
      </c>
      <c r="BN57" s="15">
        <v>196957530</v>
      </c>
      <c r="BO57" s="3"/>
      <c r="BP57" s="1"/>
      <c r="BQ57" s="1"/>
      <c r="BR57" s="5"/>
      <c r="BS57" s="5"/>
      <c r="BT57" s="5"/>
    </row>
    <row r="58" spans="1:72" x14ac:dyDescent="0.25">
      <c r="A58" s="6" t="s">
        <v>112</v>
      </c>
      <c r="B58" s="10">
        <v>2371086203</v>
      </c>
      <c r="C58" s="10">
        <v>225774816</v>
      </c>
      <c r="D58" s="10">
        <v>593305823</v>
      </c>
      <c r="E58" s="10">
        <v>0</v>
      </c>
      <c r="F58" s="10">
        <v>69684314</v>
      </c>
      <c r="G58" s="10">
        <v>9867395</v>
      </c>
      <c r="H58" s="10">
        <v>7703930</v>
      </c>
      <c r="I58" s="10">
        <v>385615</v>
      </c>
      <c r="J58" s="10">
        <v>31400</v>
      </c>
      <c r="K58" s="10">
        <v>0</v>
      </c>
      <c r="L58" s="10">
        <v>577612961</v>
      </c>
      <c r="M58" s="10">
        <v>162123720</v>
      </c>
      <c r="N58" s="10">
        <v>2506</v>
      </c>
      <c r="O58" s="10">
        <v>339</v>
      </c>
      <c r="P58" s="10">
        <v>102483576</v>
      </c>
      <c r="Q58" s="10">
        <v>4517505</v>
      </c>
      <c r="R58" s="10">
        <v>26703074</v>
      </c>
      <c r="S58" s="10">
        <v>12074647</v>
      </c>
      <c r="T58" s="10">
        <v>945653</v>
      </c>
      <c r="U58" s="10">
        <v>15679000</v>
      </c>
      <c r="V58" s="10">
        <v>102483576</v>
      </c>
      <c r="W58" s="10">
        <v>5636491</v>
      </c>
      <c r="X58" s="10">
        <v>26703074</v>
      </c>
      <c r="Y58" s="10">
        <v>12074647</v>
      </c>
      <c r="Z58" s="10">
        <v>9383237</v>
      </c>
      <c r="AA58" s="10">
        <v>15679000</v>
      </c>
      <c r="AB58" s="10">
        <v>-1410375</v>
      </c>
      <c r="AC58" s="10">
        <v>-1887384</v>
      </c>
      <c r="AD58" s="10">
        <v>0</v>
      </c>
      <c r="AE58" s="10">
        <v>0</v>
      </c>
      <c r="AF58" s="10">
        <v>0</v>
      </c>
      <c r="AG58" s="10">
        <v>89824.3</v>
      </c>
      <c r="AH58" s="3"/>
      <c r="AI58" s="10">
        <v>375210</v>
      </c>
      <c r="AJ58" s="3"/>
      <c r="AK58" s="10">
        <v>305624902</v>
      </c>
      <c r="AL58" s="10">
        <v>8624990</v>
      </c>
      <c r="AM58" s="3"/>
      <c r="AN58" s="10">
        <v>89037469</v>
      </c>
      <c r="AO58" s="10">
        <v>1304857</v>
      </c>
      <c r="AP58" s="10">
        <v>110460653</v>
      </c>
      <c r="AQ58" s="10">
        <v>68152484</v>
      </c>
      <c r="AR58" s="10">
        <v>78337277</v>
      </c>
      <c r="AS58" s="10">
        <v>52331187</v>
      </c>
      <c r="AT58" s="10">
        <v>2880098</v>
      </c>
      <c r="AU58" s="3"/>
      <c r="AV58" s="3"/>
      <c r="AW58" s="10">
        <v>88495</v>
      </c>
      <c r="AX58" s="10">
        <v>3307</v>
      </c>
      <c r="AY58" s="10">
        <v>16364242</v>
      </c>
      <c r="AZ58" s="1">
        <v>17649793.18</v>
      </c>
      <c r="BA58" s="1">
        <v>9354390</v>
      </c>
      <c r="BB58" s="19"/>
      <c r="BC58" s="15">
        <v>1218192</v>
      </c>
      <c r="BD58" s="15">
        <v>2298476</v>
      </c>
      <c r="BE58" s="20">
        <v>27231251</v>
      </c>
      <c r="BF58" s="20">
        <v>27231251</v>
      </c>
      <c r="BG58" s="20">
        <v>53200729</v>
      </c>
      <c r="BH58" s="20">
        <v>48876604</v>
      </c>
      <c r="BI58" s="19">
        <v>25976888</v>
      </c>
      <c r="BJ58" s="19"/>
      <c r="BK58" s="19"/>
      <c r="BL58" s="5">
        <v>3775944079</v>
      </c>
      <c r="BM58" s="5">
        <v>3349036862</v>
      </c>
      <c r="BN58" s="15">
        <v>2091250</v>
      </c>
      <c r="BO58" s="3"/>
      <c r="BP58" s="1"/>
      <c r="BQ58" s="1"/>
      <c r="BR58" s="5"/>
      <c r="BS58" s="5"/>
      <c r="BT58" s="5"/>
    </row>
    <row r="59" spans="1:72" x14ac:dyDescent="0.25">
      <c r="A59" s="6" t="s">
        <v>113</v>
      </c>
      <c r="B59" s="10">
        <v>377529483</v>
      </c>
      <c r="C59" s="10">
        <v>88920572</v>
      </c>
      <c r="D59" s="10">
        <v>166502616</v>
      </c>
      <c r="E59" s="10">
        <v>0</v>
      </c>
      <c r="F59" s="10">
        <v>39381250</v>
      </c>
      <c r="G59" s="10">
        <v>26000400</v>
      </c>
      <c r="H59" s="10">
        <v>13842283</v>
      </c>
      <c r="I59" s="10">
        <v>5960875</v>
      </c>
      <c r="J59" s="10">
        <v>62800</v>
      </c>
      <c r="K59" s="10">
        <v>31400</v>
      </c>
      <c r="L59" s="10">
        <v>77506630</v>
      </c>
      <c r="M59" s="10">
        <v>52713285</v>
      </c>
      <c r="N59" s="10">
        <v>1900</v>
      </c>
      <c r="O59" s="10">
        <v>1231</v>
      </c>
      <c r="P59" s="10">
        <v>4533250</v>
      </c>
      <c r="Q59" s="10">
        <v>914000</v>
      </c>
      <c r="R59" s="10">
        <v>93000</v>
      </c>
      <c r="S59" s="10">
        <v>2931075</v>
      </c>
      <c r="T59" s="10">
        <v>286304</v>
      </c>
      <c r="U59" s="10">
        <v>1647000</v>
      </c>
      <c r="V59" s="10">
        <v>4533250</v>
      </c>
      <c r="W59" s="10">
        <v>914000</v>
      </c>
      <c r="X59" s="10">
        <v>93000</v>
      </c>
      <c r="Y59" s="10">
        <v>2931075</v>
      </c>
      <c r="Z59" s="10">
        <v>175229</v>
      </c>
      <c r="AA59" s="10">
        <v>1647000</v>
      </c>
      <c r="AB59" s="10">
        <v>-3617200</v>
      </c>
      <c r="AC59" s="10">
        <v>-109841</v>
      </c>
      <c r="AD59" s="10">
        <v>130881</v>
      </c>
      <c r="AE59" s="10">
        <v>1</v>
      </c>
      <c r="AF59" s="10">
        <v>0</v>
      </c>
      <c r="AG59" s="10">
        <v>133598</v>
      </c>
      <c r="AH59" s="10">
        <v>618629</v>
      </c>
      <c r="AI59" s="10">
        <v>20321855</v>
      </c>
      <c r="AJ59" s="10">
        <v>9054952</v>
      </c>
      <c r="AK59" s="10">
        <v>133616649</v>
      </c>
      <c r="AL59" s="10">
        <v>4417570</v>
      </c>
      <c r="AM59" s="10">
        <v>75167</v>
      </c>
      <c r="AN59" s="10">
        <v>37967118</v>
      </c>
      <c r="AO59" s="10">
        <v>526039</v>
      </c>
      <c r="AP59" s="10">
        <v>2388665</v>
      </c>
      <c r="AQ59" s="10">
        <v>34329317</v>
      </c>
      <c r="AR59" s="10">
        <v>11399975</v>
      </c>
      <c r="AS59" s="10">
        <v>14939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349027</v>
      </c>
      <c r="AZ59" s="1">
        <v>7716341.8399999999</v>
      </c>
      <c r="BA59" s="1">
        <v>4089661</v>
      </c>
      <c r="BB59" s="19"/>
      <c r="BC59" s="15">
        <v>2660176</v>
      </c>
      <c r="BD59" s="15">
        <v>5019199</v>
      </c>
      <c r="BE59" s="20">
        <v>9657587</v>
      </c>
      <c r="BF59" s="20">
        <v>9423590</v>
      </c>
      <c r="BG59" s="20">
        <v>62298824</v>
      </c>
      <c r="BH59" s="20">
        <v>60664404</v>
      </c>
      <c r="BI59" s="19"/>
      <c r="BJ59" s="19"/>
      <c r="BK59" s="19"/>
      <c r="BL59" s="5">
        <v>950642631</v>
      </c>
      <c r="BM59" s="5">
        <v>735770581</v>
      </c>
      <c r="BN59" s="15">
        <v>9353195</v>
      </c>
      <c r="BO59" s="3"/>
      <c r="BP59" s="1"/>
      <c r="BQ59" s="1"/>
      <c r="BR59" s="5"/>
      <c r="BS59" s="5"/>
      <c r="BT59" s="5"/>
    </row>
    <row r="60" spans="1:72" x14ac:dyDescent="0.25">
      <c r="A60" s="6" t="s">
        <v>114</v>
      </c>
      <c r="B60" s="10">
        <v>7175110715</v>
      </c>
      <c r="C60" s="10">
        <v>92317480</v>
      </c>
      <c r="D60" s="10">
        <v>2170236805</v>
      </c>
      <c r="E60" s="10">
        <v>185000</v>
      </c>
      <c r="F60" s="10">
        <v>255790880</v>
      </c>
      <c r="G60" s="10">
        <v>23666700</v>
      </c>
      <c r="H60" s="10">
        <v>5369400</v>
      </c>
      <c r="I60" s="10">
        <v>376700</v>
      </c>
      <c r="J60" s="10">
        <v>1318800</v>
      </c>
      <c r="K60" s="10">
        <v>62800</v>
      </c>
      <c r="L60" s="10">
        <v>173885422</v>
      </c>
      <c r="M60" s="10">
        <v>264183024</v>
      </c>
      <c r="N60" s="10">
        <v>8720</v>
      </c>
      <c r="O60" s="10">
        <v>826</v>
      </c>
      <c r="P60" s="10">
        <v>152802835</v>
      </c>
      <c r="Q60" s="10">
        <v>4548000</v>
      </c>
      <c r="R60" s="10">
        <v>57279925</v>
      </c>
      <c r="S60" s="10">
        <v>25059350</v>
      </c>
      <c r="T60" s="10">
        <v>5607910</v>
      </c>
      <c r="U60" s="10">
        <v>14689502</v>
      </c>
      <c r="V60" s="10">
        <v>152802835</v>
      </c>
      <c r="W60" s="10">
        <v>4548000</v>
      </c>
      <c r="X60" s="10">
        <v>57279925</v>
      </c>
      <c r="Y60" s="10">
        <v>25059350</v>
      </c>
      <c r="Z60" s="10">
        <v>5607910</v>
      </c>
      <c r="AA60" s="10">
        <v>14689502</v>
      </c>
      <c r="AB60" s="10">
        <v>-14333300</v>
      </c>
      <c r="AC60" s="10">
        <v>-1284748</v>
      </c>
      <c r="AD60" s="10">
        <v>0</v>
      </c>
      <c r="AE60" s="10">
        <v>0</v>
      </c>
      <c r="AF60" s="10">
        <v>0</v>
      </c>
      <c r="AG60" s="10">
        <v>0</v>
      </c>
      <c r="AH60" s="3"/>
      <c r="AI60" s="3"/>
      <c r="AJ60" s="3"/>
      <c r="AK60" s="10">
        <v>858713362</v>
      </c>
      <c r="AL60" s="10">
        <v>17897983</v>
      </c>
      <c r="AM60" s="10">
        <v>461466</v>
      </c>
      <c r="AN60" s="10">
        <v>334183767</v>
      </c>
      <c r="AO60" s="10">
        <v>17762350</v>
      </c>
      <c r="AP60" s="10">
        <v>278648369</v>
      </c>
      <c r="AQ60" s="10">
        <v>269693058</v>
      </c>
      <c r="AR60" s="10">
        <v>166733592</v>
      </c>
      <c r="AS60" s="10">
        <v>116743793</v>
      </c>
      <c r="AT60" s="10">
        <v>0</v>
      </c>
      <c r="AU60" s="10">
        <v>0</v>
      </c>
      <c r="AV60" s="10">
        <v>14000</v>
      </c>
      <c r="AW60" s="10">
        <v>19642</v>
      </c>
      <c r="AX60" s="10">
        <v>22672</v>
      </c>
      <c r="AY60" s="10">
        <v>0</v>
      </c>
      <c r="AZ60" s="1">
        <v>49590570.460000001</v>
      </c>
      <c r="BA60" s="1">
        <v>26283002</v>
      </c>
      <c r="BB60" s="19">
        <v>5788588</v>
      </c>
      <c r="BC60" s="15">
        <v>10672600</v>
      </c>
      <c r="BD60" s="15">
        <v>20136981</v>
      </c>
      <c r="BE60" s="20">
        <v>111649389</v>
      </c>
      <c r="BF60" s="20">
        <v>111649389</v>
      </c>
      <c r="BG60" s="20">
        <v>209912659</v>
      </c>
      <c r="BH60" s="20">
        <v>199741442</v>
      </c>
      <c r="BI60" s="19"/>
      <c r="BJ60" s="19"/>
      <c r="BK60" s="19"/>
      <c r="BL60" s="5">
        <v>11284261953</v>
      </c>
      <c r="BM60" s="5">
        <v>10059304175</v>
      </c>
      <c r="BN60" s="15">
        <v>4415400</v>
      </c>
      <c r="BO60" s="3"/>
      <c r="BP60" s="1"/>
      <c r="BQ60" s="1"/>
      <c r="BR60" s="5"/>
      <c r="BS60" s="5"/>
      <c r="BT60" s="5"/>
    </row>
    <row r="61" spans="1:72" x14ac:dyDescent="0.25">
      <c r="A61" s="6" t="s">
        <v>115</v>
      </c>
      <c r="B61" s="10">
        <v>143768520</v>
      </c>
      <c r="C61" s="10">
        <v>49057294</v>
      </c>
      <c r="D61" s="10">
        <v>79622716</v>
      </c>
      <c r="E61" s="10">
        <v>0</v>
      </c>
      <c r="F61" s="10">
        <v>25855600</v>
      </c>
      <c r="G61" s="10">
        <v>20941800</v>
      </c>
      <c r="H61" s="10">
        <v>13185629</v>
      </c>
      <c r="I61" s="10">
        <v>5217550</v>
      </c>
      <c r="J61" s="10">
        <v>94200</v>
      </c>
      <c r="K61" s="10">
        <v>0</v>
      </c>
      <c r="L61" s="10">
        <v>57807223</v>
      </c>
      <c r="M61" s="10">
        <v>54329929</v>
      </c>
      <c r="N61" s="10">
        <v>1376</v>
      </c>
      <c r="O61" s="10">
        <v>993</v>
      </c>
      <c r="P61" s="10">
        <v>3767100</v>
      </c>
      <c r="Q61" s="10">
        <v>651900</v>
      </c>
      <c r="R61" s="10">
        <v>355000</v>
      </c>
      <c r="S61" s="10">
        <v>2188225</v>
      </c>
      <c r="T61" s="10">
        <v>436000</v>
      </c>
      <c r="U61" s="10">
        <v>858300</v>
      </c>
      <c r="V61" s="10">
        <v>3767100</v>
      </c>
      <c r="W61" s="10">
        <v>729000</v>
      </c>
      <c r="X61" s="10">
        <v>355000</v>
      </c>
      <c r="Y61" s="10">
        <v>2188225</v>
      </c>
      <c r="Z61" s="10">
        <v>608600</v>
      </c>
      <c r="AA61" s="10">
        <v>858300</v>
      </c>
      <c r="AB61" s="10">
        <v>-1868950</v>
      </c>
      <c r="AC61" s="10">
        <v>0</v>
      </c>
      <c r="AD61" s="10">
        <v>197347</v>
      </c>
      <c r="AE61" s="10">
        <v>0</v>
      </c>
      <c r="AF61" s="10">
        <v>0</v>
      </c>
      <c r="AG61" s="10">
        <v>122325</v>
      </c>
      <c r="AH61" s="10">
        <v>11420807</v>
      </c>
      <c r="AI61" s="10">
        <v>210183554</v>
      </c>
      <c r="AJ61" s="10">
        <v>226401476</v>
      </c>
      <c r="AK61" s="10">
        <v>94719937</v>
      </c>
      <c r="AL61" s="10">
        <v>1715881</v>
      </c>
      <c r="AM61" s="10">
        <v>133025</v>
      </c>
      <c r="AN61" s="10">
        <v>155920269</v>
      </c>
      <c r="AO61" s="10">
        <v>871606</v>
      </c>
      <c r="AP61" s="10">
        <v>27430226</v>
      </c>
      <c r="AQ61" s="10">
        <v>6839893</v>
      </c>
      <c r="AR61" s="10">
        <v>1590879</v>
      </c>
      <c r="AS61" s="10">
        <v>1469182</v>
      </c>
      <c r="AT61" s="10">
        <v>69069</v>
      </c>
      <c r="AU61" s="3"/>
      <c r="AV61" s="3"/>
      <c r="AW61" s="3"/>
      <c r="AX61" s="3"/>
      <c r="AY61" s="3"/>
      <c r="AZ61" s="1">
        <v>5470062.4400000004</v>
      </c>
      <c r="BA61" s="1">
        <v>2899133</v>
      </c>
      <c r="BB61" s="19"/>
      <c r="BC61" s="15">
        <v>920986</v>
      </c>
      <c r="BD61" s="15">
        <v>1737709</v>
      </c>
      <c r="BE61" s="20">
        <v>8944563</v>
      </c>
      <c r="BF61" s="20">
        <v>8944563</v>
      </c>
      <c r="BG61" s="20">
        <v>57193301</v>
      </c>
      <c r="BH61" s="20">
        <v>56517688</v>
      </c>
      <c r="BI61" s="19"/>
      <c r="BJ61" s="19"/>
      <c r="BK61" s="19"/>
      <c r="BL61" s="5">
        <v>1049804323</v>
      </c>
      <c r="BM61" s="5">
        <v>884086135</v>
      </c>
      <c r="BN61" s="15">
        <v>2230650</v>
      </c>
      <c r="BO61" s="3"/>
      <c r="BP61" s="1"/>
      <c r="BQ61" s="1"/>
      <c r="BR61" s="5"/>
      <c r="BS61" s="5"/>
      <c r="BT61" s="5"/>
    </row>
    <row r="62" spans="1:72" x14ac:dyDescent="0.25">
      <c r="A62" s="6" t="s">
        <v>116</v>
      </c>
      <c r="B62" s="10">
        <v>493547528</v>
      </c>
      <c r="C62" s="10">
        <v>89753818</v>
      </c>
      <c r="D62" s="10">
        <v>205385907</v>
      </c>
      <c r="E62" s="10">
        <v>223236</v>
      </c>
      <c r="F62" s="10">
        <v>52215365</v>
      </c>
      <c r="G62" s="10">
        <v>31193070</v>
      </c>
      <c r="H62" s="10">
        <v>14108858</v>
      </c>
      <c r="I62" s="10">
        <v>4755429</v>
      </c>
      <c r="J62" s="10">
        <v>153600</v>
      </c>
      <c r="K62" s="10">
        <v>62800</v>
      </c>
      <c r="L62" s="10">
        <v>110076294</v>
      </c>
      <c r="M62" s="10">
        <v>76663406</v>
      </c>
      <c r="N62" s="10">
        <v>2404</v>
      </c>
      <c r="O62" s="10">
        <v>1446</v>
      </c>
      <c r="P62" s="10">
        <v>12908453</v>
      </c>
      <c r="Q62" s="10">
        <v>3826250</v>
      </c>
      <c r="R62" s="10">
        <v>9421000</v>
      </c>
      <c r="S62" s="10">
        <v>4864006</v>
      </c>
      <c r="T62" s="10">
        <v>1324482</v>
      </c>
      <c r="U62" s="10">
        <v>2233600</v>
      </c>
      <c r="V62" s="10">
        <v>12908453</v>
      </c>
      <c r="W62" s="10">
        <v>3412220</v>
      </c>
      <c r="X62" s="10">
        <v>9421000</v>
      </c>
      <c r="Y62" s="10">
        <v>4864006</v>
      </c>
      <c r="Z62" s="10">
        <v>940344</v>
      </c>
      <c r="AA62" s="10">
        <v>2233600</v>
      </c>
      <c r="AB62" s="10">
        <v>-9235794</v>
      </c>
      <c r="AC62" s="10">
        <v>-556010</v>
      </c>
      <c r="AD62" s="10">
        <v>138616</v>
      </c>
      <c r="AE62" s="3"/>
      <c r="AF62" s="3"/>
      <c r="AG62" s="3"/>
      <c r="AH62" s="10">
        <v>1048525</v>
      </c>
      <c r="AI62" s="10">
        <v>73297435</v>
      </c>
      <c r="AJ62" s="10">
        <v>3565145</v>
      </c>
      <c r="AK62" s="10">
        <v>148443051</v>
      </c>
      <c r="AL62" s="10">
        <v>3153563</v>
      </c>
      <c r="AM62" s="10">
        <v>0</v>
      </c>
      <c r="AN62" s="10">
        <v>35238006</v>
      </c>
      <c r="AO62" s="10">
        <v>330160</v>
      </c>
      <c r="AP62" s="10">
        <v>30644720</v>
      </c>
      <c r="AQ62" s="10">
        <v>33461498</v>
      </c>
      <c r="AR62" s="10">
        <v>24930277</v>
      </c>
      <c r="AS62" s="10">
        <v>6589738</v>
      </c>
      <c r="AT62" s="10">
        <v>60537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">
        <v>8572564.3800000008</v>
      </c>
      <c r="BA62" s="1">
        <v>4543459</v>
      </c>
      <c r="BB62" s="19"/>
      <c r="BC62" s="15">
        <v>2288541</v>
      </c>
      <c r="BD62" s="15">
        <v>4318002</v>
      </c>
      <c r="BE62" s="20">
        <v>20323331</v>
      </c>
      <c r="BF62" s="20">
        <v>20323331</v>
      </c>
      <c r="BG62" s="20">
        <v>34624766</v>
      </c>
      <c r="BH62" s="20">
        <v>31916926</v>
      </c>
      <c r="BI62" s="19"/>
      <c r="BJ62" s="19"/>
      <c r="BK62" s="19"/>
      <c r="BL62" s="5">
        <v>1146296893</v>
      </c>
      <c r="BM62" s="5">
        <v>935628022</v>
      </c>
      <c r="BN62" s="15">
        <v>193400</v>
      </c>
      <c r="BO62" s="3"/>
      <c r="BP62" s="1"/>
      <c r="BQ62" s="1"/>
      <c r="BR62" s="5"/>
      <c r="BS62" s="5"/>
      <c r="BT62" s="5"/>
    </row>
    <row r="63" spans="1:72" x14ac:dyDescent="0.25">
      <c r="A63" s="6" t="s">
        <v>117</v>
      </c>
      <c r="B63" s="10">
        <v>307863393</v>
      </c>
      <c r="C63" s="10">
        <v>132463036</v>
      </c>
      <c r="D63" s="10">
        <v>57422377</v>
      </c>
      <c r="E63" s="10">
        <v>0</v>
      </c>
      <c r="F63" s="10">
        <v>27503100</v>
      </c>
      <c r="G63" s="10">
        <v>6513200</v>
      </c>
      <c r="H63" s="10">
        <v>11301240</v>
      </c>
      <c r="I63" s="10">
        <v>1201180</v>
      </c>
      <c r="J63" s="10">
        <v>94200</v>
      </c>
      <c r="K63" s="10">
        <v>0</v>
      </c>
      <c r="L63" s="10">
        <v>184206070</v>
      </c>
      <c r="M63" s="10">
        <v>92916053</v>
      </c>
      <c r="N63" s="10">
        <v>1275</v>
      </c>
      <c r="O63" s="10">
        <v>257</v>
      </c>
      <c r="P63" s="10">
        <v>11053131</v>
      </c>
      <c r="Q63" s="10">
        <v>5740005</v>
      </c>
      <c r="R63" s="10">
        <v>1023500</v>
      </c>
      <c r="S63" s="10">
        <v>2022025</v>
      </c>
      <c r="T63" s="10">
        <v>1595315</v>
      </c>
      <c r="U63" s="10">
        <v>192000</v>
      </c>
      <c r="V63" s="10">
        <v>11053131</v>
      </c>
      <c r="W63" s="10">
        <v>8318929</v>
      </c>
      <c r="X63" s="10">
        <v>1023500</v>
      </c>
      <c r="Y63" s="10">
        <v>2022025</v>
      </c>
      <c r="Z63" s="10">
        <v>2329232</v>
      </c>
      <c r="AA63" s="10">
        <v>192000</v>
      </c>
      <c r="AB63" s="10">
        <v>-2345030</v>
      </c>
      <c r="AC63" s="10">
        <v>-13263</v>
      </c>
      <c r="AD63" s="10">
        <v>50177</v>
      </c>
      <c r="AE63" s="10">
        <v>0</v>
      </c>
      <c r="AF63" s="10">
        <v>0</v>
      </c>
      <c r="AG63" s="10">
        <v>151872</v>
      </c>
      <c r="AH63" s="3"/>
      <c r="AI63" s="3"/>
      <c r="AJ63" s="3"/>
      <c r="AK63" s="10">
        <v>76468139</v>
      </c>
      <c r="AL63" s="10">
        <v>1812623</v>
      </c>
      <c r="AM63" s="10">
        <v>0</v>
      </c>
      <c r="AN63" s="10">
        <v>9392476</v>
      </c>
      <c r="AO63" s="10">
        <v>42965</v>
      </c>
      <c r="AP63" s="10">
        <v>12307997</v>
      </c>
      <c r="AQ63" s="10">
        <v>13702659</v>
      </c>
      <c r="AR63" s="10">
        <v>8700610</v>
      </c>
      <c r="AS63" s="10">
        <v>0</v>
      </c>
      <c r="AT63" s="10">
        <v>789053</v>
      </c>
      <c r="AU63" s="10">
        <v>0</v>
      </c>
      <c r="AV63" s="10">
        <v>0</v>
      </c>
      <c r="AW63" s="10">
        <v>26193</v>
      </c>
      <c r="AX63" s="10">
        <v>2838</v>
      </c>
      <c r="AY63" s="10">
        <v>50000</v>
      </c>
      <c r="AZ63" s="1">
        <v>4416023.79</v>
      </c>
      <c r="BA63" s="1">
        <v>2340493</v>
      </c>
      <c r="BB63" s="19"/>
      <c r="BC63" s="15">
        <v>61770</v>
      </c>
      <c r="BD63" s="15">
        <v>116548</v>
      </c>
      <c r="BE63" s="20">
        <v>4265116</v>
      </c>
      <c r="BF63" s="20">
        <v>4265116</v>
      </c>
      <c r="BG63" s="20">
        <v>27939468</v>
      </c>
      <c r="BH63" s="20">
        <v>27788404</v>
      </c>
      <c r="BI63" s="19"/>
      <c r="BJ63" s="19"/>
      <c r="BK63" s="19"/>
      <c r="BL63" s="5">
        <v>633623451</v>
      </c>
      <c r="BM63" s="5">
        <v>520886906</v>
      </c>
      <c r="BN63" s="15">
        <v>1103354</v>
      </c>
      <c r="BO63" s="3"/>
      <c r="BP63" s="1"/>
      <c r="BQ63" s="1"/>
      <c r="BR63" s="5"/>
      <c r="BS63" s="5"/>
      <c r="BT63" s="5"/>
    </row>
    <row r="64" spans="1:72" x14ac:dyDescent="0.25">
      <c r="A64" s="6" t="s">
        <v>118</v>
      </c>
      <c r="B64" s="10">
        <v>1296280410</v>
      </c>
      <c r="C64" s="10">
        <v>182526744</v>
      </c>
      <c r="D64" s="10">
        <v>630379470</v>
      </c>
      <c r="E64" s="10">
        <v>12106298</v>
      </c>
      <c r="F64" s="10">
        <v>101135799</v>
      </c>
      <c r="G64" s="10">
        <v>46908690</v>
      </c>
      <c r="H64" s="10">
        <v>22339600</v>
      </c>
      <c r="I64" s="10">
        <v>4794876</v>
      </c>
      <c r="J64" s="10">
        <v>188400</v>
      </c>
      <c r="K64" s="10">
        <v>0</v>
      </c>
      <c r="L64" s="10">
        <v>378938180</v>
      </c>
      <c r="M64" s="10">
        <v>160923100</v>
      </c>
      <c r="N64" s="10">
        <v>4060</v>
      </c>
      <c r="O64" s="10">
        <v>1751</v>
      </c>
      <c r="P64" s="10">
        <v>11073300</v>
      </c>
      <c r="Q64" s="10">
        <v>2788320</v>
      </c>
      <c r="R64" s="10">
        <v>24489400</v>
      </c>
      <c r="S64" s="10">
        <v>6151700</v>
      </c>
      <c r="T64" s="10">
        <v>644800</v>
      </c>
      <c r="U64" s="10">
        <v>4958700</v>
      </c>
      <c r="V64" s="10">
        <v>11073300</v>
      </c>
      <c r="W64" s="10">
        <v>4306000</v>
      </c>
      <c r="X64" s="10">
        <v>24489400</v>
      </c>
      <c r="Y64" s="10">
        <v>6151700</v>
      </c>
      <c r="Z64" s="10">
        <v>996900</v>
      </c>
      <c r="AA64" s="10">
        <v>4958700</v>
      </c>
      <c r="AB64" s="10">
        <v>-10741670</v>
      </c>
      <c r="AC64" s="10">
        <v>-16968307</v>
      </c>
      <c r="AD64" s="10">
        <v>84189</v>
      </c>
      <c r="AE64" s="10">
        <v>0</v>
      </c>
      <c r="AF64" s="10">
        <v>0</v>
      </c>
      <c r="AG64" s="10">
        <v>144527</v>
      </c>
      <c r="AH64" s="10">
        <v>548814</v>
      </c>
      <c r="AI64" s="10">
        <v>465191</v>
      </c>
      <c r="AJ64" s="10">
        <v>200637</v>
      </c>
      <c r="AK64" s="10">
        <v>348610711</v>
      </c>
      <c r="AL64" s="10">
        <v>17329565</v>
      </c>
      <c r="AM64" s="10">
        <v>986291</v>
      </c>
      <c r="AN64" s="10">
        <v>157313443</v>
      </c>
      <c r="AO64" s="10">
        <v>17677884</v>
      </c>
      <c r="AP64" s="10">
        <v>141768349</v>
      </c>
      <c r="AQ64" s="10">
        <v>166982237</v>
      </c>
      <c r="AR64" s="10">
        <v>67650182</v>
      </c>
      <c r="AS64" s="10">
        <v>1523490</v>
      </c>
      <c r="AT64" s="10">
        <v>4618900</v>
      </c>
      <c r="AU64" s="3"/>
      <c r="AV64" s="3"/>
      <c r="AW64" s="10">
        <v>8099436</v>
      </c>
      <c r="AX64" s="10">
        <v>1355097</v>
      </c>
      <c r="AY64" s="10">
        <v>1452500</v>
      </c>
      <c r="AZ64" s="1">
        <v>20132217.329999998</v>
      </c>
      <c r="BA64" s="1">
        <v>10670075</v>
      </c>
      <c r="BB64" s="19"/>
      <c r="BC64" s="15">
        <v>1906780</v>
      </c>
      <c r="BD64" s="15">
        <v>3597698</v>
      </c>
      <c r="BE64" s="20">
        <v>25928560</v>
      </c>
      <c r="BF64" s="20">
        <v>25928560</v>
      </c>
      <c r="BG64" s="20">
        <v>91269467</v>
      </c>
      <c r="BH64" s="20">
        <v>85942420</v>
      </c>
      <c r="BI64" s="19"/>
      <c r="BJ64" s="19"/>
      <c r="BK64" s="19"/>
      <c r="BL64" s="5">
        <v>2942762941</v>
      </c>
      <c r="BM64" s="5">
        <v>2452374830</v>
      </c>
      <c r="BN64" s="15">
        <v>2375600</v>
      </c>
      <c r="BO64" s="3"/>
      <c r="BP64" s="1"/>
      <c r="BQ64" s="1"/>
      <c r="BR64" s="5"/>
      <c r="BS64" s="5"/>
      <c r="BT64" s="5"/>
    </row>
    <row r="65" spans="1:72" x14ac:dyDescent="0.25">
      <c r="A65" s="6" t="s">
        <v>119</v>
      </c>
      <c r="B65" s="10">
        <v>215068301</v>
      </c>
      <c r="C65" s="10">
        <v>93910050</v>
      </c>
      <c r="D65" s="10">
        <v>93242514</v>
      </c>
      <c r="E65" s="10">
        <v>0</v>
      </c>
      <c r="F65" s="10">
        <v>23671347</v>
      </c>
      <c r="G65" s="10">
        <v>12019690</v>
      </c>
      <c r="H65" s="10">
        <v>12848785</v>
      </c>
      <c r="I65" s="10">
        <v>5178254</v>
      </c>
      <c r="J65" s="10">
        <v>125600</v>
      </c>
      <c r="K65" s="10">
        <v>33400</v>
      </c>
      <c r="L65" s="10">
        <v>111140865</v>
      </c>
      <c r="M65" s="10">
        <v>69990100</v>
      </c>
      <c r="N65" s="10">
        <v>1340</v>
      </c>
      <c r="O65" s="10">
        <v>649</v>
      </c>
      <c r="P65" s="10">
        <v>7957135</v>
      </c>
      <c r="Q65" s="10">
        <v>1988400</v>
      </c>
      <c r="R65" s="10">
        <v>6191900</v>
      </c>
      <c r="S65" s="10">
        <v>900800</v>
      </c>
      <c r="T65" s="10">
        <v>259300</v>
      </c>
      <c r="U65" s="10">
        <v>93500</v>
      </c>
      <c r="V65" s="10">
        <v>7924135</v>
      </c>
      <c r="W65" s="10">
        <v>2074800</v>
      </c>
      <c r="X65" s="10">
        <v>6191900</v>
      </c>
      <c r="Y65" s="10">
        <v>926200</v>
      </c>
      <c r="Z65" s="10">
        <v>274200</v>
      </c>
      <c r="AA65" s="10">
        <v>93500</v>
      </c>
      <c r="AB65" s="10">
        <v>-6763786</v>
      </c>
      <c r="AC65" s="10">
        <v>-28738</v>
      </c>
      <c r="AD65" s="10">
        <v>186352</v>
      </c>
      <c r="AE65" s="10">
        <v>0</v>
      </c>
      <c r="AF65" s="10">
        <v>0</v>
      </c>
      <c r="AG65" s="10">
        <v>226588</v>
      </c>
      <c r="AH65" s="10">
        <v>3684617</v>
      </c>
      <c r="AI65" s="10">
        <v>18168984</v>
      </c>
      <c r="AJ65" s="10">
        <v>8431000</v>
      </c>
      <c r="AK65" s="10">
        <v>85550088</v>
      </c>
      <c r="AL65" s="10">
        <v>3620150</v>
      </c>
      <c r="AM65" s="10">
        <v>15000</v>
      </c>
      <c r="AN65" s="10">
        <v>27642972</v>
      </c>
      <c r="AO65" s="10">
        <v>677415</v>
      </c>
      <c r="AP65" s="10">
        <v>3841783</v>
      </c>
      <c r="AQ65" s="10">
        <v>13216524</v>
      </c>
      <c r="AR65" s="10">
        <v>651034</v>
      </c>
      <c r="AS65" s="10">
        <v>642</v>
      </c>
      <c r="AT65" s="10">
        <v>131000</v>
      </c>
      <c r="AU65" s="3"/>
      <c r="AV65" s="3"/>
      <c r="AW65" s="3"/>
      <c r="AX65" s="3"/>
      <c r="AY65" s="3"/>
      <c r="AZ65" s="1">
        <v>4940505.01</v>
      </c>
      <c r="BA65" s="1">
        <v>2618468</v>
      </c>
      <c r="BB65" s="19"/>
      <c r="BC65" s="15">
        <v>2357400</v>
      </c>
      <c r="BD65" s="15">
        <v>4447924</v>
      </c>
      <c r="BE65" s="20">
        <v>23277839</v>
      </c>
      <c r="BF65" s="20">
        <v>23277839</v>
      </c>
      <c r="BG65" s="20">
        <v>68205782</v>
      </c>
      <c r="BH65" s="20">
        <v>65205902</v>
      </c>
      <c r="BI65" s="19"/>
      <c r="BJ65" s="19"/>
      <c r="BK65" s="19"/>
      <c r="BL65" s="5">
        <v>656672224</v>
      </c>
      <c r="BM65" s="5">
        <v>474042377</v>
      </c>
      <c r="BN65" s="15">
        <v>640500</v>
      </c>
      <c r="BO65" s="3"/>
      <c r="BP65" s="1"/>
      <c r="BQ65" s="1"/>
      <c r="BR65" s="5"/>
      <c r="BS65" s="5"/>
      <c r="BT65" s="5"/>
    </row>
    <row r="66" spans="1:72" x14ac:dyDescent="0.25">
      <c r="A66" s="6" t="s">
        <v>120</v>
      </c>
      <c r="B66" s="10">
        <v>75522847</v>
      </c>
      <c r="C66" s="10">
        <v>35362042</v>
      </c>
      <c r="D66" s="10">
        <v>52889341</v>
      </c>
      <c r="E66" s="10">
        <v>0</v>
      </c>
      <c r="F66" s="10">
        <v>9996060</v>
      </c>
      <c r="G66" s="10">
        <v>10713350</v>
      </c>
      <c r="H66" s="10">
        <v>4480070</v>
      </c>
      <c r="I66" s="10">
        <v>3431900</v>
      </c>
      <c r="J66" s="10">
        <v>0</v>
      </c>
      <c r="K66" s="10">
        <v>0</v>
      </c>
      <c r="L66" s="10">
        <v>31196342</v>
      </c>
      <c r="M66" s="10">
        <v>25425354</v>
      </c>
      <c r="N66" s="10">
        <v>610</v>
      </c>
      <c r="O66" s="10">
        <v>542</v>
      </c>
      <c r="P66" s="10">
        <v>2316250</v>
      </c>
      <c r="Q66" s="10">
        <v>472950</v>
      </c>
      <c r="R66" s="10">
        <v>5254275</v>
      </c>
      <c r="S66" s="10">
        <v>1252578</v>
      </c>
      <c r="T66" s="10">
        <v>1918250</v>
      </c>
      <c r="U66" s="10">
        <v>74000</v>
      </c>
      <c r="V66" s="10">
        <v>2316250</v>
      </c>
      <c r="W66" s="10">
        <v>522950</v>
      </c>
      <c r="X66" s="10">
        <v>5254275</v>
      </c>
      <c r="Y66" s="10">
        <v>1252578</v>
      </c>
      <c r="Z66" s="10">
        <v>4918925</v>
      </c>
      <c r="AA66" s="10">
        <v>74000</v>
      </c>
      <c r="AB66" s="10">
        <v>-1955788</v>
      </c>
      <c r="AC66" s="10">
        <v>-245248</v>
      </c>
      <c r="AD66" s="10">
        <v>79548</v>
      </c>
      <c r="AE66" s="10">
        <v>0</v>
      </c>
      <c r="AF66" s="10">
        <v>0</v>
      </c>
      <c r="AG66" s="10">
        <v>96899</v>
      </c>
      <c r="AH66" s="10">
        <v>21614515</v>
      </c>
      <c r="AI66" s="3"/>
      <c r="AJ66" s="10">
        <v>0</v>
      </c>
      <c r="AK66" s="10">
        <v>34547524</v>
      </c>
      <c r="AL66" s="10">
        <v>694981</v>
      </c>
      <c r="AM66" s="10">
        <v>0</v>
      </c>
      <c r="AN66" s="10">
        <v>9057551</v>
      </c>
      <c r="AO66" s="10">
        <v>5695</v>
      </c>
      <c r="AP66" s="10">
        <v>686602</v>
      </c>
      <c r="AQ66" s="10">
        <v>6144661</v>
      </c>
      <c r="AR66" s="10">
        <v>3906312</v>
      </c>
      <c r="AS66" s="10">
        <v>0</v>
      </c>
      <c r="AT66" s="10">
        <v>37204</v>
      </c>
      <c r="AU66" s="10">
        <v>0</v>
      </c>
      <c r="AV66" s="10">
        <v>0</v>
      </c>
      <c r="AW66" s="10">
        <v>0</v>
      </c>
      <c r="AX66" s="10">
        <v>0</v>
      </c>
      <c r="AY66" s="10">
        <v>108000</v>
      </c>
      <c r="AZ66" s="1">
        <v>1995114.43</v>
      </c>
      <c r="BA66" s="1">
        <v>1057411</v>
      </c>
      <c r="BB66" s="19"/>
      <c r="BC66" s="15">
        <v>1692609</v>
      </c>
      <c r="BD66" s="15">
        <v>3193602</v>
      </c>
      <c r="BE66" s="20">
        <v>6504343</v>
      </c>
      <c r="BF66" s="20">
        <v>6504343</v>
      </c>
      <c r="BG66" s="20">
        <v>26902866</v>
      </c>
      <c r="BH66" s="20">
        <v>22015617</v>
      </c>
      <c r="BI66" s="19"/>
      <c r="BJ66" s="19"/>
      <c r="BK66" s="19"/>
      <c r="BL66" s="5">
        <v>267109137</v>
      </c>
      <c r="BM66" s="5">
        <v>200596652</v>
      </c>
      <c r="BN66" s="15">
        <v>173000</v>
      </c>
      <c r="BO66" s="3"/>
      <c r="BP66" s="1"/>
      <c r="BQ66" s="1"/>
      <c r="BR66" s="5"/>
      <c r="BS66" s="5"/>
      <c r="BT66" s="5"/>
    </row>
    <row r="67" spans="1:72" x14ac:dyDescent="0.25">
      <c r="A67" s="6" t="s">
        <v>121</v>
      </c>
      <c r="B67" s="10">
        <v>103061386</v>
      </c>
      <c r="C67" s="10">
        <v>48472509</v>
      </c>
      <c r="D67" s="10">
        <v>27598465</v>
      </c>
      <c r="E67" s="10">
        <v>0</v>
      </c>
      <c r="F67" s="10">
        <v>19232685</v>
      </c>
      <c r="G67" s="10">
        <v>23499945</v>
      </c>
      <c r="H67" s="10">
        <v>7533900</v>
      </c>
      <c r="I67" s="10">
        <v>3770278</v>
      </c>
      <c r="J67" s="10">
        <v>157000</v>
      </c>
      <c r="K67" s="10">
        <v>31400</v>
      </c>
      <c r="L67" s="10">
        <v>37985286</v>
      </c>
      <c r="M67" s="10">
        <v>28492700</v>
      </c>
      <c r="N67" s="10">
        <v>975</v>
      </c>
      <c r="O67" s="10">
        <v>1054</v>
      </c>
      <c r="P67" s="10">
        <v>3124725</v>
      </c>
      <c r="Q67" s="10">
        <v>75400</v>
      </c>
      <c r="R67" s="10">
        <v>2620000</v>
      </c>
      <c r="S67" s="10">
        <v>1313075</v>
      </c>
      <c r="T67" s="10">
        <v>192025</v>
      </c>
      <c r="U67" s="10">
        <v>10950</v>
      </c>
      <c r="V67" s="10">
        <v>3124725</v>
      </c>
      <c r="W67" s="10">
        <v>35100</v>
      </c>
      <c r="X67" s="10">
        <v>2620000</v>
      </c>
      <c r="Y67" s="10">
        <v>1313075</v>
      </c>
      <c r="Z67" s="10">
        <v>190175</v>
      </c>
      <c r="AA67" s="10">
        <v>10950</v>
      </c>
      <c r="AB67" s="10">
        <v>-1594533</v>
      </c>
      <c r="AC67" s="10">
        <v>0</v>
      </c>
      <c r="AD67" s="10">
        <v>181178</v>
      </c>
      <c r="AE67" s="10">
        <v>0</v>
      </c>
      <c r="AF67" s="10">
        <v>0</v>
      </c>
      <c r="AG67" s="10">
        <v>193891</v>
      </c>
      <c r="AH67" s="10">
        <v>42615146</v>
      </c>
      <c r="AI67" s="10">
        <v>98223422</v>
      </c>
      <c r="AJ67" s="10">
        <v>118039470</v>
      </c>
      <c r="AK67" s="10">
        <v>62240309</v>
      </c>
      <c r="AL67" s="10">
        <v>4423535</v>
      </c>
      <c r="AM67" s="10">
        <v>0</v>
      </c>
      <c r="AN67" s="10">
        <v>46209384</v>
      </c>
      <c r="AO67" s="10">
        <v>2795779</v>
      </c>
      <c r="AP67" s="10">
        <v>8835160</v>
      </c>
      <c r="AQ67" s="10">
        <v>3247239</v>
      </c>
      <c r="AR67" s="10">
        <v>817761</v>
      </c>
      <c r="AS67" s="10">
        <v>7940</v>
      </c>
      <c r="AT67" s="10">
        <v>920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">
        <v>3594368.7</v>
      </c>
      <c r="BA67" s="1">
        <v>1905015</v>
      </c>
      <c r="BB67" s="19"/>
      <c r="BC67" s="15">
        <v>0</v>
      </c>
      <c r="BD67" s="15">
        <v>0</v>
      </c>
      <c r="BE67" s="20">
        <v>1250442</v>
      </c>
      <c r="BF67" s="20">
        <v>1250442</v>
      </c>
      <c r="BG67" s="20">
        <v>27133518</v>
      </c>
      <c r="BH67" s="20">
        <v>27133518</v>
      </c>
      <c r="BI67" s="19"/>
      <c r="BJ67" s="19"/>
      <c r="BK67" s="19"/>
      <c r="BL67" s="5">
        <v>587215619</v>
      </c>
      <c r="BM67" s="5">
        <v>490262800</v>
      </c>
      <c r="BN67" s="15">
        <v>542535</v>
      </c>
      <c r="BO67" s="3"/>
      <c r="BP67" s="1"/>
      <c r="BQ67" s="1"/>
      <c r="BR67" s="5"/>
      <c r="BS67" s="5"/>
      <c r="BT67" s="5"/>
    </row>
    <row r="68" spans="1:72" x14ac:dyDescent="0.25">
      <c r="A68" s="6" t="s">
        <v>122</v>
      </c>
      <c r="B68" s="10">
        <v>205156300</v>
      </c>
      <c r="C68" s="10">
        <v>46095313</v>
      </c>
      <c r="D68" s="10">
        <v>108741847</v>
      </c>
      <c r="E68" s="10">
        <v>0</v>
      </c>
      <c r="F68" s="10">
        <v>38041135</v>
      </c>
      <c r="G68" s="10">
        <v>32748109</v>
      </c>
      <c r="H68" s="10">
        <v>11490550</v>
      </c>
      <c r="I68" s="10">
        <v>5119500</v>
      </c>
      <c r="J68" s="10">
        <v>0</v>
      </c>
      <c r="K68" s="10">
        <v>0</v>
      </c>
      <c r="L68" s="10">
        <v>69102087</v>
      </c>
      <c r="M68" s="3"/>
      <c r="N68" s="10">
        <v>2065</v>
      </c>
      <c r="O68" s="10">
        <v>1680</v>
      </c>
      <c r="P68" s="10">
        <v>243500</v>
      </c>
      <c r="Q68" s="10">
        <v>123000</v>
      </c>
      <c r="R68" s="10">
        <v>707890</v>
      </c>
      <c r="S68" s="10">
        <v>191000</v>
      </c>
      <c r="T68" s="10">
        <v>14500</v>
      </c>
      <c r="U68" s="10">
        <v>0</v>
      </c>
      <c r="V68" s="10">
        <v>243500</v>
      </c>
      <c r="W68" s="10">
        <v>230000</v>
      </c>
      <c r="X68" s="10">
        <v>707890</v>
      </c>
      <c r="Y68" s="10">
        <v>191000</v>
      </c>
      <c r="Z68" s="10">
        <v>30000</v>
      </c>
      <c r="AA68" s="10">
        <v>0</v>
      </c>
      <c r="AB68" s="10">
        <v>-4133403</v>
      </c>
      <c r="AC68" s="10">
        <v>-1548629</v>
      </c>
      <c r="AD68" s="3"/>
      <c r="AE68" s="3"/>
      <c r="AF68" s="3"/>
      <c r="AG68" s="3"/>
      <c r="AH68" s="10">
        <v>17120099</v>
      </c>
      <c r="AI68" s="10">
        <v>118337083</v>
      </c>
      <c r="AJ68" s="10">
        <v>154516000</v>
      </c>
      <c r="AK68" s="10">
        <v>147022153</v>
      </c>
      <c r="AL68" s="10">
        <v>2932224</v>
      </c>
      <c r="AM68" s="10">
        <v>0</v>
      </c>
      <c r="AN68" s="10">
        <v>89532100</v>
      </c>
      <c r="AO68" s="10">
        <v>5107969</v>
      </c>
      <c r="AP68" s="10">
        <v>28710684</v>
      </c>
      <c r="AQ68" s="10">
        <v>16239518</v>
      </c>
      <c r="AR68" s="10">
        <v>2677912</v>
      </c>
      <c r="AS68" s="10">
        <v>855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">
        <v>8490507.7300000004</v>
      </c>
      <c r="BA68" s="1">
        <v>4499969</v>
      </c>
      <c r="BB68" s="19"/>
      <c r="BC68" s="15">
        <v>2002980</v>
      </c>
      <c r="BD68" s="15">
        <v>3779207</v>
      </c>
      <c r="BE68" s="20">
        <v>7029807</v>
      </c>
      <c r="BF68" s="20">
        <v>7029807</v>
      </c>
      <c r="BG68" s="20">
        <v>47548268</v>
      </c>
      <c r="BH68" s="20">
        <v>44981143</v>
      </c>
      <c r="BI68" s="19"/>
      <c r="BJ68" s="19"/>
      <c r="BK68" s="19"/>
      <c r="BL68" s="5">
        <v>969314505</v>
      </c>
      <c r="BM68" s="5">
        <v>760846229</v>
      </c>
      <c r="BN68" s="15">
        <v>141750</v>
      </c>
      <c r="BO68" s="3"/>
      <c r="BP68" s="1"/>
      <c r="BQ68" s="1"/>
      <c r="BR68" s="5"/>
      <c r="BS68" s="5"/>
      <c r="BT68" s="5"/>
    </row>
    <row r="69" spans="1:72" x14ac:dyDescent="0.25">
      <c r="A69" s="6" t="s">
        <v>123</v>
      </c>
      <c r="B69" s="10">
        <v>171565904</v>
      </c>
      <c r="C69" s="10">
        <v>97878300</v>
      </c>
      <c r="D69" s="10">
        <v>29649600</v>
      </c>
      <c r="E69" s="10">
        <v>0</v>
      </c>
      <c r="F69" s="10">
        <v>21466900</v>
      </c>
      <c r="G69" s="10">
        <v>9592200</v>
      </c>
      <c r="H69" s="10">
        <v>9418000</v>
      </c>
      <c r="I69" s="10">
        <v>1677500</v>
      </c>
      <c r="J69" s="10">
        <v>60800</v>
      </c>
      <c r="K69" s="10">
        <v>0</v>
      </c>
      <c r="L69" s="10">
        <v>69615500</v>
      </c>
      <c r="M69" s="10">
        <v>0</v>
      </c>
      <c r="N69" s="10">
        <v>1125</v>
      </c>
      <c r="O69" s="10">
        <v>462</v>
      </c>
      <c r="P69" s="10">
        <v>5771200</v>
      </c>
      <c r="Q69" s="10">
        <v>1188700</v>
      </c>
      <c r="R69" s="10">
        <v>220000</v>
      </c>
      <c r="S69" s="10">
        <v>739400</v>
      </c>
      <c r="T69" s="10">
        <v>561800</v>
      </c>
      <c r="U69" s="10">
        <v>395300</v>
      </c>
      <c r="V69" s="10">
        <v>5771200</v>
      </c>
      <c r="W69" s="10">
        <v>1339000</v>
      </c>
      <c r="X69" s="10">
        <v>220000</v>
      </c>
      <c r="Y69" s="10">
        <v>739400</v>
      </c>
      <c r="Z69" s="10">
        <v>1089900</v>
      </c>
      <c r="AA69" s="10">
        <v>395300</v>
      </c>
      <c r="AB69" s="10">
        <v>-2037200</v>
      </c>
      <c r="AC69" s="10">
        <v>0</v>
      </c>
      <c r="AD69" s="10">
        <v>178511</v>
      </c>
      <c r="AE69" s="10">
        <v>0</v>
      </c>
      <c r="AF69" s="10">
        <v>0</v>
      </c>
      <c r="AG69" s="10">
        <v>291667</v>
      </c>
      <c r="AH69" s="3"/>
      <c r="AI69" s="10">
        <v>6306</v>
      </c>
      <c r="AJ69" s="3"/>
      <c r="AK69" s="10">
        <v>67283169</v>
      </c>
      <c r="AL69" s="10">
        <v>1111934</v>
      </c>
      <c r="AM69" s="10">
        <v>0</v>
      </c>
      <c r="AN69" s="10">
        <v>8165857</v>
      </c>
      <c r="AO69" s="10">
        <v>349342</v>
      </c>
      <c r="AP69" s="10">
        <v>6406758</v>
      </c>
      <c r="AQ69" s="10">
        <v>5825872</v>
      </c>
      <c r="AR69" s="10">
        <v>954649</v>
      </c>
      <c r="AS69" s="10">
        <v>0</v>
      </c>
      <c r="AT69" s="10">
        <v>30375</v>
      </c>
      <c r="AU69" s="10">
        <v>0</v>
      </c>
      <c r="AV69" s="10">
        <v>0</v>
      </c>
      <c r="AW69" s="10">
        <v>0</v>
      </c>
      <c r="AX69" s="10">
        <v>0</v>
      </c>
      <c r="AY69" s="10">
        <v>45000</v>
      </c>
      <c r="AZ69" s="1">
        <v>3885593.12</v>
      </c>
      <c r="BA69" s="1">
        <v>2059364</v>
      </c>
      <c r="BB69" s="19">
        <v>26616161.460000001</v>
      </c>
      <c r="BC69" s="15">
        <v>2104749</v>
      </c>
      <c r="BD69" s="15">
        <v>3971224</v>
      </c>
      <c r="BE69" s="20">
        <v>31730741</v>
      </c>
      <c r="BF69" s="20">
        <v>31730741</v>
      </c>
      <c r="BG69" s="20">
        <v>58816826</v>
      </c>
      <c r="BH69" s="20">
        <v>50018618</v>
      </c>
      <c r="BI69" s="19"/>
      <c r="BJ69" s="19"/>
      <c r="BK69" s="19"/>
      <c r="BL69" s="5">
        <v>467749756</v>
      </c>
      <c r="BM69" s="5">
        <v>313441181</v>
      </c>
      <c r="BN69" s="15">
        <v>1379000</v>
      </c>
      <c r="BO69" s="3"/>
      <c r="BP69" s="1"/>
      <c r="BQ69" s="1"/>
      <c r="BR69" s="5"/>
      <c r="BS69" s="5"/>
      <c r="BT69" s="5"/>
    </row>
    <row r="70" spans="1:72" x14ac:dyDescent="0.25">
      <c r="A70" s="6" t="s">
        <v>124</v>
      </c>
      <c r="B70" s="10">
        <v>469893142</v>
      </c>
      <c r="C70" s="10">
        <v>161750512</v>
      </c>
      <c r="D70" s="10">
        <v>101901752</v>
      </c>
      <c r="E70" s="10">
        <v>0</v>
      </c>
      <c r="F70" s="10">
        <v>47437985</v>
      </c>
      <c r="G70" s="10">
        <v>14663867</v>
      </c>
      <c r="H70" s="10">
        <v>16725098</v>
      </c>
      <c r="I70" s="10">
        <v>1987600</v>
      </c>
      <c r="J70" s="10">
        <v>125600</v>
      </c>
      <c r="K70" s="10">
        <v>0</v>
      </c>
      <c r="L70" s="10">
        <v>284003958</v>
      </c>
      <c r="M70" s="10">
        <v>89595958</v>
      </c>
      <c r="N70" s="10">
        <v>2238</v>
      </c>
      <c r="O70" s="10">
        <v>640</v>
      </c>
      <c r="P70" s="10">
        <v>11060625</v>
      </c>
      <c r="Q70" s="10">
        <v>4533190</v>
      </c>
      <c r="R70" s="10">
        <v>10406200</v>
      </c>
      <c r="S70" s="10">
        <v>3640897</v>
      </c>
      <c r="T70" s="10">
        <v>1701361</v>
      </c>
      <c r="U70" s="10">
        <v>661100</v>
      </c>
      <c r="V70" s="10">
        <v>11060625</v>
      </c>
      <c r="W70" s="10">
        <v>4190600</v>
      </c>
      <c r="X70" s="10">
        <v>10406200</v>
      </c>
      <c r="Y70" s="10">
        <v>3640897</v>
      </c>
      <c r="Z70" s="10">
        <v>1814405</v>
      </c>
      <c r="AA70" s="10">
        <v>661100</v>
      </c>
      <c r="AB70" s="10">
        <v>-5579479</v>
      </c>
      <c r="AC70" s="10">
        <v>-3359320</v>
      </c>
      <c r="AD70" s="10">
        <v>54640</v>
      </c>
      <c r="AE70" s="10">
        <v>0</v>
      </c>
      <c r="AF70" s="10">
        <v>0</v>
      </c>
      <c r="AG70" s="10">
        <v>178063</v>
      </c>
      <c r="AH70" s="10">
        <v>34517</v>
      </c>
      <c r="AI70" s="3"/>
      <c r="AJ70" s="3"/>
      <c r="AK70" s="10">
        <v>126794641</v>
      </c>
      <c r="AL70" s="10">
        <v>3155548</v>
      </c>
      <c r="AM70" s="3"/>
      <c r="AN70" s="10">
        <v>14414753</v>
      </c>
      <c r="AO70" s="10">
        <v>409141</v>
      </c>
      <c r="AP70" s="10">
        <v>18805506</v>
      </c>
      <c r="AQ70" s="10">
        <v>22140207</v>
      </c>
      <c r="AR70" s="10">
        <v>4561626</v>
      </c>
      <c r="AS70" s="10">
        <v>353876</v>
      </c>
      <c r="AT70" s="10">
        <v>412912</v>
      </c>
      <c r="AU70" s="3"/>
      <c r="AV70" s="3"/>
      <c r="AW70" s="10">
        <v>16092</v>
      </c>
      <c r="AX70" s="10">
        <v>460492</v>
      </c>
      <c r="AY70" s="3"/>
      <c r="AZ70" s="1">
        <v>7322371.8799999999</v>
      </c>
      <c r="BA70" s="1">
        <v>3880857</v>
      </c>
      <c r="BB70" s="19"/>
      <c r="BC70" s="15">
        <v>1816656</v>
      </c>
      <c r="BD70" s="15">
        <v>3427653</v>
      </c>
      <c r="BE70" s="20">
        <v>26548700</v>
      </c>
      <c r="BF70" s="20">
        <v>26548700</v>
      </c>
      <c r="BG70" s="20">
        <v>53840813</v>
      </c>
      <c r="BH70" s="20">
        <v>47507075</v>
      </c>
      <c r="BI70" s="19"/>
      <c r="BJ70" s="19"/>
      <c r="BK70" s="19"/>
      <c r="BL70" s="5">
        <v>980247501</v>
      </c>
      <c r="BM70" s="5">
        <v>770544024</v>
      </c>
      <c r="BN70" s="15">
        <v>475000</v>
      </c>
      <c r="BO70" s="3"/>
      <c r="BP70" s="1"/>
      <c r="BQ70" s="1"/>
      <c r="BR70" s="5"/>
      <c r="BS70" s="5"/>
      <c r="BT70" s="5"/>
    </row>
    <row r="71" spans="1:72" x14ac:dyDescent="0.25">
      <c r="A71" s="6" t="s">
        <v>125</v>
      </c>
      <c r="B71" s="10">
        <v>215249327</v>
      </c>
      <c r="C71" s="10">
        <v>96577912</v>
      </c>
      <c r="D71" s="10">
        <v>76309908</v>
      </c>
      <c r="E71" s="10">
        <v>0</v>
      </c>
      <c r="F71" s="10">
        <v>22220950</v>
      </c>
      <c r="G71" s="10">
        <v>6214300</v>
      </c>
      <c r="H71" s="10">
        <v>7147800</v>
      </c>
      <c r="I71" s="10">
        <v>709900</v>
      </c>
      <c r="J71" s="10">
        <v>62800</v>
      </c>
      <c r="K71" s="10">
        <v>0</v>
      </c>
      <c r="L71" s="10">
        <v>145267150</v>
      </c>
      <c r="M71" s="10">
        <v>54495000</v>
      </c>
      <c r="N71" s="10">
        <v>1030</v>
      </c>
      <c r="O71" s="10">
        <v>244</v>
      </c>
      <c r="P71" s="10">
        <v>11822997</v>
      </c>
      <c r="Q71" s="10">
        <v>1932900</v>
      </c>
      <c r="R71" s="10">
        <v>13216489</v>
      </c>
      <c r="S71" s="10">
        <v>2913720</v>
      </c>
      <c r="T71" s="10">
        <v>1849800</v>
      </c>
      <c r="U71" s="10">
        <v>285950</v>
      </c>
      <c r="V71" s="10">
        <v>11822997</v>
      </c>
      <c r="W71" s="10">
        <v>2072000</v>
      </c>
      <c r="X71" s="10">
        <v>13216489</v>
      </c>
      <c r="Y71" s="10">
        <v>2913720</v>
      </c>
      <c r="Z71" s="10">
        <v>5219500</v>
      </c>
      <c r="AA71" s="10">
        <v>285950</v>
      </c>
      <c r="AB71" s="10">
        <v>-1741355</v>
      </c>
      <c r="AC71" s="10">
        <v>-34128</v>
      </c>
      <c r="AD71" s="10">
        <v>89811</v>
      </c>
      <c r="AE71" s="10">
        <v>0</v>
      </c>
      <c r="AF71" s="10">
        <v>0</v>
      </c>
      <c r="AG71" s="10">
        <v>178109</v>
      </c>
      <c r="AH71" s="3"/>
      <c r="AI71" s="10">
        <v>6753331</v>
      </c>
      <c r="AJ71" s="3"/>
      <c r="AK71" s="10">
        <v>63585037</v>
      </c>
      <c r="AL71" s="10">
        <v>4293875</v>
      </c>
      <c r="AM71" s="10">
        <v>6599641</v>
      </c>
      <c r="AN71" s="10">
        <v>45907334</v>
      </c>
      <c r="AO71" s="10">
        <v>2483094</v>
      </c>
      <c r="AP71" s="10">
        <v>89026967</v>
      </c>
      <c r="AQ71" s="10">
        <v>17765651</v>
      </c>
      <c r="AR71" s="10">
        <v>879182</v>
      </c>
      <c r="AS71" s="10">
        <v>25102487</v>
      </c>
      <c r="AT71" s="10">
        <v>90926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">
        <v>3672026.54</v>
      </c>
      <c r="BA71" s="1">
        <v>1946174</v>
      </c>
      <c r="BB71" s="19">
        <v>52450505.049999997</v>
      </c>
      <c r="BC71" s="15">
        <v>288599</v>
      </c>
      <c r="BD71" s="15">
        <v>544527</v>
      </c>
      <c r="BE71" s="20">
        <v>6509926</v>
      </c>
      <c r="BF71" s="20">
        <v>6297535</v>
      </c>
      <c r="BG71" s="20">
        <v>21396857</v>
      </c>
      <c r="BH71" s="20">
        <v>20751265</v>
      </c>
      <c r="BI71" s="19"/>
      <c r="BJ71" s="19"/>
      <c r="BK71" s="19"/>
      <c r="BL71" s="5">
        <v>558209042</v>
      </c>
      <c r="BM71" s="5">
        <v>461046557</v>
      </c>
      <c r="BN71" s="15">
        <v>378050</v>
      </c>
      <c r="BO71" s="3"/>
      <c r="BP71" s="1"/>
      <c r="BQ71" s="1"/>
      <c r="BR71" s="5"/>
      <c r="BS71" s="5"/>
      <c r="BT71" s="5"/>
    </row>
    <row r="72" spans="1:72" x14ac:dyDescent="0.25">
      <c r="A72" s="6" t="s">
        <v>126</v>
      </c>
      <c r="B72" s="10">
        <v>524207943</v>
      </c>
      <c r="C72" s="10">
        <v>224319571</v>
      </c>
      <c r="D72" s="10">
        <v>179473238</v>
      </c>
      <c r="E72" s="10">
        <v>0</v>
      </c>
      <c r="F72" s="10">
        <v>52657228</v>
      </c>
      <c r="G72" s="10">
        <v>8955650</v>
      </c>
      <c r="H72" s="10">
        <v>13434930</v>
      </c>
      <c r="I72" s="10">
        <v>882105</v>
      </c>
      <c r="J72" s="10">
        <v>62800</v>
      </c>
      <c r="K72" s="10">
        <v>31400</v>
      </c>
      <c r="L72" s="10">
        <v>554208547</v>
      </c>
      <c r="M72" s="10">
        <v>0</v>
      </c>
      <c r="N72" s="10">
        <v>246</v>
      </c>
      <c r="O72" s="10">
        <v>345</v>
      </c>
      <c r="P72" s="10">
        <v>12083156</v>
      </c>
      <c r="Q72" s="10">
        <v>2738083</v>
      </c>
      <c r="R72" s="10">
        <v>8453902</v>
      </c>
      <c r="S72" s="10">
        <v>4033391</v>
      </c>
      <c r="T72" s="10">
        <v>2767920</v>
      </c>
      <c r="U72" s="10">
        <v>2323252</v>
      </c>
      <c r="V72" s="10">
        <v>12083156</v>
      </c>
      <c r="W72" s="10">
        <v>4441696</v>
      </c>
      <c r="X72" s="10">
        <v>8453902</v>
      </c>
      <c r="Y72" s="10">
        <v>4033391</v>
      </c>
      <c r="Z72" s="10">
        <v>4153140</v>
      </c>
      <c r="AA72" s="10">
        <v>2323252</v>
      </c>
      <c r="AB72" s="10">
        <v>-5472017</v>
      </c>
      <c r="AC72" s="10">
        <v>0</v>
      </c>
      <c r="AD72" s="10">
        <v>102239</v>
      </c>
      <c r="AE72" s="10">
        <v>4430600</v>
      </c>
      <c r="AF72" s="10">
        <v>540145889</v>
      </c>
      <c r="AG72" s="10">
        <v>318177</v>
      </c>
      <c r="AH72" s="10">
        <v>9548</v>
      </c>
      <c r="AI72" s="10">
        <v>265831</v>
      </c>
      <c r="AJ72" s="3"/>
      <c r="AK72" s="10">
        <v>146593180</v>
      </c>
      <c r="AL72" s="10">
        <v>4219130</v>
      </c>
      <c r="AM72" s="3"/>
      <c r="AN72" s="10">
        <v>36196152</v>
      </c>
      <c r="AO72" s="10">
        <v>10259126</v>
      </c>
      <c r="AP72" s="10">
        <v>399225268</v>
      </c>
      <c r="AQ72" s="10">
        <v>82506766</v>
      </c>
      <c r="AR72" s="10">
        <v>200447635</v>
      </c>
      <c r="AS72" s="10">
        <v>15524144</v>
      </c>
      <c r="AT72" s="10">
        <v>1481328</v>
      </c>
      <c r="AU72" s="3"/>
      <c r="AV72" s="3"/>
      <c r="AW72" s="10">
        <v>3798120</v>
      </c>
      <c r="AX72" s="10">
        <v>862391</v>
      </c>
      <c r="AY72" s="10">
        <v>270500</v>
      </c>
      <c r="AZ72" s="1">
        <v>8465734.5999999996</v>
      </c>
      <c r="BA72" s="1">
        <v>4486839</v>
      </c>
      <c r="BB72" s="19"/>
      <c r="BC72" s="15">
        <v>1860705</v>
      </c>
      <c r="BD72" s="15">
        <v>3510765</v>
      </c>
      <c r="BE72" s="20">
        <v>10676996</v>
      </c>
      <c r="BF72" s="20">
        <v>10676996</v>
      </c>
      <c r="BG72" s="20">
        <v>45307512</v>
      </c>
      <c r="BH72" s="20">
        <v>44603761</v>
      </c>
      <c r="BI72" s="19"/>
      <c r="BJ72" s="19">
        <v>3467494</v>
      </c>
      <c r="BK72" s="19"/>
      <c r="BL72" s="5">
        <v>1273146280</v>
      </c>
      <c r="BM72" s="5">
        <v>1057238175</v>
      </c>
      <c r="BN72" s="15">
        <v>3214324</v>
      </c>
      <c r="BO72" s="3"/>
      <c r="BP72" s="1"/>
      <c r="BQ72" s="1"/>
      <c r="BR72" s="5"/>
      <c r="BS72" s="5"/>
      <c r="BT72" s="5"/>
    </row>
    <row r="73" spans="1:72" x14ac:dyDescent="0.25">
      <c r="A73" s="6" t="s">
        <v>127</v>
      </c>
      <c r="B73" s="10">
        <v>385657494</v>
      </c>
      <c r="C73" s="10">
        <v>52995622</v>
      </c>
      <c r="D73" s="10">
        <v>75707099</v>
      </c>
      <c r="E73" s="10">
        <v>0</v>
      </c>
      <c r="F73" s="10">
        <v>23159110</v>
      </c>
      <c r="G73" s="10">
        <v>4474325</v>
      </c>
      <c r="H73" s="10">
        <v>4996010</v>
      </c>
      <c r="I73" s="10">
        <v>414000</v>
      </c>
      <c r="J73" s="10">
        <v>94200</v>
      </c>
      <c r="K73" s="10">
        <v>0</v>
      </c>
      <c r="L73" s="10">
        <v>60613870</v>
      </c>
      <c r="M73" s="10">
        <v>30352245</v>
      </c>
      <c r="N73" s="10">
        <v>954</v>
      </c>
      <c r="O73" s="10">
        <v>175</v>
      </c>
      <c r="P73" s="10">
        <v>6944730</v>
      </c>
      <c r="Q73" s="10">
        <v>0</v>
      </c>
      <c r="R73" s="10">
        <v>0</v>
      </c>
      <c r="S73" s="10">
        <v>739565</v>
      </c>
      <c r="T73" s="10">
        <v>0</v>
      </c>
      <c r="U73" s="10">
        <v>939660</v>
      </c>
      <c r="V73" s="10">
        <v>6944730</v>
      </c>
      <c r="W73" s="10">
        <v>0</v>
      </c>
      <c r="X73" s="10">
        <v>0</v>
      </c>
      <c r="Y73" s="10">
        <v>739565</v>
      </c>
      <c r="Z73" s="10">
        <v>49048</v>
      </c>
      <c r="AA73" s="10">
        <v>939660</v>
      </c>
      <c r="AB73" s="10">
        <v>-1740194</v>
      </c>
      <c r="AC73" s="10">
        <v>-157500</v>
      </c>
      <c r="AD73" s="10">
        <v>29619</v>
      </c>
      <c r="AE73" s="10">
        <v>0</v>
      </c>
      <c r="AF73" s="10">
        <v>0</v>
      </c>
      <c r="AG73" s="10">
        <v>127</v>
      </c>
      <c r="AH73" s="3"/>
      <c r="AI73" s="3"/>
      <c r="AJ73" s="3"/>
      <c r="AK73" s="10">
        <v>52645811</v>
      </c>
      <c r="AL73" s="10">
        <v>10791972</v>
      </c>
      <c r="AM73" s="10">
        <v>1894913</v>
      </c>
      <c r="AN73" s="10">
        <v>10831537</v>
      </c>
      <c r="AO73" s="10">
        <v>1100461</v>
      </c>
      <c r="AP73" s="10">
        <v>6006389</v>
      </c>
      <c r="AQ73" s="10">
        <v>7024981</v>
      </c>
      <c r="AR73" s="10">
        <v>7382579</v>
      </c>
      <c r="AS73" s="10">
        <v>4502180</v>
      </c>
      <c r="AT73" s="10">
        <v>814</v>
      </c>
      <c r="AU73" s="3"/>
      <c r="AV73" s="3"/>
      <c r="AW73" s="10">
        <v>2864047</v>
      </c>
      <c r="AX73" s="3"/>
      <c r="AY73" s="10">
        <v>8300</v>
      </c>
      <c r="AZ73" s="1">
        <v>3040287.85</v>
      </c>
      <c r="BA73" s="1">
        <v>1611353</v>
      </c>
      <c r="BB73" s="19">
        <v>20803387.75</v>
      </c>
      <c r="BC73" s="15">
        <v>853140</v>
      </c>
      <c r="BD73" s="15">
        <v>1609697</v>
      </c>
      <c r="BE73" s="20">
        <v>6677235</v>
      </c>
      <c r="BF73" s="20">
        <v>5576499</v>
      </c>
      <c r="BG73" s="20">
        <v>17419521</v>
      </c>
      <c r="BH73" s="20">
        <v>16026307</v>
      </c>
      <c r="BI73" s="19"/>
      <c r="BJ73" s="19"/>
      <c r="BK73" s="19"/>
      <c r="BL73" s="5">
        <v>620822276</v>
      </c>
      <c r="BM73" s="5">
        <v>533317194</v>
      </c>
      <c r="BN73" s="15">
        <v>662507</v>
      </c>
      <c r="BO73" s="3"/>
      <c r="BP73" s="1"/>
      <c r="BQ73" s="1"/>
      <c r="BR73" s="5"/>
      <c r="BS73" s="5"/>
      <c r="BT73" s="5"/>
    </row>
    <row r="74" spans="1:72" x14ac:dyDescent="0.25">
      <c r="A74" s="6" t="s">
        <v>128</v>
      </c>
      <c r="B74" s="10">
        <v>1991520143</v>
      </c>
      <c r="C74" s="10">
        <v>103557079</v>
      </c>
      <c r="D74" s="10">
        <v>951254667</v>
      </c>
      <c r="E74" s="10">
        <v>1196900</v>
      </c>
      <c r="F74" s="10">
        <v>148632531</v>
      </c>
      <c r="G74" s="10">
        <v>20482364</v>
      </c>
      <c r="H74" s="10">
        <v>8837470</v>
      </c>
      <c r="I74" s="10">
        <v>602063</v>
      </c>
      <c r="J74" s="10">
        <v>222900</v>
      </c>
      <c r="K74" s="10">
        <v>61400</v>
      </c>
      <c r="L74" s="10">
        <v>76886095</v>
      </c>
      <c r="M74" s="10">
        <v>0</v>
      </c>
      <c r="N74" s="10">
        <v>5389</v>
      </c>
      <c r="O74" s="10">
        <v>782</v>
      </c>
      <c r="P74" s="10">
        <v>23226780</v>
      </c>
      <c r="Q74" s="10">
        <v>3377485</v>
      </c>
      <c r="R74" s="10">
        <v>43281691</v>
      </c>
      <c r="S74" s="10">
        <v>12592265</v>
      </c>
      <c r="T74" s="10">
        <v>254491</v>
      </c>
      <c r="U74" s="10">
        <v>23140760</v>
      </c>
      <c r="V74" s="10">
        <v>23226780</v>
      </c>
      <c r="W74" s="10">
        <v>5353769</v>
      </c>
      <c r="X74" s="10">
        <v>43281691</v>
      </c>
      <c r="Y74" s="10">
        <v>12592265</v>
      </c>
      <c r="Z74" s="10">
        <v>74310</v>
      </c>
      <c r="AA74" s="10">
        <v>23140760</v>
      </c>
      <c r="AB74" s="10">
        <v>-16745402</v>
      </c>
      <c r="AC74" s="10">
        <v>-2722048</v>
      </c>
      <c r="AD74" s="10">
        <v>0</v>
      </c>
      <c r="AE74" s="10">
        <v>0</v>
      </c>
      <c r="AF74" s="10">
        <v>0</v>
      </c>
      <c r="AG74" s="10">
        <v>0</v>
      </c>
      <c r="AH74" s="3"/>
      <c r="AI74" s="10">
        <v>70129</v>
      </c>
      <c r="AJ74" s="3"/>
      <c r="AK74" s="10">
        <v>434854081</v>
      </c>
      <c r="AL74" s="10">
        <v>12949448</v>
      </c>
      <c r="AM74" s="10">
        <v>4121000</v>
      </c>
      <c r="AN74" s="10">
        <v>216086244</v>
      </c>
      <c r="AO74" s="10">
        <v>14928316</v>
      </c>
      <c r="AP74" s="10">
        <v>71312817</v>
      </c>
      <c r="AQ74" s="10">
        <v>436898730</v>
      </c>
      <c r="AR74" s="10">
        <v>2959694160</v>
      </c>
      <c r="AS74" s="10">
        <v>291508213</v>
      </c>
      <c r="AT74" s="10">
        <v>1481765</v>
      </c>
      <c r="AU74" s="3"/>
      <c r="AV74" s="3"/>
      <c r="AW74" s="10">
        <v>1975154</v>
      </c>
      <c r="AX74" s="10">
        <v>8310</v>
      </c>
      <c r="AY74" s="10">
        <v>3995946</v>
      </c>
      <c r="AZ74" s="1">
        <v>25112759.27</v>
      </c>
      <c r="BA74" s="1">
        <v>13309762</v>
      </c>
      <c r="BB74" s="19">
        <v>23531997.420000002</v>
      </c>
      <c r="BC74" s="15">
        <v>3672298</v>
      </c>
      <c r="BD74" s="15">
        <v>6928864</v>
      </c>
      <c r="BE74" s="20">
        <v>32537134</v>
      </c>
      <c r="BF74" s="20">
        <v>28983695</v>
      </c>
      <c r="BG74" s="20">
        <v>130314974</v>
      </c>
      <c r="BH74" s="20">
        <v>107879713</v>
      </c>
      <c r="BI74" s="19"/>
      <c r="BJ74" s="19">
        <v>37091419</v>
      </c>
      <c r="BK74" s="19"/>
      <c r="BL74" s="5">
        <v>4353408456</v>
      </c>
      <c r="BM74" s="5">
        <v>3714315308</v>
      </c>
      <c r="BN74" s="15">
        <v>17895409</v>
      </c>
      <c r="BO74" s="3"/>
      <c r="BP74" s="1"/>
      <c r="BQ74" s="1"/>
      <c r="BR74" s="5"/>
      <c r="BS74" s="5"/>
      <c r="BT74" s="5"/>
    </row>
    <row r="75" spans="1:72" x14ac:dyDescent="0.25">
      <c r="A75" s="6" t="s">
        <v>129</v>
      </c>
      <c r="B75" s="10">
        <v>201568735</v>
      </c>
      <c r="C75" s="10">
        <v>57523488</v>
      </c>
      <c r="D75" s="10">
        <v>68933930</v>
      </c>
      <c r="E75" s="10">
        <v>0</v>
      </c>
      <c r="F75" s="10">
        <v>27432550</v>
      </c>
      <c r="G75" s="10">
        <v>23563700</v>
      </c>
      <c r="H75" s="10">
        <v>6084550</v>
      </c>
      <c r="I75" s="10">
        <v>2656950</v>
      </c>
      <c r="J75" s="10">
        <v>69400</v>
      </c>
      <c r="K75" s="10">
        <v>21800</v>
      </c>
      <c r="L75" s="10">
        <v>28105947</v>
      </c>
      <c r="M75" s="10">
        <v>136400</v>
      </c>
      <c r="N75" s="10">
        <v>1195</v>
      </c>
      <c r="O75" s="10">
        <v>987</v>
      </c>
      <c r="P75" s="10">
        <v>1893600</v>
      </c>
      <c r="Q75" s="10">
        <v>504440</v>
      </c>
      <c r="R75" s="10">
        <v>1012800</v>
      </c>
      <c r="S75" s="10">
        <v>3170000</v>
      </c>
      <c r="T75" s="10">
        <v>768250</v>
      </c>
      <c r="U75" s="10">
        <v>2169570</v>
      </c>
      <c r="V75" s="10">
        <v>1893600</v>
      </c>
      <c r="W75" s="10">
        <v>488600</v>
      </c>
      <c r="X75" s="10">
        <v>1012800</v>
      </c>
      <c r="Y75" s="10">
        <v>3170000</v>
      </c>
      <c r="Z75" s="10">
        <v>538355</v>
      </c>
      <c r="AA75" s="10">
        <v>2169570</v>
      </c>
      <c r="AB75" s="10">
        <v>-5142350</v>
      </c>
      <c r="AC75" s="10">
        <v>-362</v>
      </c>
      <c r="AD75" s="10">
        <v>34438</v>
      </c>
      <c r="AE75" s="10">
        <v>0</v>
      </c>
      <c r="AF75" s="10">
        <v>0</v>
      </c>
      <c r="AG75" s="10">
        <v>53809</v>
      </c>
      <c r="AH75" s="10">
        <v>345292</v>
      </c>
      <c r="AI75" s="10">
        <v>2010712</v>
      </c>
      <c r="AJ75" s="10">
        <v>2595145</v>
      </c>
      <c r="AK75" s="10">
        <v>57596482</v>
      </c>
      <c r="AL75" s="10">
        <v>2099075</v>
      </c>
      <c r="AM75" s="10">
        <v>0</v>
      </c>
      <c r="AN75" s="10">
        <v>7080500</v>
      </c>
      <c r="AO75" s="10">
        <v>46934</v>
      </c>
      <c r="AP75" s="10">
        <v>3459638</v>
      </c>
      <c r="AQ75" s="10">
        <v>5900355</v>
      </c>
      <c r="AR75" s="10">
        <v>5060600</v>
      </c>
      <c r="AS75" s="10">
        <v>0</v>
      </c>
      <c r="AT75" s="10">
        <v>292304</v>
      </c>
      <c r="AU75" s="10">
        <v>0</v>
      </c>
      <c r="AV75" s="10">
        <v>0</v>
      </c>
      <c r="AW75" s="10">
        <v>0</v>
      </c>
      <c r="AX75" s="10">
        <v>0</v>
      </c>
      <c r="AY75" s="10">
        <v>12500</v>
      </c>
      <c r="AZ75" s="1">
        <v>3326188.37</v>
      </c>
      <c r="BA75" s="1">
        <v>1762880</v>
      </c>
      <c r="BB75" s="19"/>
      <c r="BC75" s="15">
        <v>2676884</v>
      </c>
      <c r="BD75" s="15">
        <v>5050724</v>
      </c>
      <c r="BE75" s="20">
        <v>16626115</v>
      </c>
      <c r="BF75" s="20">
        <v>16626115</v>
      </c>
      <c r="BG75" s="20">
        <v>34081960</v>
      </c>
      <c r="BH75" s="20">
        <v>27750873</v>
      </c>
      <c r="BI75" s="19"/>
      <c r="BJ75" s="19"/>
      <c r="BK75" s="19"/>
      <c r="BL75" s="5">
        <v>447256904</v>
      </c>
      <c r="BM75" s="5">
        <v>346005091</v>
      </c>
      <c r="BN75" s="15">
        <v>612100</v>
      </c>
      <c r="BO75" s="3"/>
      <c r="BP75" s="1"/>
      <c r="BQ75" s="1"/>
      <c r="BR75" s="5"/>
      <c r="BS75" s="5"/>
      <c r="BT75" s="5"/>
    </row>
    <row r="76" spans="1:72" x14ac:dyDescent="0.25">
      <c r="A76" s="6" t="s">
        <v>130</v>
      </c>
      <c r="B76" s="10">
        <v>158406918</v>
      </c>
      <c r="C76" s="10">
        <v>132190829</v>
      </c>
      <c r="D76" s="10">
        <v>44139293</v>
      </c>
      <c r="E76" s="10">
        <v>0</v>
      </c>
      <c r="F76" s="10">
        <v>19669603</v>
      </c>
      <c r="G76" s="10">
        <v>4746108</v>
      </c>
      <c r="H76" s="10">
        <v>5137650</v>
      </c>
      <c r="I76" s="10">
        <v>332220</v>
      </c>
      <c r="J76" s="10">
        <v>0</v>
      </c>
      <c r="K76" s="10">
        <v>0</v>
      </c>
      <c r="L76" s="10">
        <v>168802490</v>
      </c>
      <c r="M76" s="10">
        <v>0</v>
      </c>
      <c r="N76" s="10">
        <v>881</v>
      </c>
      <c r="O76" s="10">
        <v>193</v>
      </c>
      <c r="P76" s="10">
        <v>3775650</v>
      </c>
      <c r="Q76" s="10">
        <v>2298500</v>
      </c>
      <c r="R76" s="10">
        <v>2491213</v>
      </c>
      <c r="S76" s="10">
        <v>1408932</v>
      </c>
      <c r="T76" s="10">
        <v>188400</v>
      </c>
      <c r="U76" s="10">
        <v>486917</v>
      </c>
      <c r="V76" s="10">
        <v>3775650</v>
      </c>
      <c r="W76" s="10">
        <v>2318500</v>
      </c>
      <c r="X76" s="10">
        <v>2491213</v>
      </c>
      <c r="Y76" s="10">
        <v>1408932</v>
      </c>
      <c r="Z76" s="10">
        <v>1773038</v>
      </c>
      <c r="AA76" s="10">
        <v>486917</v>
      </c>
      <c r="AB76" s="10">
        <v>-1624759</v>
      </c>
      <c r="AC76" s="10">
        <v>-2049</v>
      </c>
      <c r="AD76" s="10">
        <v>16637</v>
      </c>
      <c r="AE76" s="10">
        <v>2486</v>
      </c>
      <c r="AF76" s="10">
        <v>4991437</v>
      </c>
      <c r="AG76" s="10">
        <v>151616</v>
      </c>
      <c r="AH76" s="10">
        <v>6068702</v>
      </c>
      <c r="AI76" s="3"/>
      <c r="AJ76" s="10">
        <v>428048</v>
      </c>
      <c r="AK76" s="10">
        <v>57758549</v>
      </c>
      <c r="AL76" s="10">
        <v>2025792</v>
      </c>
      <c r="AM76" s="10">
        <v>0</v>
      </c>
      <c r="AN76" s="10">
        <v>9060372</v>
      </c>
      <c r="AO76" s="10">
        <v>878574</v>
      </c>
      <c r="AP76" s="10">
        <v>6833333</v>
      </c>
      <c r="AQ76" s="10">
        <v>10965910</v>
      </c>
      <c r="AR76" s="10">
        <v>9158351</v>
      </c>
      <c r="AS76" s="10">
        <v>0</v>
      </c>
      <c r="AT76" s="10">
        <v>4313451</v>
      </c>
      <c r="AU76" s="10">
        <v>0</v>
      </c>
      <c r="AV76" s="10">
        <v>0</v>
      </c>
      <c r="AW76" s="10">
        <v>10957259</v>
      </c>
      <c r="AX76" s="10">
        <v>0</v>
      </c>
      <c r="AY76" s="10">
        <v>202800</v>
      </c>
      <c r="AZ76" s="1">
        <v>3335547.72</v>
      </c>
      <c r="BA76" s="1">
        <v>1767840</v>
      </c>
      <c r="BB76" s="19">
        <v>11296495.68</v>
      </c>
      <c r="BC76" s="15">
        <v>0</v>
      </c>
      <c r="BD76" s="15">
        <v>0</v>
      </c>
      <c r="BE76" s="20">
        <v>4763219</v>
      </c>
      <c r="BF76" s="20">
        <v>4763219</v>
      </c>
      <c r="BG76" s="20">
        <v>21029636</v>
      </c>
      <c r="BH76" s="20">
        <v>21029636</v>
      </c>
      <c r="BI76" s="19"/>
      <c r="BJ76" s="19"/>
      <c r="BK76" s="19"/>
      <c r="BL76" s="5">
        <v>457419750</v>
      </c>
      <c r="BM76" s="5">
        <v>362138646</v>
      </c>
      <c r="BN76" s="15">
        <v>544720</v>
      </c>
      <c r="BO76" s="3"/>
      <c r="BP76" s="1"/>
      <c r="BQ76" s="1"/>
      <c r="BR76" s="5"/>
      <c r="BS76" s="5"/>
      <c r="BT76" s="5"/>
    </row>
    <row r="77" spans="1:72" x14ac:dyDescent="0.25">
      <c r="A77" s="6" t="s">
        <v>131</v>
      </c>
      <c r="B77" s="10">
        <v>2646072622</v>
      </c>
      <c r="C77" s="10">
        <v>241515492</v>
      </c>
      <c r="D77" s="10">
        <v>725384766</v>
      </c>
      <c r="E77" s="10">
        <v>0</v>
      </c>
      <c r="F77" s="10">
        <v>123219419</v>
      </c>
      <c r="G77" s="10">
        <v>24494482</v>
      </c>
      <c r="H77" s="10">
        <v>15615004</v>
      </c>
      <c r="I77" s="10">
        <v>1523017</v>
      </c>
      <c r="J77" s="10">
        <v>471000</v>
      </c>
      <c r="K77" s="10">
        <v>0</v>
      </c>
      <c r="L77" s="10">
        <v>272114878</v>
      </c>
      <c r="M77" s="10">
        <v>146495062</v>
      </c>
      <c r="N77" s="10">
        <v>4621</v>
      </c>
      <c r="O77" s="10">
        <v>893</v>
      </c>
      <c r="P77" s="10">
        <v>83512898</v>
      </c>
      <c r="Q77" s="10">
        <v>3509424</v>
      </c>
      <c r="R77" s="10">
        <v>6298061</v>
      </c>
      <c r="S77" s="10">
        <v>8681608</v>
      </c>
      <c r="T77" s="10">
        <v>4670757</v>
      </c>
      <c r="U77" s="10">
        <v>11591853</v>
      </c>
      <c r="V77" s="10">
        <v>83512898</v>
      </c>
      <c r="W77" s="10">
        <v>132500</v>
      </c>
      <c r="X77" s="10">
        <v>6298061</v>
      </c>
      <c r="Y77" s="10">
        <v>8681608</v>
      </c>
      <c r="Z77" s="10">
        <v>967110</v>
      </c>
      <c r="AA77" s="10">
        <v>11591853</v>
      </c>
      <c r="AB77" s="10">
        <v>-16561170</v>
      </c>
      <c r="AC77" s="10">
        <v>-2124193</v>
      </c>
      <c r="AD77" s="10">
        <v>2206</v>
      </c>
      <c r="AE77" s="10">
        <v>13735</v>
      </c>
      <c r="AF77" s="10">
        <v>79699487</v>
      </c>
      <c r="AG77" s="10">
        <v>238819</v>
      </c>
      <c r="AH77" s="3"/>
      <c r="AI77" s="10">
        <v>1414210</v>
      </c>
      <c r="AJ77" s="3"/>
      <c r="AK77" s="10">
        <v>452046945</v>
      </c>
      <c r="AL77" s="10">
        <v>10703985</v>
      </c>
      <c r="AM77" s="10">
        <v>139243</v>
      </c>
      <c r="AN77" s="10">
        <v>112267469</v>
      </c>
      <c r="AO77" s="10">
        <v>13941972</v>
      </c>
      <c r="AP77" s="10">
        <v>466475246</v>
      </c>
      <c r="AQ77" s="10">
        <v>136491832</v>
      </c>
      <c r="AR77" s="10">
        <v>186856779</v>
      </c>
      <c r="AS77" s="10">
        <v>62978975</v>
      </c>
      <c r="AT77" s="10">
        <v>755927</v>
      </c>
      <c r="AU77" s="10">
        <v>0</v>
      </c>
      <c r="AV77" s="10">
        <v>0</v>
      </c>
      <c r="AW77" s="10">
        <v>62365929</v>
      </c>
      <c r="AX77" s="10">
        <v>624229</v>
      </c>
      <c r="AY77" s="10">
        <v>1066800</v>
      </c>
      <c r="AZ77" s="1">
        <v>26105644.640000001</v>
      </c>
      <c r="BA77" s="1">
        <v>13835992</v>
      </c>
      <c r="BB77" s="19"/>
      <c r="BC77" s="15">
        <v>1490083</v>
      </c>
      <c r="BD77" s="15">
        <v>2811478</v>
      </c>
      <c r="BE77" s="20">
        <v>35517510</v>
      </c>
      <c r="BF77" s="20">
        <v>35517510</v>
      </c>
      <c r="BG77" s="20">
        <v>105539555</v>
      </c>
      <c r="BH77" s="20">
        <v>101698630</v>
      </c>
      <c r="BI77" s="19"/>
      <c r="BJ77" s="19"/>
      <c r="BK77" s="19"/>
      <c r="BL77" s="5">
        <v>4416447368</v>
      </c>
      <c r="BM77" s="5">
        <v>3877088363</v>
      </c>
      <c r="BN77" s="15">
        <v>3067810</v>
      </c>
      <c r="BO77" s="3"/>
      <c r="BP77" s="1"/>
      <c r="BQ77" s="1"/>
      <c r="BR77" s="5"/>
      <c r="BS77" s="5"/>
      <c r="BT77" s="5"/>
    </row>
    <row r="78" spans="1:72" x14ac:dyDescent="0.25">
      <c r="A78" s="6" t="s">
        <v>132</v>
      </c>
      <c r="B78" s="10">
        <v>101425479</v>
      </c>
      <c r="C78" s="10">
        <v>45301149</v>
      </c>
      <c r="D78" s="10">
        <v>32289742</v>
      </c>
      <c r="E78" s="10">
        <v>0</v>
      </c>
      <c r="F78" s="10">
        <v>13138100</v>
      </c>
      <c r="G78" s="10">
        <v>16968471</v>
      </c>
      <c r="H78" s="10">
        <v>8395541</v>
      </c>
      <c r="I78" s="10">
        <v>5669590</v>
      </c>
      <c r="J78" s="10">
        <v>15000</v>
      </c>
      <c r="K78" s="10">
        <v>0</v>
      </c>
      <c r="L78" s="10">
        <v>69631909</v>
      </c>
      <c r="M78" s="10">
        <v>13749350</v>
      </c>
      <c r="N78" s="10">
        <v>827</v>
      </c>
      <c r="O78" s="10">
        <v>967</v>
      </c>
      <c r="P78" s="10">
        <v>887000</v>
      </c>
      <c r="Q78" s="10">
        <v>460100</v>
      </c>
      <c r="R78" s="10">
        <v>55000</v>
      </c>
      <c r="S78" s="10">
        <v>1850850</v>
      </c>
      <c r="T78" s="10">
        <v>176000</v>
      </c>
      <c r="U78" s="10">
        <v>43000</v>
      </c>
      <c r="V78" s="10">
        <v>887000</v>
      </c>
      <c r="W78" s="10">
        <v>598000</v>
      </c>
      <c r="X78" s="10">
        <v>55000</v>
      </c>
      <c r="Y78" s="10">
        <v>1850850</v>
      </c>
      <c r="Z78" s="10">
        <v>109500</v>
      </c>
      <c r="AA78" s="10">
        <v>43000</v>
      </c>
      <c r="AB78" s="10">
        <v>-1362940</v>
      </c>
      <c r="AC78" s="10">
        <v>-3335528</v>
      </c>
      <c r="AD78" s="10">
        <v>148243</v>
      </c>
      <c r="AE78" s="10">
        <v>0</v>
      </c>
      <c r="AF78" s="10">
        <v>0</v>
      </c>
      <c r="AG78" s="10">
        <v>193530</v>
      </c>
      <c r="AH78" s="10">
        <v>6991485</v>
      </c>
      <c r="AI78" s="10">
        <v>24460290</v>
      </c>
      <c r="AJ78" s="10">
        <v>29806541</v>
      </c>
      <c r="AK78" s="10">
        <v>64946562</v>
      </c>
      <c r="AL78" s="10">
        <v>1350044</v>
      </c>
      <c r="AM78" s="3"/>
      <c r="AN78" s="10">
        <v>49651792</v>
      </c>
      <c r="AO78" s="10">
        <v>44161</v>
      </c>
      <c r="AP78" s="10">
        <v>2662557</v>
      </c>
      <c r="AQ78" s="10">
        <v>8895352</v>
      </c>
      <c r="AR78" s="10">
        <v>6069203</v>
      </c>
      <c r="AS78" s="3"/>
      <c r="AT78" s="10">
        <v>7955</v>
      </c>
      <c r="AU78" s="3"/>
      <c r="AV78" s="3"/>
      <c r="AW78" s="3"/>
      <c r="AX78" s="3"/>
      <c r="AY78" s="3"/>
      <c r="AZ78" s="1">
        <v>3750654.41</v>
      </c>
      <c r="BA78" s="1">
        <v>1987847</v>
      </c>
      <c r="BB78" s="19"/>
      <c r="BC78" s="15">
        <v>693651</v>
      </c>
      <c r="BD78" s="15">
        <v>1308775</v>
      </c>
      <c r="BE78" s="20">
        <v>2847537</v>
      </c>
      <c r="BF78" s="20">
        <v>2825238</v>
      </c>
      <c r="BG78" s="20">
        <v>34291254</v>
      </c>
      <c r="BH78" s="20">
        <v>34291254</v>
      </c>
      <c r="BI78" s="19"/>
      <c r="BJ78" s="19"/>
      <c r="BK78" s="19"/>
      <c r="BL78" s="5">
        <v>407745504</v>
      </c>
      <c r="BM78" s="5">
        <v>298865991</v>
      </c>
      <c r="BN78" s="15">
        <v>274602</v>
      </c>
      <c r="BO78" s="3"/>
      <c r="BP78" s="1"/>
      <c r="BQ78" s="1"/>
      <c r="BR78" s="5"/>
      <c r="BS78" s="5"/>
      <c r="BT78" s="5"/>
    </row>
    <row r="79" spans="1:72" x14ac:dyDescent="0.25">
      <c r="A79" s="6" t="s">
        <v>133</v>
      </c>
      <c r="B79" s="10">
        <v>401814465</v>
      </c>
      <c r="C79" s="10">
        <v>174176008</v>
      </c>
      <c r="D79" s="10">
        <v>219349983</v>
      </c>
      <c r="E79" s="10">
        <v>3500000</v>
      </c>
      <c r="F79" s="10">
        <v>33499500</v>
      </c>
      <c r="G79" s="10">
        <v>9892760</v>
      </c>
      <c r="H79" s="10">
        <v>10548200</v>
      </c>
      <c r="I79" s="10">
        <v>1629100</v>
      </c>
      <c r="J79" s="10">
        <v>92800</v>
      </c>
      <c r="K79" s="10">
        <v>62800</v>
      </c>
      <c r="L79" s="10">
        <v>292045191</v>
      </c>
      <c r="M79" s="10">
        <v>102094812</v>
      </c>
      <c r="N79" s="10">
        <v>1445</v>
      </c>
      <c r="O79" s="10">
        <v>413</v>
      </c>
      <c r="P79" s="10">
        <v>9312270</v>
      </c>
      <c r="Q79" s="10">
        <v>2263900</v>
      </c>
      <c r="R79" s="10">
        <v>4270610</v>
      </c>
      <c r="S79" s="10">
        <v>3636237</v>
      </c>
      <c r="T79" s="10">
        <v>935155</v>
      </c>
      <c r="U79" s="10">
        <v>3633260</v>
      </c>
      <c r="V79" s="10">
        <v>9312270</v>
      </c>
      <c r="W79" s="10">
        <v>2570530</v>
      </c>
      <c r="X79" s="10">
        <v>4270610</v>
      </c>
      <c r="Y79" s="10">
        <v>3636237</v>
      </c>
      <c r="Z79" s="10">
        <v>2318475</v>
      </c>
      <c r="AA79" s="10">
        <v>3633260</v>
      </c>
      <c r="AB79" s="10">
        <v>-1696300</v>
      </c>
      <c r="AC79" s="10">
        <v>350119</v>
      </c>
      <c r="AD79" s="10">
        <v>57029</v>
      </c>
      <c r="AE79" s="10">
        <v>0</v>
      </c>
      <c r="AF79" s="10">
        <v>0</v>
      </c>
      <c r="AG79" s="10">
        <v>205432</v>
      </c>
      <c r="AH79" s="3"/>
      <c r="AI79" s="10">
        <v>205927</v>
      </c>
      <c r="AJ79" s="3"/>
      <c r="AK79" s="10">
        <v>100757578</v>
      </c>
      <c r="AL79" s="10">
        <v>1895005</v>
      </c>
      <c r="AM79" s="10">
        <v>0</v>
      </c>
      <c r="AN79" s="10">
        <v>38280202</v>
      </c>
      <c r="AO79" s="10">
        <v>4167358</v>
      </c>
      <c r="AP79" s="10">
        <v>216483337</v>
      </c>
      <c r="AQ79" s="10">
        <v>22941731</v>
      </c>
      <c r="AR79" s="10">
        <v>48735573</v>
      </c>
      <c r="AS79" s="10">
        <v>1749539</v>
      </c>
      <c r="AT79" s="10">
        <v>699066</v>
      </c>
      <c r="AU79" s="10">
        <v>0</v>
      </c>
      <c r="AV79" s="10">
        <v>39422</v>
      </c>
      <c r="AW79" s="10">
        <v>96778</v>
      </c>
      <c r="AX79" s="10">
        <v>0</v>
      </c>
      <c r="AY79" s="10">
        <v>0</v>
      </c>
      <c r="AZ79" s="1">
        <v>5818735.3200000003</v>
      </c>
      <c r="BA79" s="1">
        <v>3083930</v>
      </c>
      <c r="BB79" s="19"/>
      <c r="BC79" s="15">
        <v>0</v>
      </c>
      <c r="BD79" s="15">
        <v>0</v>
      </c>
      <c r="BE79" s="20">
        <v>8559412</v>
      </c>
      <c r="BF79" s="20">
        <v>8559412</v>
      </c>
      <c r="BG79" s="20">
        <v>25169511</v>
      </c>
      <c r="BH79" s="20">
        <v>25169511</v>
      </c>
      <c r="BI79" s="19">
        <v>47916277</v>
      </c>
      <c r="BJ79" s="19"/>
      <c r="BK79" s="19"/>
      <c r="BL79" s="5">
        <v>1280980867</v>
      </c>
      <c r="BM79" s="5">
        <v>860935674</v>
      </c>
      <c r="BN79" s="15">
        <v>632000</v>
      </c>
      <c r="BO79" s="3"/>
      <c r="BP79" s="1"/>
      <c r="BQ79" s="1"/>
      <c r="BR79" s="5"/>
      <c r="BS79" s="5"/>
      <c r="BT79" s="5"/>
    </row>
    <row r="80" spans="1:72" x14ac:dyDescent="0.25">
      <c r="A80" s="6" t="s">
        <v>134</v>
      </c>
      <c r="B80" s="10">
        <v>1067000344</v>
      </c>
      <c r="C80" s="10">
        <v>148231587</v>
      </c>
      <c r="D80" s="10">
        <v>298570685</v>
      </c>
      <c r="E80" s="10">
        <v>0</v>
      </c>
      <c r="F80" s="10">
        <v>88270144</v>
      </c>
      <c r="G80" s="10">
        <v>14826250</v>
      </c>
      <c r="H80" s="10">
        <v>15526088</v>
      </c>
      <c r="I80" s="10">
        <v>1666998</v>
      </c>
      <c r="J80" s="10">
        <v>462700</v>
      </c>
      <c r="K80" s="10">
        <v>0</v>
      </c>
      <c r="L80" s="10">
        <v>175535364</v>
      </c>
      <c r="M80" s="10">
        <v>118179488</v>
      </c>
      <c r="N80" s="10">
        <v>3445</v>
      </c>
      <c r="O80" s="10">
        <v>575</v>
      </c>
      <c r="P80" s="10">
        <v>25309372</v>
      </c>
      <c r="Q80" s="10">
        <v>2831747</v>
      </c>
      <c r="R80" s="10">
        <v>1165442</v>
      </c>
      <c r="S80" s="10">
        <v>3145170</v>
      </c>
      <c r="T80" s="10">
        <v>168550</v>
      </c>
      <c r="U80" s="10">
        <v>278830</v>
      </c>
      <c r="V80" s="10">
        <v>25309372</v>
      </c>
      <c r="W80" s="10">
        <v>2831747</v>
      </c>
      <c r="X80" s="10">
        <v>1165442</v>
      </c>
      <c r="Y80" s="10">
        <v>3145170</v>
      </c>
      <c r="Z80" s="10">
        <v>168550</v>
      </c>
      <c r="AA80" s="10">
        <v>278830</v>
      </c>
      <c r="AB80" s="10">
        <v>-13028409</v>
      </c>
      <c r="AC80" s="10">
        <v>-185475</v>
      </c>
      <c r="AD80" s="10">
        <v>0</v>
      </c>
      <c r="AE80" s="10">
        <v>0</v>
      </c>
      <c r="AF80" s="10">
        <v>0</v>
      </c>
      <c r="AG80" s="10">
        <v>108136</v>
      </c>
      <c r="AH80" s="3"/>
      <c r="AI80" s="3"/>
      <c r="AJ80" s="3"/>
      <c r="AK80" s="10">
        <v>221757474</v>
      </c>
      <c r="AL80" s="10">
        <v>21885814</v>
      </c>
      <c r="AM80" s="10">
        <v>4185175</v>
      </c>
      <c r="AN80" s="10">
        <v>69701001</v>
      </c>
      <c r="AO80" s="10">
        <v>20320006</v>
      </c>
      <c r="AP80" s="10">
        <v>733726562</v>
      </c>
      <c r="AQ80" s="10">
        <v>46429375</v>
      </c>
      <c r="AR80" s="10">
        <v>159687366</v>
      </c>
      <c r="AS80" s="10">
        <v>96421410</v>
      </c>
      <c r="AT80" s="10">
        <v>91561</v>
      </c>
      <c r="AU80" s="3"/>
      <c r="AV80" s="3"/>
      <c r="AW80" s="10">
        <v>53111</v>
      </c>
      <c r="AX80" s="3"/>
      <c r="AY80" s="10">
        <v>25000</v>
      </c>
      <c r="AZ80" s="1">
        <v>12806461.529999999</v>
      </c>
      <c r="BA80" s="1">
        <v>6787425</v>
      </c>
      <c r="BB80" s="19">
        <v>18343231.530000001</v>
      </c>
      <c r="BC80" s="15">
        <v>1452616</v>
      </c>
      <c r="BD80" s="15">
        <v>2740785</v>
      </c>
      <c r="BE80" s="20">
        <v>12077602</v>
      </c>
      <c r="BF80" s="20">
        <v>10454044</v>
      </c>
      <c r="BG80" s="20">
        <v>52592926</v>
      </c>
      <c r="BH80" s="20">
        <v>50827956</v>
      </c>
      <c r="BI80" s="19"/>
      <c r="BJ80" s="19">
        <v>2941072</v>
      </c>
      <c r="BK80" s="19"/>
      <c r="BL80" s="5">
        <v>1972479181</v>
      </c>
      <c r="BM80" s="5">
        <v>1650252998</v>
      </c>
      <c r="BN80" s="15">
        <v>2003821</v>
      </c>
      <c r="BO80" s="3"/>
      <c r="BP80" s="1"/>
      <c r="BQ80" s="1"/>
      <c r="BR80" s="5"/>
      <c r="BS80" s="5"/>
      <c r="BT80" s="5"/>
    </row>
    <row r="81" spans="1:72" x14ac:dyDescent="0.25">
      <c r="A81" s="6" t="s">
        <v>135</v>
      </c>
      <c r="B81" s="10">
        <v>90252826</v>
      </c>
      <c r="C81" s="10">
        <v>35883823</v>
      </c>
      <c r="D81" s="10">
        <v>56794359</v>
      </c>
      <c r="E81" s="10">
        <v>0</v>
      </c>
      <c r="F81" s="10">
        <v>11094725</v>
      </c>
      <c r="G81" s="10">
        <v>22079000</v>
      </c>
      <c r="H81" s="10">
        <v>5859637</v>
      </c>
      <c r="I81" s="10">
        <v>4792200</v>
      </c>
      <c r="J81" s="10">
        <v>61400</v>
      </c>
      <c r="K81" s="10">
        <v>31400</v>
      </c>
      <c r="L81" s="10">
        <v>14574103</v>
      </c>
      <c r="M81" s="10">
        <v>650</v>
      </c>
      <c r="N81" s="10">
        <v>684</v>
      </c>
      <c r="O81" s="10">
        <v>1167</v>
      </c>
      <c r="P81" s="10">
        <v>6806622</v>
      </c>
      <c r="Q81" s="10">
        <v>427200</v>
      </c>
      <c r="R81" s="10">
        <v>2899400</v>
      </c>
      <c r="S81" s="10">
        <v>2464620</v>
      </c>
      <c r="T81" s="10">
        <v>305962</v>
      </c>
      <c r="U81" s="10">
        <v>268800</v>
      </c>
      <c r="V81" s="10">
        <v>6806622</v>
      </c>
      <c r="W81" s="10">
        <v>473650</v>
      </c>
      <c r="X81" s="10">
        <v>2899400</v>
      </c>
      <c r="Y81" s="10">
        <v>2464620</v>
      </c>
      <c r="Z81" s="10">
        <v>377725</v>
      </c>
      <c r="AA81" s="10">
        <v>268800</v>
      </c>
      <c r="AB81" s="10">
        <v>-2522970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1371246</v>
      </c>
      <c r="AI81" s="10">
        <v>143449153</v>
      </c>
      <c r="AJ81" s="10">
        <v>92790145</v>
      </c>
      <c r="AK81" s="10">
        <v>69173894</v>
      </c>
      <c r="AL81" s="10">
        <v>2388236</v>
      </c>
      <c r="AM81" s="10">
        <v>80000</v>
      </c>
      <c r="AN81" s="10">
        <v>97529457</v>
      </c>
      <c r="AO81" s="10">
        <v>12181480</v>
      </c>
      <c r="AP81" s="10">
        <v>27760577</v>
      </c>
      <c r="AQ81" s="10">
        <v>10419205</v>
      </c>
      <c r="AR81" s="10">
        <v>4813849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6803850</v>
      </c>
      <c r="AZ81" s="1">
        <v>3994782.21</v>
      </c>
      <c r="BA81" s="1">
        <v>2117235</v>
      </c>
      <c r="BB81" s="19"/>
      <c r="BC81" s="15">
        <v>2106268</v>
      </c>
      <c r="BD81" s="15">
        <v>3974090</v>
      </c>
      <c r="BE81" s="20">
        <v>9712955</v>
      </c>
      <c r="BF81" s="20">
        <v>9712955</v>
      </c>
      <c r="BG81" s="20">
        <v>33290840</v>
      </c>
      <c r="BH81" s="20">
        <v>30188454</v>
      </c>
      <c r="BI81" s="19"/>
      <c r="BJ81" s="19"/>
      <c r="BK81" s="19"/>
      <c r="BL81" s="5">
        <v>632878948</v>
      </c>
      <c r="BM81" s="5">
        <v>540671694</v>
      </c>
      <c r="BN81" s="15">
        <v>1282530</v>
      </c>
      <c r="BO81" s="3"/>
      <c r="BP81" s="1"/>
      <c r="BQ81" s="1"/>
      <c r="BR81" s="5"/>
      <c r="BS81" s="5"/>
      <c r="BT81" s="5"/>
    </row>
    <row r="82" spans="1:72" x14ac:dyDescent="0.25">
      <c r="A82" s="6" t="s">
        <v>136</v>
      </c>
      <c r="B82" s="10">
        <v>377142068</v>
      </c>
      <c r="C82" s="10">
        <v>98397697</v>
      </c>
      <c r="D82" s="10">
        <v>228888718</v>
      </c>
      <c r="E82" s="10">
        <v>19877883</v>
      </c>
      <c r="F82" s="10">
        <v>34196048</v>
      </c>
      <c r="G82" s="10">
        <v>5017924</v>
      </c>
      <c r="H82" s="10">
        <v>5143604</v>
      </c>
      <c r="I82" s="10">
        <v>828907</v>
      </c>
      <c r="J82" s="10">
        <v>62800</v>
      </c>
      <c r="K82" s="10">
        <v>0</v>
      </c>
      <c r="L82" s="10">
        <v>211354680</v>
      </c>
      <c r="M82" s="10">
        <v>60094556</v>
      </c>
      <c r="N82" s="10">
        <v>1334</v>
      </c>
      <c r="O82" s="10">
        <v>204</v>
      </c>
      <c r="P82" s="10">
        <v>6692637</v>
      </c>
      <c r="Q82" s="10">
        <v>3906619</v>
      </c>
      <c r="R82" s="10">
        <v>4128958</v>
      </c>
      <c r="S82" s="10">
        <v>1762473</v>
      </c>
      <c r="T82" s="10">
        <v>102161</v>
      </c>
      <c r="U82" s="10">
        <v>1779000</v>
      </c>
      <c r="V82" s="10">
        <v>6692637</v>
      </c>
      <c r="W82" s="10">
        <v>4048720</v>
      </c>
      <c r="X82" s="10">
        <v>4128958</v>
      </c>
      <c r="Y82" s="10">
        <v>1762473</v>
      </c>
      <c r="Z82" s="10">
        <v>102161</v>
      </c>
      <c r="AA82" s="10">
        <v>1779000</v>
      </c>
      <c r="AB82" s="10">
        <v>-2613571</v>
      </c>
      <c r="AC82" s="10">
        <v>911868</v>
      </c>
      <c r="AD82" s="10">
        <v>0</v>
      </c>
      <c r="AE82" s="10">
        <v>0</v>
      </c>
      <c r="AF82" s="10">
        <v>0</v>
      </c>
      <c r="AG82" s="10">
        <v>137342</v>
      </c>
      <c r="AH82" s="3"/>
      <c r="AI82" s="10">
        <v>2216879</v>
      </c>
      <c r="AJ82" s="3"/>
      <c r="AK82" s="10">
        <v>100131797</v>
      </c>
      <c r="AL82" s="10">
        <v>1831694</v>
      </c>
      <c r="AM82" s="3"/>
      <c r="AN82" s="10">
        <v>79651872</v>
      </c>
      <c r="AO82" s="10">
        <v>9149889</v>
      </c>
      <c r="AP82" s="10">
        <v>193990919</v>
      </c>
      <c r="AQ82" s="10">
        <v>43879315</v>
      </c>
      <c r="AR82" s="10">
        <v>44406577</v>
      </c>
      <c r="AS82" s="10">
        <v>87825473</v>
      </c>
      <c r="AT82" s="3"/>
      <c r="AU82" s="3"/>
      <c r="AV82" s="3"/>
      <c r="AW82" s="10">
        <v>23040097</v>
      </c>
      <c r="AX82" s="3"/>
      <c r="AY82" s="10">
        <v>321815</v>
      </c>
      <c r="AZ82" s="1">
        <v>5782596.5599999996</v>
      </c>
      <c r="BA82" s="1">
        <v>3064776</v>
      </c>
      <c r="BB82" s="19">
        <v>11553833.73</v>
      </c>
      <c r="BC82" s="15">
        <v>2618151</v>
      </c>
      <c r="BD82" s="15">
        <v>4939908</v>
      </c>
      <c r="BE82" s="20">
        <v>179245581</v>
      </c>
      <c r="BF82" s="20">
        <v>179245581</v>
      </c>
      <c r="BG82" s="20">
        <v>91713743</v>
      </c>
      <c r="BH82" s="20">
        <v>87146822</v>
      </c>
      <c r="BI82" s="19"/>
      <c r="BJ82" s="19"/>
      <c r="BK82" s="19"/>
      <c r="BL82" s="5">
        <v>1031083656</v>
      </c>
      <c r="BM82" s="5">
        <v>839326438</v>
      </c>
      <c r="BN82" s="15">
        <v>496424</v>
      </c>
      <c r="BO82" s="3"/>
      <c r="BP82" s="1"/>
      <c r="BQ82" s="1"/>
      <c r="BR82" s="5"/>
      <c r="BS82" s="5"/>
      <c r="BT82" s="5"/>
    </row>
    <row r="83" spans="1:72" x14ac:dyDescent="0.25">
      <c r="A83" s="6" t="s">
        <v>137</v>
      </c>
      <c r="B83" s="10">
        <v>690873600</v>
      </c>
      <c r="C83" s="10">
        <v>134718150</v>
      </c>
      <c r="D83" s="10">
        <v>88998200</v>
      </c>
      <c r="E83" s="10">
        <v>0</v>
      </c>
      <c r="F83" s="10">
        <v>38674800</v>
      </c>
      <c r="G83" s="10">
        <v>10924350</v>
      </c>
      <c r="H83" s="10">
        <v>10807600</v>
      </c>
      <c r="I83" s="10">
        <v>1100300</v>
      </c>
      <c r="J83" s="10">
        <v>125600</v>
      </c>
      <c r="K83" s="10">
        <v>0</v>
      </c>
      <c r="L83" s="10">
        <v>310983725</v>
      </c>
      <c r="M83" s="10">
        <v>457609775</v>
      </c>
      <c r="N83" s="10">
        <v>1752</v>
      </c>
      <c r="O83" s="10">
        <v>458</v>
      </c>
      <c r="P83" s="10">
        <v>20255050</v>
      </c>
      <c r="Q83" s="10">
        <v>3086850</v>
      </c>
      <c r="R83" s="10">
        <v>806200</v>
      </c>
      <c r="S83" s="10">
        <v>484350</v>
      </c>
      <c r="T83" s="10">
        <v>131800</v>
      </c>
      <c r="U83" s="10">
        <v>0</v>
      </c>
      <c r="V83" s="10">
        <v>20255050</v>
      </c>
      <c r="W83" s="10">
        <v>3086850</v>
      </c>
      <c r="X83" s="10">
        <v>806200</v>
      </c>
      <c r="Y83" s="10">
        <v>484350</v>
      </c>
      <c r="Z83" s="10">
        <v>131800</v>
      </c>
      <c r="AA83" s="10">
        <v>0</v>
      </c>
      <c r="AB83" s="10">
        <v>-4399050</v>
      </c>
      <c r="AC83" s="10">
        <v>0</v>
      </c>
      <c r="AD83" s="10">
        <v>58136</v>
      </c>
      <c r="AE83" s="10">
        <v>0</v>
      </c>
      <c r="AF83" s="10">
        <v>0</v>
      </c>
      <c r="AG83" s="10">
        <v>149932</v>
      </c>
      <c r="AH83" s="3"/>
      <c r="AI83" s="10">
        <v>21679547</v>
      </c>
      <c r="AJ83" s="3"/>
      <c r="AK83" s="10">
        <v>154057654</v>
      </c>
      <c r="AL83" s="10">
        <v>5698157</v>
      </c>
      <c r="AM83" s="10">
        <v>0</v>
      </c>
      <c r="AN83" s="10">
        <v>34787618</v>
      </c>
      <c r="AO83" s="10">
        <v>119054</v>
      </c>
      <c r="AP83" s="10">
        <v>70514124</v>
      </c>
      <c r="AQ83" s="10">
        <v>12547662</v>
      </c>
      <c r="AR83" s="10">
        <v>12309149</v>
      </c>
      <c r="AS83" s="10">
        <v>31141119</v>
      </c>
      <c r="AT83" s="10">
        <v>0</v>
      </c>
      <c r="AU83" s="10">
        <v>0</v>
      </c>
      <c r="AV83" s="10">
        <v>0</v>
      </c>
      <c r="AW83" s="10">
        <v>388097</v>
      </c>
      <c r="AX83" s="10">
        <v>10738</v>
      </c>
      <c r="AY83" s="10">
        <v>0</v>
      </c>
      <c r="AZ83" s="1">
        <v>8896806.8800000008</v>
      </c>
      <c r="BA83" s="1">
        <v>4715308</v>
      </c>
      <c r="BB83" s="19">
        <v>34482036.770000003</v>
      </c>
      <c r="BC83" s="15">
        <v>1392871</v>
      </c>
      <c r="BD83" s="15">
        <v>2628058</v>
      </c>
      <c r="BE83" s="20">
        <v>11966479</v>
      </c>
      <c r="BF83" s="20">
        <v>11780312</v>
      </c>
      <c r="BG83" s="20">
        <v>57428320</v>
      </c>
      <c r="BH83" s="20">
        <v>55621470</v>
      </c>
      <c r="BI83" s="19"/>
      <c r="BJ83" s="19"/>
      <c r="BK83" s="19"/>
      <c r="BL83" s="5">
        <v>1216989603</v>
      </c>
      <c r="BM83" s="5">
        <v>983723831</v>
      </c>
      <c r="BN83" s="15">
        <v>3199950</v>
      </c>
      <c r="BO83" s="3"/>
      <c r="BP83" s="1"/>
      <c r="BQ83" s="1"/>
      <c r="BR83" s="5"/>
      <c r="BS83" s="5"/>
      <c r="BT83" s="5"/>
    </row>
    <row r="84" spans="1:72" x14ac:dyDescent="0.25">
      <c r="A84" s="6" t="s">
        <v>138</v>
      </c>
      <c r="B84" s="10">
        <v>90380878</v>
      </c>
      <c r="C84" s="10">
        <v>31834131</v>
      </c>
      <c r="D84" s="10">
        <v>8897443</v>
      </c>
      <c r="E84" s="10">
        <v>0</v>
      </c>
      <c r="F84" s="10">
        <v>8648725</v>
      </c>
      <c r="G84" s="10">
        <v>7554995</v>
      </c>
      <c r="H84" s="10">
        <v>5226455</v>
      </c>
      <c r="I84" s="10">
        <v>1268920</v>
      </c>
      <c r="J84" s="10">
        <v>0</v>
      </c>
      <c r="K84" s="10">
        <v>0</v>
      </c>
      <c r="L84" s="10">
        <v>22385664</v>
      </c>
      <c r="M84" s="10">
        <v>19730591</v>
      </c>
      <c r="N84" s="10">
        <v>511</v>
      </c>
      <c r="O84" s="10">
        <v>348</v>
      </c>
      <c r="P84" s="10">
        <v>437697</v>
      </c>
      <c r="Q84" s="10">
        <v>125000</v>
      </c>
      <c r="R84" s="10">
        <v>80000</v>
      </c>
      <c r="S84" s="10">
        <v>1032974</v>
      </c>
      <c r="T84" s="10">
        <v>29865</v>
      </c>
      <c r="U84" s="10">
        <v>784500</v>
      </c>
      <c r="V84" s="10">
        <v>437697</v>
      </c>
      <c r="W84" s="10">
        <v>155000</v>
      </c>
      <c r="X84" s="10">
        <v>80000</v>
      </c>
      <c r="Y84" s="10">
        <v>1032974</v>
      </c>
      <c r="Z84" s="10">
        <v>73380</v>
      </c>
      <c r="AA84" s="10">
        <v>784500</v>
      </c>
      <c r="AB84" s="10">
        <v>-1976230</v>
      </c>
      <c r="AC84" s="10">
        <v>-4109</v>
      </c>
      <c r="AD84" s="10">
        <v>66169</v>
      </c>
      <c r="AE84" s="10">
        <v>0</v>
      </c>
      <c r="AF84" s="10">
        <v>3862685</v>
      </c>
      <c r="AG84" s="10">
        <v>76854</v>
      </c>
      <c r="AH84" s="3"/>
      <c r="AI84" s="10">
        <v>238548</v>
      </c>
      <c r="AJ84" s="3"/>
      <c r="AK84" s="10">
        <v>26101617</v>
      </c>
      <c r="AL84" s="10">
        <v>1301010</v>
      </c>
      <c r="AM84" s="10">
        <v>0</v>
      </c>
      <c r="AN84" s="10">
        <v>3560377</v>
      </c>
      <c r="AO84" s="10">
        <v>17163</v>
      </c>
      <c r="AP84" s="10">
        <v>4460488</v>
      </c>
      <c r="AQ84" s="10">
        <v>2968356</v>
      </c>
      <c r="AR84" s="10">
        <v>2904214</v>
      </c>
      <c r="AS84" s="10">
        <v>0</v>
      </c>
      <c r="AT84" s="10">
        <v>77643</v>
      </c>
      <c r="AU84" s="10">
        <v>0</v>
      </c>
      <c r="AV84" s="10">
        <v>0</v>
      </c>
      <c r="AW84" s="10">
        <v>0</v>
      </c>
      <c r="AX84" s="10">
        <v>0</v>
      </c>
      <c r="AY84" s="10">
        <v>0</v>
      </c>
      <c r="AZ84" s="1">
        <v>1507364.55</v>
      </c>
      <c r="BA84" s="1">
        <v>798903</v>
      </c>
      <c r="BB84" s="19"/>
      <c r="BC84" s="15">
        <v>0</v>
      </c>
      <c r="BD84" s="15">
        <v>0</v>
      </c>
      <c r="BE84" s="20">
        <v>2647218</v>
      </c>
      <c r="BF84" s="20">
        <v>2647218</v>
      </c>
      <c r="BG84" s="20">
        <v>13774403</v>
      </c>
      <c r="BH84" s="20">
        <v>13774403</v>
      </c>
      <c r="BI84" s="19"/>
      <c r="BJ84" s="19"/>
      <c r="BK84" s="19"/>
      <c r="BL84" s="5">
        <v>182520047</v>
      </c>
      <c r="BM84" s="5">
        <v>137896896</v>
      </c>
      <c r="BN84" s="15">
        <v>241846</v>
      </c>
      <c r="BO84" s="3"/>
      <c r="BP84" s="1"/>
      <c r="BQ84" s="1"/>
      <c r="BR84" s="5"/>
      <c r="BS84" s="5"/>
      <c r="BT84" s="5"/>
    </row>
    <row r="85" spans="1:72" x14ac:dyDescent="0.25">
      <c r="A85" s="6" t="s">
        <v>139</v>
      </c>
      <c r="B85" s="10">
        <v>741129721</v>
      </c>
      <c r="C85" s="10">
        <v>211578430</v>
      </c>
      <c r="D85" s="10">
        <v>158619119</v>
      </c>
      <c r="E85" s="10">
        <v>0</v>
      </c>
      <c r="F85" s="10">
        <v>50588536</v>
      </c>
      <c r="G85" s="10">
        <v>7866940</v>
      </c>
      <c r="H85" s="10">
        <v>12171025</v>
      </c>
      <c r="I85" s="10">
        <v>1625842</v>
      </c>
      <c r="J85" s="10">
        <v>31400</v>
      </c>
      <c r="K85" s="10">
        <v>0</v>
      </c>
      <c r="L85" s="10">
        <v>252562428</v>
      </c>
      <c r="M85" s="10">
        <v>165822466</v>
      </c>
      <c r="N85" s="10">
        <v>2033</v>
      </c>
      <c r="O85" s="10">
        <v>309</v>
      </c>
      <c r="P85" s="10">
        <v>11517548</v>
      </c>
      <c r="Q85" s="10">
        <v>6284916</v>
      </c>
      <c r="R85" s="10">
        <v>7223392</v>
      </c>
      <c r="S85" s="10">
        <v>3530882</v>
      </c>
      <c r="T85" s="10">
        <v>400415</v>
      </c>
      <c r="U85" s="10">
        <v>1330523</v>
      </c>
      <c r="V85" s="10">
        <v>6351754</v>
      </c>
      <c r="W85" s="10">
        <v>6457848</v>
      </c>
      <c r="X85" s="10">
        <v>6456397</v>
      </c>
      <c r="Y85" s="10">
        <v>2815038</v>
      </c>
      <c r="Z85" s="10">
        <v>480344</v>
      </c>
      <c r="AA85" s="10">
        <v>1324023</v>
      </c>
      <c r="AB85" s="10">
        <v>-2018874</v>
      </c>
      <c r="AC85" s="10">
        <v>-5263</v>
      </c>
      <c r="AD85" s="10">
        <v>3399</v>
      </c>
      <c r="AE85" s="10">
        <v>0</v>
      </c>
      <c r="AF85" s="10">
        <v>0</v>
      </c>
      <c r="AG85" s="10">
        <v>139529</v>
      </c>
      <c r="AH85" s="3"/>
      <c r="AI85" s="10">
        <v>79685</v>
      </c>
      <c r="AJ85" s="3"/>
      <c r="AK85" s="10">
        <v>137712918</v>
      </c>
      <c r="AL85" s="10">
        <v>6624087</v>
      </c>
      <c r="AM85" s="10">
        <v>873346</v>
      </c>
      <c r="AN85" s="10">
        <v>31801537</v>
      </c>
      <c r="AO85" s="10">
        <v>6710348</v>
      </c>
      <c r="AP85" s="10">
        <v>168653912</v>
      </c>
      <c r="AQ85" s="10">
        <v>18107652</v>
      </c>
      <c r="AR85" s="10">
        <v>10469877</v>
      </c>
      <c r="AS85" s="10">
        <v>1475563</v>
      </c>
      <c r="AT85" s="10">
        <v>78328</v>
      </c>
      <c r="AU85" s="3"/>
      <c r="AV85" s="3"/>
      <c r="AW85" s="10">
        <v>20116</v>
      </c>
      <c r="AX85" s="3"/>
      <c r="AY85" s="10">
        <v>24600</v>
      </c>
      <c r="AZ85" s="1">
        <v>7952900.7800000003</v>
      </c>
      <c r="BA85" s="1">
        <v>4215037</v>
      </c>
      <c r="BB85" s="19"/>
      <c r="BC85" s="15">
        <v>1741215</v>
      </c>
      <c r="BD85" s="15">
        <v>3285311</v>
      </c>
      <c r="BE85" s="20">
        <v>35131110</v>
      </c>
      <c r="BF85" s="20">
        <v>35131110</v>
      </c>
      <c r="BG85" s="20">
        <v>53639860</v>
      </c>
      <c r="BH85" s="20">
        <v>48979690</v>
      </c>
      <c r="BI85" s="19"/>
      <c r="BJ85" s="19"/>
      <c r="BK85" s="19"/>
      <c r="BL85" s="5">
        <v>1402430549</v>
      </c>
      <c r="BM85" s="5">
        <v>1168026492</v>
      </c>
      <c r="BN85" s="15">
        <v>1089423</v>
      </c>
      <c r="BO85" s="3"/>
      <c r="BP85" s="1"/>
      <c r="BQ85" s="1"/>
      <c r="BR85" s="5"/>
      <c r="BS85" s="5"/>
      <c r="BT85" s="5"/>
    </row>
    <row r="86" spans="1:72" x14ac:dyDescent="0.25">
      <c r="A86" s="6" t="s">
        <v>140</v>
      </c>
      <c r="B86" s="10">
        <v>103913915</v>
      </c>
      <c r="C86" s="10">
        <v>103179379</v>
      </c>
      <c r="D86" s="10">
        <v>46074918</v>
      </c>
      <c r="E86" s="10">
        <v>0</v>
      </c>
      <c r="F86" s="10">
        <v>15651600</v>
      </c>
      <c r="G86" s="10">
        <v>4870160</v>
      </c>
      <c r="H86" s="10">
        <v>12424750</v>
      </c>
      <c r="I86" s="10">
        <v>1580222</v>
      </c>
      <c r="J86" s="10">
        <v>34400</v>
      </c>
      <c r="K86" s="10">
        <v>56400</v>
      </c>
      <c r="L86" s="10">
        <v>115307876</v>
      </c>
      <c r="M86" s="10">
        <v>0</v>
      </c>
      <c r="N86" s="10">
        <v>975</v>
      </c>
      <c r="O86" s="10">
        <v>265</v>
      </c>
      <c r="P86" s="10">
        <v>2927168</v>
      </c>
      <c r="Q86" s="10">
        <v>2423494</v>
      </c>
      <c r="R86" s="10">
        <v>55000</v>
      </c>
      <c r="S86" s="10">
        <v>633841</v>
      </c>
      <c r="T86" s="10">
        <v>1243693</v>
      </c>
      <c r="U86" s="10">
        <v>1043470</v>
      </c>
      <c r="V86" s="10">
        <v>2927168</v>
      </c>
      <c r="W86" s="10">
        <v>38200</v>
      </c>
      <c r="X86" s="10">
        <v>55000</v>
      </c>
      <c r="Y86" s="10">
        <v>633841</v>
      </c>
      <c r="Z86" s="10">
        <v>64900</v>
      </c>
      <c r="AA86" s="10">
        <v>1043470</v>
      </c>
      <c r="AB86" s="10">
        <v>-1470300</v>
      </c>
      <c r="AC86" s="10">
        <v>0</v>
      </c>
      <c r="AD86" s="10">
        <v>73646</v>
      </c>
      <c r="AE86" s="10">
        <v>0</v>
      </c>
      <c r="AF86" s="10">
        <v>0</v>
      </c>
      <c r="AG86" s="10">
        <v>0</v>
      </c>
      <c r="AH86" s="10">
        <v>1916086</v>
      </c>
      <c r="AI86" s="3"/>
      <c r="AJ86" s="3"/>
      <c r="AK86" s="10">
        <v>49359090</v>
      </c>
      <c r="AL86" s="10">
        <v>975013</v>
      </c>
      <c r="AM86" s="3"/>
      <c r="AN86" s="10">
        <v>7415227</v>
      </c>
      <c r="AO86" s="10">
        <v>1596861</v>
      </c>
      <c r="AP86" s="10">
        <v>97320982</v>
      </c>
      <c r="AQ86" s="10">
        <v>8649226</v>
      </c>
      <c r="AR86" s="10">
        <v>16033730</v>
      </c>
      <c r="AS86" s="10">
        <v>8900758</v>
      </c>
      <c r="AT86" s="10">
        <v>188334</v>
      </c>
      <c r="AU86" s="3"/>
      <c r="AV86" s="3"/>
      <c r="AW86" s="3"/>
      <c r="AX86" s="3"/>
      <c r="AY86" s="3"/>
      <c r="AZ86" s="1">
        <v>2850480.19</v>
      </c>
      <c r="BA86" s="1">
        <v>1510755</v>
      </c>
      <c r="BB86" s="19"/>
      <c r="BC86" s="15">
        <v>0</v>
      </c>
      <c r="BD86" s="15">
        <v>0</v>
      </c>
      <c r="BE86" s="20">
        <v>11821509</v>
      </c>
      <c r="BF86" s="20">
        <v>11821509</v>
      </c>
      <c r="BG86" s="20">
        <v>33448403</v>
      </c>
      <c r="BH86" s="20">
        <v>33448403</v>
      </c>
      <c r="BI86" s="19"/>
      <c r="BJ86" s="19"/>
      <c r="BK86" s="19"/>
      <c r="BL86" s="5">
        <v>369860382</v>
      </c>
      <c r="BM86" s="5">
        <v>272745612</v>
      </c>
      <c r="BN86" s="15">
        <v>445398</v>
      </c>
      <c r="BO86" s="3"/>
      <c r="BP86" s="1"/>
      <c r="BQ86" s="1"/>
      <c r="BR86" s="5"/>
      <c r="BS86" s="5"/>
      <c r="BT86" s="5"/>
    </row>
    <row r="87" spans="1:72" x14ac:dyDescent="0.25">
      <c r="A87" s="6" t="s">
        <v>141</v>
      </c>
      <c r="B87" s="10">
        <v>133525830</v>
      </c>
      <c r="C87" s="10">
        <v>88884350</v>
      </c>
      <c r="D87" s="10">
        <v>43380517</v>
      </c>
      <c r="E87" s="10">
        <v>0</v>
      </c>
      <c r="F87" s="10">
        <v>24168800</v>
      </c>
      <c r="G87" s="10">
        <v>7427208</v>
      </c>
      <c r="H87" s="10">
        <v>10377100</v>
      </c>
      <c r="I87" s="10">
        <v>953200</v>
      </c>
      <c r="J87" s="10">
        <v>62800</v>
      </c>
      <c r="K87" s="10">
        <v>0</v>
      </c>
      <c r="L87" s="10">
        <v>202864656</v>
      </c>
      <c r="M87" s="10">
        <v>0</v>
      </c>
      <c r="N87" s="10">
        <v>1171</v>
      </c>
      <c r="O87" s="10">
        <v>310</v>
      </c>
      <c r="P87" s="10">
        <v>992500</v>
      </c>
      <c r="Q87" s="10">
        <v>748500</v>
      </c>
      <c r="R87" s="10">
        <v>0</v>
      </c>
      <c r="S87" s="10">
        <v>301500</v>
      </c>
      <c r="T87" s="10">
        <v>23000</v>
      </c>
      <c r="U87" s="10">
        <v>0</v>
      </c>
      <c r="V87" s="10">
        <v>992500</v>
      </c>
      <c r="W87" s="10">
        <v>748500</v>
      </c>
      <c r="X87" s="10">
        <v>0</v>
      </c>
      <c r="Y87" s="10">
        <v>301500</v>
      </c>
      <c r="Z87" s="10">
        <v>0</v>
      </c>
      <c r="AA87" s="10">
        <v>0</v>
      </c>
      <c r="AB87" s="10">
        <v>-116000</v>
      </c>
      <c r="AC87" s="10">
        <v>-121700</v>
      </c>
      <c r="AD87" s="10">
        <v>87838</v>
      </c>
      <c r="AE87" s="10">
        <v>0</v>
      </c>
      <c r="AF87" s="10">
        <v>0</v>
      </c>
      <c r="AG87" s="10">
        <v>0</v>
      </c>
      <c r="AH87" s="10">
        <v>22184</v>
      </c>
      <c r="AI87" s="10">
        <v>68363</v>
      </c>
      <c r="AJ87" s="3"/>
      <c r="AK87" s="10">
        <v>59016315</v>
      </c>
      <c r="AL87" s="10">
        <v>1036474</v>
      </c>
      <c r="AM87" s="10">
        <v>0</v>
      </c>
      <c r="AN87" s="10">
        <v>11850929</v>
      </c>
      <c r="AO87" s="10">
        <v>193790</v>
      </c>
      <c r="AP87" s="10">
        <v>16199081</v>
      </c>
      <c r="AQ87" s="10">
        <v>16497557</v>
      </c>
      <c r="AR87" s="10">
        <v>6348844</v>
      </c>
      <c r="AS87" s="10">
        <v>0</v>
      </c>
      <c r="AT87" s="10">
        <v>377063</v>
      </c>
      <c r="AU87" s="10">
        <v>0</v>
      </c>
      <c r="AV87" s="10">
        <v>75500</v>
      </c>
      <c r="AW87" s="10">
        <v>0</v>
      </c>
      <c r="AX87" s="10">
        <v>0</v>
      </c>
      <c r="AY87" s="10">
        <v>0</v>
      </c>
      <c r="AZ87" s="1">
        <v>3408183.52</v>
      </c>
      <c r="BA87" s="1">
        <v>1806337</v>
      </c>
      <c r="BB87" s="19"/>
      <c r="BC87" s="15">
        <v>0</v>
      </c>
      <c r="BD87" s="15">
        <v>0</v>
      </c>
      <c r="BE87" s="20">
        <v>10628938</v>
      </c>
      <c r="BF87" s="20">
        <v>10628938</v>
      </c>
      <c r="BG87" s="20">
        <v>21050052</v>
      </c>
      <c r="BH87" s="20">
        <v>21047312</v>
      </c>
      <c r="BI87" s="19"/>
      <c r="BJ87" s="19"/>
      <c r="BK87" s="19"/>
      <c r="BL87" s="5">
        <v>387958896</v>
      </c>
      <c r="BM87" s="5">
        <v>294423520</v>
      </c>
      <c r="BN87" s="15">
        <v>121200</v>
      </c>
      <c r="BO87" s="3"/>
      <c r="BP87" s="1"/>
      <c r="BQ87" s="1"/>
      <c r="BR87" s="5"/>
      <c r="BS87" s="5"/>
      <c r="BT87" s="5"/>
    </row>
    <row r="88" spans="1:72" x14ac:dyDescent="0.25">
      <c r="A88" s="6" t="s">
        <v>142</v>
      </c>
      <c r="B88" s="10">
        <v>711732968</v>
      </c>
      <c r="C88" s="10">
        <v>105860413</v>
      </c>
      <c r="D88" s="10">
        <v>254770281</v>
      </c>
      <c r="E88" s="10">
        <v>34409180</v>
      </c>
      <c r="F88" s="10">
        <v>43535425</v>
      </c>
      <c r="G88" s="10">
        <v>15814350</v>
      </c>
      <c r="H88" s="10">
        <v>7281400</v>
      </c>
      <c r="I88" s="10">
        <v>1746300</v>
      </c>
      <c r="J88" s="10">
        <v>157000</v>
      </c>
      <c r="K88" s="10">
        <v>0</v>
      </c>
      <c r="L88" s="10">
        <v>167636823</v>
      </c>
      <c r="M88" s="10">
        <v>0</v>
      </c>
      <c r="N88" s="10">
        <v>1697</v>
      </c>
      <c r="O88" s="10">
        <v>617</v>
      </c>
      <c r="P88" s="10">
        <v>17053800</v>
      </c>
      <c r="Q88" s="10">
        <v>2083700</v>
      </c>
      <c r="R88" s="10">
        <v>11501500</v>
      </c>
      <c r="S88" s="10">
        <v>1859715</v>
      </c>
      <c r="T88" s="10">
        <v>556050</v>
      </c>
      <c r="U88" s="10">
        <v>2520600</v>
      </c>
      <c r="V88" s="10">
        <v>17053800</v>
      </c>
      <c r="W88" s="10">
        <v>2712350</v>
      </c>
      <c r="X88" s="10">
        <v>11501500</v>
      </c>
      <c r="Y88" s="10">
        <v>1859715</v>
      </c>
      <c r="Z88" s="10">
        <v>1139550</v>
      </c>
      <c r="AA88" s="10">
        <v>2520600</v>
      </c>
      <c r="AB88" s="10">
        <v>-2673890</v>
      </c>
      <c r="AC88" s="10">
        <v>274539</v>
      </c>
      <c r="AD88" s="10">
        <v>5227</v>
      </c>
      <c r="AE88" s="10">
        <v>0</v>
      </c>
      <c r="AF88" s="10">
        <v>0</v>
      </c>
      <c r="AG88" s="10">
        <v>107974</v>
      </c>
      <c r="AH88" s="3"/>
      <c r="AI88" s="10">
        <v>231347</v>
      </c>
      <c r="AJ88" s="3"/>
      <c r="AK88" s="10">
        <v>143796030</v>
      </c>
      <c r="AL88" s="10">
        <v>3908521</v>
      </c>
      <c r="AM88" s="10">
        <v>0</v>
      </c>
      <c r="AN88" s="10">
        <v>50408035</v>
      </c>
      <c r="AO88" s="10">
        <v>1426707</v>
      </c>
      <c r="AP88" s="10">
        <v>126034988</v>
      </c>
      <c r="AQ88" s="10">
        <v>43567449</v>
      </c>
      <c r="AR88" s="10">
        <v>69883479</v>
      </c>
      <c r="AS88" s="10">
        <v>0</v>
      </c>
      <c r="AT88" s="10">
        <v>206258</v>
      </c>
      <c r="AU88" s="10">
        <v>0</v>
      </c>
      <c r="AV88" s="10">
        <v>0</v>
      </c>
      <c r="AW88" s="10">
        <v>13463765</v>
      </c>
      <c r="AX88" s="10">
        <v>0</v>
      </c>
      <c r="AY88" s="10">
        <v>3995000</v>
      </c>
      <c r="AZ88" s="1">
        <v>8304199.5999999996</v>
      </c>
      <c r="BA88" s="1">
        <v>4401226</v>
      </c>
      <c r="BB88" s="19"/>
      <c r="BC88" s="15">
        <v>0</v>
      </c>
      <c r="BD88" s="15">
        <v>0</v>
      </c>
      <c r="BE88" s="20">
        <v>28151836</v>
      </c>
      <c r="BF88" s="20">
        <v>28151836</v>
      </c>
      <c r="BG88" s="20">
        <v>36037278</v>
      </c>
      <c r="BH88" s="20">
        <v>35045256</v>
      </c>
      <c r="BI88" s="19"/>
      <c r="BJ88" s="19"/>
      <c r="BK88" s="19"/>
      <c r="BL88" s="5">
        <v>1383300069</v>
      </c>
      <c r="BM88" s="5">
        <v>1167997200</v>
      </c>
      <c r="BN88" s="15">
        <v>1248100</v>
      </c>
      <c r="BO88" s="3"/>
      <c r="BP88" s="1"/>
      <c r="BQ88" s="1"/>
      <c r="BR88" s="5"/>
      <c r="BS88" s="5"/>
      <c r="BT88" s="5"/>
    </row>
    <row r="89" spans="1:72" x14ac:dyDescent="0.25">
      <c r="A89" s="6" t="s">
        <v>143</v>
      </c>
      <c r="B89" s="10">
        <v>121691250</v>
      </c>
      <c r="C89" s="10">
        <v>89364550</v>
      </c>
      <c r="D89" s="10">
        <v>39462815</v>
      </c>
      <c r="E89" s="10">
        <v>0</v>
      </c>
      <c r="F89" s="10">
        <v>14821700</v>
      </c>
      <c r="G89" s="10">
        <v>9838400</v>
      </c>
      <c r="H89" s="10">
        <v>11146000</v>
      </c>
      <c r="I89" s="10">
        <v>3554400</v>
      </c>
      <c r="J89" s="10">
        <v>31400</v>
      </c>
      <c r="K89" s="10">
        <v>0</v>
      </c>
      <c r="L89" s="10">
        <v>63800150</v>
      </c>
      <c r="M89" s="10">
        <v>0</v>
      </c>
      <c r="N89" s="10">
        <v>1003</v>
      </c>
      <c r="O89" s="10">
        <v>537</v>
      </c>
      <c r="P89" s="10">
        <v>2046400</v>
      </c>
      <c r="Q89" s="10">
        <v>987000</v>
      </c>
      <c r="R89" s="10">
        <v>774000</v>
      </c>
      <c r="S89" s="10">
        <v>873500</v>
      </c>
      <c r="T89" s="10">
        <v>169000</v>
      </c>
      <c r="U89" s="10">
        <v>262000</v>
      </c>
      <c r="V89" s="10">
        <v>2046400</v>
      </c>
      <c r="W89" s="10">
        <v>1391000</v>
      </c>
      <c r="X89" s="10">
        <v>774000</v>
      </c>
      <c r="Y89" s="10">
        <v>873500</v>
      </c>
      <c r="Z89" s="10">
        <v>159000</v>
      </c>
      <c r="AA89" s="10">
        <v>262000</v>
      </c>
      <c r="AB89" s="10">
        <v>-2003300</v>
      </c>
      <c r="AC89" s="10">
        <v>-105607</v>
      </c>
      <c r="AD89" s="10">
        <v>176039</v>
      </c>
      <c r="AE89" s="10">
        <v>0</v>
      </c>
      <c r="AF89" s="10">
        <v>0</v>
      </c>
      <c r="AG89" s="10">
        <v>220822</v>
      </c>
      <c r="AH89" s="10">
        <v>411648</v>
      </c>
      <c r="AI89" s="10">
        <v>1950324</v>
      </c>
      <c r="AJ89" s="10">
        <v>372161</v>
      </c>
      <c r="AK89" s="10">
        <v>68012040</v>
      </c>
      <c r="AL89" s="10">
        <v>1597754</v>
      </c>
      <c r="AM89" s="3"/>
      <c r="AN89" s="10">
        <v>28920915</v>
      </c>
      <c r="AO89" s="10">
        <v>37189</v>
      </c>
      <c r="AP89" s="10">
        <v>3862060</v>
      </c>
      <c r="AQ89" s="10">
        <v>7495999</v>
      </c>
      <c r="AR89" s="10">
        <v>7033577</v>
      </c>
      <c r="AS89" s="3"/>
      <c r="AT89" s="10">
        <v>453728</v>
      </c>
      <c r="AU89" s="3"/>
      <c r="AV89" s="3"/>
      <c r="AW89" s="3"/>
      <c r="AX89" s="3"/>
      <c r="AY89" s="10">
        <v>59500</v>
      </c>
      <c r="AZ89" s="1">
        <v>3927685.31</v>
      </c>
      <c r="BA89" s="1">
        <v>2081673</v>
      </c>
      <c r="BB89" s="19"/>
      <c r="BC89" s="15">
        <v>0</v>
      </c>
      <c r="BD89" s="15">
        <v>0</v>
      </c>
      <c r="BE89" s="20">
        <v>1295748</v>
      </c>
      <c r="BF89" s="20">
        <v>1295748</v>
      </c>
      <c r="BG89" s="20">
        <v>30211131</v>
      </c>
      <c r="BH89" s="20">
        <v>30211131</v>
      </c>
      <c r="BI89" s="19"/>
      <c r="BJ89" s="19"/>
      <c r="BK89" s="19"/>
      <c r="BL89" s="5">
        <v>392905197</v>
      </c>
      <c r="BM89" s="5">
        <v>289706851</v>
      </c>
      <c r="BN89" s="15">
        <v>2350175</v>
      </c>
      <c r="BO89" s="3"/>
      <c r="BP89" s="1"/>
      <c r="BQ89" s="1"/>
      <c r="BR89" s="5"/>
      <c r="BS89" s="5"/>
      <c r="BT89" s="5"/>
    </row>
    <row r="90" spans="1:72" x14ac:dyDescent="0.25">
      <c r="A90" s="6" t="s">
        <v>144</v>
      </c>
      <c r="B90" s="10">
        <v>517381426</v>
      </c>
      <c r="C90" s="10">
        <v>134534390</v>
      </c>
      <c r="D90" s="10">
        <v>167086521</v>
      </c>
      <c r="E90" s="10">
        <v>0</v>
      </c>
      <c r="F90" s="10">
        <v>70688210</v>
      </c>
      <c r="G90" s="10">
        <v>28744440</v>
      </c>
      <c r="H90" s="10">
        <v>11279000</v>
      </c>
      <c r="I90" s="10">
        <v>2695700</v>
      </c>
      <c r="J90" s="10">
        <v>31400</v>
      </c>
      <c r="K90" s="10">
        <v>31400</v>
      </c>
      <c r="L90" s="10">
        <v>106863426</v>
      </c>
      <c r="M90" s="10">
        <v>255443516</v>
      </c>
      <c r="N90" s="10">
        <v>2806</v>
      </c>
      <c r="O90" s="10">
        <v>1142</v>
      </c>
      <c r="P90" s="10">
        <v>10744757</v>
      </c>
      <c r="Q90" s="10">
        <v>2981051</v>
      </c>
      <c r="R90" s="10">
        <v>6856950</v>
      </c>
      <c r="S90" s="10">
        <v>3362966</v>
      </c>
      <c r="T90" s="10">
        <v>921800</v>
      </c>
      <c r="U90" s="10">
        <v>2987500</v>
      </c>
      <c r="V90" s="10">
        <v>10744757</v>
      </c>
      <c r="W90" s="10">
        <v>7746930</v>
      </c>
      <c r="X90" s="10">
        <v>6856950</v>
      </c>
      <c r="Y90" s="10">
        <v>3362966</v>
      </c>
      <c r="Z90" s="10">
        <v>1339250</v>
      </c>
      <c r="AA90" s="10">
        <v>2987500</v>
      </c>
      <c r="AB90" s="10">
        <v>12485335</v>
      </c>
      <c r="AC90" s="10">
        <v>53277</v>
      </c>
      <c r="AD90" s="10">
        <v>66403</v>
      </c>
      <c r="AE90" s="10">
        <v>0</v>
      </c>
      <c r="AF90" s="10">
        <v>0</v>
      </c>
      <c r="AG90" s="10">
        <v>210422</v>
      </c>
      <c r="AH90" s="10">
        <v>12052730</v>
      </c>
      <c r="AI90" s="10">
        <v>905386</v>
      </c>
      <c r="AJ90" s="10">
        <v>24961345</v>
      </c>
      <c r="AK90" s="10">
        <v>258695707</v>
      </c>
      <c r="AL90" s="10">
        <v>5421772</v>
      </c>
      <c r="AM90" s="3"/>
      <c r="AN90" s="10">
        <v>77275458</v>
      </c>
      <c r="AO90" s="10">
        <v>1937638</v>
      </c>
      <c r="AP90" s="10">
        <v>23124665</v>
      </c>
      <c r="AQ90" s="10">
        <v>29506902</v>
      </c>
      <c r="AR90" s="10">
        <v>24907997</v>
      </c>
      <c r="AS90" s="3"/>
      <c r="AT90" s="10">
        <v>1072787</v>
      </c>
      <c r="AU90" s="3"/>
      <c r="AV90" s="3"/>
      <c r="AW90" s="10">
        <v>2775229</v>
      </c>
      <c r="AX90" s="10">
        <v>38634</v>
      </c>
      <c r="AY90" s="10">
        <v>67500</v>
      </c>
      <c r="AZ90" s="1">
        <v>14939639.060000001</v>
      </c>
      <c r="BA90" s="1">
        <v>7918009</v>
      </c>
      <c r="BB90" s="19">
        <v>8472371.7599999998</v>
      </c>
      <c r="BC90" s="15">
        <v>2839411</v>
      </c>
      <c r="BD90" s="15">
        <v>5357379</v>
      </c>
      <c r="BE90" s="20">
        <v>57903707</v>
      </c>
      <c r="BF90" s="20">
        <v>56339391</v>
      </c>
      <c r="BG90" s="20">
        <v>96366891</v>
      </c>
      <c r="BH90" s="20">
        <v>93867510</v>
      </c>
      <c r="BI90" s="19"/>
      <c r="BJ90" s="19"/>
      <c r="BK90" s="19"/>
      <c r="BL90" s="5">
        <v>1390723596</v>
      </c>
      <c r="BM90" s="5">
        <v>965641796</v>
      </c>
      <c r="BN90" s="15">
        <v>442700</v>
      </c>
      <c r="BO90" s="3"/>
      <c r="BP90" s="1"/>
      <c r="BQ90" s="1"/>
      <c r="BR90" s="5"/>
      <c r="BS90" s="5"/>
      <c r="BT90" s="5"/>
    </row>
    <row r="91" spans="1:72" x14ac:dyDescent="0.25">
      <c r="A91" s="6" t="s">
        <v>145</v>
      </c>
      <c r="B91" s="10">
        <v>1487488199</v>
      </c>
      <c r="C91" s="10">
        <v>298120450</v>
      </c>
      <c r="D91" s="10">
        <v>438015702</v>
      </c>
      <c r="E91" s="10">
        <v>2600000</v>
      </c>
      <c r="F91" s="10">
        <v>64615895</v>
      </c>
      <c r="G91" s="10">
        <v>15469642</v>
      </c>
      <c r="H91" s="10">
        <v>15917540</v>
      </c>
      <c r="I91" s="10">
        <v>1689030</v>
      </c>
      <c r="J91" s="10">
        <v>219800</v>
      </c>
      <c r="K91" s="10">
        <v>0</v>
      </c>
      <c r="L91" s="10">
        <v>580032711</v>
      </c>
      <c r="M91" s="10">
        <v>233982019</v>
      </c>
      <c r="N91" s="10">
        <v>2604</v>
      </c>
      <c r="O91" s="10">
        <v>572</v>
      </c>
      <c r="P91" s="10">
        <v>39016000</v>
      </c>
      <c r="Q91" s="10">
        <v>4416096</v>
      </c>
      <c r="R91" s="10">
        <v>9896400</v>
      </c>
      <c r="S91" s="10">
        <v>3663742</v>
      </c>
      <c r="T91" s="10">
        <v>1368377</v>
      </c>
      <c r="U91" s="10">
        <v>3266500</v>
      </c>
      <c r="V91" s="10">
        <v>39016000</v>
      </c>
      <c r="W91" s="10">
        <v>4736916</v>
      </c>
      <c r="X91" s="10">
        <v>9896400</v>
      </c>
      <c r="Y91" s="10">
        <v>3663742</v>
      </c>
      <c r="Z91" s="10">
        <v>678895</v>
      </c>
      <c r="AA91" s="10">
        <v>3266500</v>
      </c>
      <c r="AB91" s="10">
        <v>-11864368</v>
      </c>
      <c r="AC91" s="10">
        <v>-1129203</v>
      </c>
      <c r="AD91" s="10">
        <v>30883</v>
      </c>
      <c r="AE91" s="10">
        <v>0</v>
      </c>
      <c r="AF91" s="10">
        <v>0</v>
      </c>
      <c r="AG91" s="10">
        <v>241603</v>
      </c>
      <c r="AH91" s="3"/>
      <c r="AI91" s="10">
        <v>262726</v>
      </c>
      <c r="AJ91" s="3"/>
      <c r="AK91" s="10">
        <v>268728594</v>
      </c>
      <c r="AL91" s="10">
        <v>6712007</v>
      </c>
      <c r="AM91" s="10">
        <v>0</v>
      </c>
      <c r="AN91" s="10">
        <v>64690239</v>
      </c>
      <c r="AO91" s="10">
        <v>5965656</v>
      </c>
      <c r="AP91" s="10">
        <v>318165825</v>
      </c>
      <c r="AQ91" s="10">
        <v>69078101</v>
      </c>
      <c r="AR91" s="10">
        <v>52731354</v>
      </c>
      <c r="AS91" s="10">
        <v>7724017</v>
      </c>
      <c r="AT91" s="10">
        <v>48435</v>
      </c>
      <c r="AU91" s="10">
        <v>0</v>
      </c>
      <c r="AV91" s="10">
        <v>0</v>
      </c>
      <c r="AW91" s="10">
        <v>2450147</v>
      </c>
      <c r="AX91" s="10">
        <v>115044</v>
      </c>
      <c r="AY91" s="10">
        <v>1823182</v>
      </c>
      <c r="AZ91" s="1">
        <v>15519036.810000001</v>
      </c>
      <c r="BA91" s="1">
        <v>8225090</v>
      </c>
      <c r="BB91" s="19"/>
      <c r="BC91" s="15">
        <v>650614</v>
      </c>
      <c r="BD91" s="15">
        <v>1227573</v>
      </c>
      <c r="BE91" s="20">
        <v>11158409</v>
      </c>
      <c r="BF91" s="20">
        <v>10755907</v>
      </c>
      <c r="BG91" s="20">
        <v>41275388</v>
      </c>
      <c r="BH91" s="20">
        <v>41164589</v>
      </c>
      <c r="BI91" s="19">
        <v>308092209</v>
      </c>
      <c r="BJ91" s="19"/>
      <c r="BK91" s="19"/>
      <c r="BL91" s="5">
        <v>3007950083</v>
      </c>
      <c r="BM91" s="5">
        <v>2363621073</v>
      </c>
      <c r="BN91" s="15">
        <v>3157158</v>
      </c>
      <c r="BO91" s="3"/>
      <c r="BP91" s="1"/>
      <c r="BQ91" s="1"/>
      <c r="BR91" s="5"/>
      <c r="BS91" s="5"/>
      <c r="BT91" s="5"/>
    </row>
    <row r="92" spans="1:72" x14ac:dyDescent="0.25">
      <c r="A92" s="6" t="s">
        <v>146</v>
      </c>
      <c r="B92" s="10">
        <v>102913263</v>
      </c>
      <c r="C92" s="10">
        <v>85526983</v>
      </c>
      <c r="D92" s="10">
        <v>16203739</v>
      </c>
      <c r="E92" s="10">
        <v>0</v>
      </c>
      <c r="F92" s="10">
        <v>14263525</v>
      </c>
      <c r="G92" s="10">
        <v>3210300</v>
      </c>
      <c r="H92" s="10">
        <v>5485200</v>
      </c>
      <c r="I92" s="10">
        <v>859000</v>
      </c>
      <c r="J92" s="10">
        <v>94200</v>
      </c>
      <c r="K92" s="10">
        <v>0</v>
      </c>
      <c r="L92" s="10">
        <v>56900273</v>
      </c>
      <c r="M92" s="10">
        <v>39029260</v>
      </c>
      <c r="N92" s="10">
        <v>673</v>
      </c>
      <c r="O92" s="10">
        <v>151</v>
      </c>
      <c r="P92" s="10">
        <v>1636808</v>
      </c>
      <c r="Q92" s="10">
        <v>2100080</v>
      </c>
      <c r="R92" s="10">
        <v>0</v>
      </c>
      <c r="S92" s="10">
        <v>783524</v>
      </c>
      <c r="T92" s="10">
        <v>611982</v>
      </c>
      <c r="U92" s="10">
        <v>111674</v>
      </c>
      <c r="V92" s="10">
        <v>1636808</v>
      </c>
      <c r="W92" s="10">
        <v>2031480</v>
      </c>
      <c r="X92" s="10">
        <v>0</v>
      </c>
      <c r="Y92" s="10">
        <v>783524</v>
      </c>
      <c r="Z92" s="10">
        <v>576265</v>
      </c>
      <c r="AA92" s="10">
        <v>111674</v>
      </c>
      <c r="AB92" s="10">
        <v>-977804</v>
      </c>
      <c r="AC92" s="10">
        <v>0</v>
      </c>
      <c r="AD92" s="10">
        <v>0</v>
      </c>
      <c r="AE92" s="10">
        <v>0</v>
      </c>
      <c r="AF92" s="10">
        <v>0</v>
      </c>
      <c r="AG92" s="10">
        <v>114918</v>
      </c>
      <c r="AH92" s="3"/>
      <c r="AI92" s="3"/>
      <c r="AJ92" s="3"/>
      <c r="AK92" s="10">
        <v>42833036</v>
      </c>
      <c r="AL92" s="10">
        <v>868977</v>
      </c>
      <c r="AM92" s="10">
        <v>0</v>
      </c>
      <c r="AN92" s="10">
        <v>2425378</v>
      </c>
      <c r="AO92" s="10">
        <v>12479</v>
      </c>
      <c r="AP92" s="10">
        <v>3892378</v>
      </c>
      <c r="AQ92" s="10">
        <v>2512870</v>
      </c>
      <c r="AR92" s="10">
        <v>306455</v>
      </c>
      <c r="AS92" s="10">
        <v>0</v>
      </c>
      <c r="AT92" s="10">
        <v>73995</v>
      </c>
      <c r="AU92" s="10">
        <v>0</v>
      </c>
      <c r="AV92" s="10">
        <v>0</v>
      </c>
      <c r="AW92" s="10">
        <v>6485</v>
      </c>
      <c r="AX92" s="10">
        <v>0</v>
      </c>
      <c r="AY92" s="10">
        <v>0</v>
      </c>
      <c r="AZ92" s="1">
        <v>2473601.5299999998</v>
      </c>
      <c r="BA92" s="1">
        <v>1311009</v>
      </c>
      <c r="BB92" s="19"/>
      <c r="BC92" s="15">
        <v>796939</v>
      </c>
      <c r="BD92" s="15">
        <v>1503658</v>
      </c>
      <c r="BE92" s="20">
        <v>5473888</v>
      </c>
      <c r="BF92" s="20">
        <v>5473888</v>
      </c>
      <c r="BG92" s="20">
        <v>15261828</v>
      </c>
      <c r="BH92" s="20">
        <v>14840108</v>
      </c>
      <c r="BI92" s="19"/>
      <c r="BJ92" s="19"/>
      <c r="BK92" s="19"/>
      <c r="BL92" s="5">
        <v>275718669</v>
      </c>
      <c r="BM92" s="5">
        <v>209594712</v>
      </c>
      <c r="BN92" s="15">
        <v>241950</v>
      </c>
      <c r="BO92" s="3"/>
      <c r="BP92" s="1"/>
      <c r="BQ92" s="1"/>
      <c r="BR92" s="5"/>
      <c r="BS92" s="5"/>
      <c r="BT92" s="5"/>
    </row>
    <row r="93" spans="1:72" x14ac:dyDescent="0.25">
      <c r="A93" s="6" t="s">
        <v>147</v>
      </c>
      <c r="B93" s="10">
        <v>335281239</v>
      </c>
      <c r="C93" s="10">
        <v>192040977</v>
      </c>
      <c r="D93" s="10">
        <v>116408346</v>
      </c>
      <c r="E93" s="10">
        <v>0</v>
      </c>
      <c r="F93" s="10">
        <v>40573777</v>
      </c>
      <c r="G93" s="10">
        <v>11963378</v>
      </c>
      <c r="H93" s="10">
        <v>14917190</v>
      </c>
      <c r="I93" s="10">
        <v>2566520</v>
      </c>
      <c r="J93" s="10">
        <v>62800</v>
      </c>
      <c r="K93" s="10">
        <v>62800</v>
      </c>
      <c r="L93" s="10">
        <v>276050108</v>
      </c>
      <c r="M93" s="10">
        <v>5320194</v>
      </c>
      <c r="N93" s="10">
        <v>1948</v>
      </c>
      <c r="O93" s="10">
        <v>550</v>
      </c>
      <c r="P93" s="10">
        <v>8011160</v>
      </c>
      <c r="Q93" s="10">
        <v>5570730</v>
      </c>
      <c r="R93" s="10">
        <v>707425</v>
      </c>
      <c r="S93" s="10">
        <v>5316623</v>
      </c>
      <c r="T93" s="10">
        <v>1799987</v>
      </c>
      <c r="U93" s="10">
        <v>915750</v>
      </c>
      <c r="V93" s="10">
        <v>8011160</v>
      </c>
      <c r="W93" s="10">
        <v>5570730</v>
      </c>
      <c r="X93" s="10">
        <v>707425</v>
      </c>
      <c r="Y93" s="10">
        <v>5316623</v>
      </c>
      <c r="Z93" s="10">
        <v>1799987</v>
      </c>
      <c r="AA93" s="10">
        <v>915750</v>
      </c>
      <c r="AB93" s="10">
        <v>-4039135</v>
      </c>
      <c r="AC93" s="10">
        <v>-320244</v>
      </c>
      <c r="AD93" s="10">
        <v>331275</v>
      </c>
      <c r="AE93" s="10">
        <v>19173</v>
      </c>
      <c r="AF93" s="10">
        <v>13464918</v>
      </c>
      <c r="AG93" s="10">
        <v>331273</v>
      </c>
      <c r="AH93" s="10">
        <v>6645255</v>
      </c>
      <c r="AI93" s="10">
        <v>403048</v>
      </c>
      <c r="AJ93" s="10">
        <v>10939903</v>
      </c>
      <c r="AK93" s="10">
        <v>116526872</v>
      </c>
      <c r="AL93" s="10">
        <v>2794133</v>
      </c>
      <c r="AM93" s="10">
        <v>0</v>
      </c>
      <c r="AN93" s="10">
        <v>35131386</v>
      </c>
      <c r="AO93" s="10">
        <v>2642912</v>
      </c>
      <c r="AP93" s="10">
        <v>71967214</v>
      </c>
      <c r="AQ93" s="10">
        <v>21395001</v>
      </c>
      <c r="AR93" s="10">
        <v>19856670</v>
      </c>
      <c r="AS93" s="10">
        <v>1238131</v>
      </c>
      <c r="AT93" s="10">
        <v>2437589</v>
      </c>
      <c r="AU93" s="10">
        <v>0</v>
      </c>
      <c r="AV93" s="10">
        <v>0</v>
      </c>
      <c r="AW93" s="10">
        <v>2023474</v>
      </c>
      <c r="AX93" s="10">
        <v>1356</v>
      </c>
      <c r="AY93" s="10">
        <v>47165</v>
      </c>
      <c r="AZ93" s="1">
        <v>6729409.7300000004</v>
      </c>
      <c r="BA93" s="1">
        <v>3566587</v>
      </c>
      <c r="BB93" s="19">
        <v>13179244.949999999</v>
      </c>
      <c r="BC93" s="15">
        <v>1745266</v>
      </c>
      <c r="BD93" s="15">
        <v>3292954</v>
      </c>
      <c r="BE93" s="20">
        <v>55161524</v>
      </c>
      <c r="BF93" s="20">
        <v>52583387</v>
      </c>
      <c r="BG93" s="20">
        <v>51779209</v>
      </c>
      <c r="BH93" s="20">
        <v>48556393</v>
      </c>
      <c r="BI93" s="19"/>
      <c r="BJ93" s="19"/>
      <c r="BK93" s="19"/>
      <c r="BL93" s="5">
        <v>946660705</v>
      </c>
      <c r="BM93" s="5">
        <v>720888067</v>
      </c>
      <c r="BN93" s="15">
        <v>595111</v>
      </c>
      <c r="BO93" s="3"/>
      <c r="BP93" s="1"/>
      <c r="BQ93" s="1"/>
      <c r="BR93" s="5"/>
      <c r="BS93" s="5"/>
      <c r="BT93" s="5"/>
    </row>
    <row r="94" spans="1:72" x14ac:dyDescent="0.25">
      <c r="A94" s="6" t="s">
        <v>148</v>
      </c>
      <c r="B94" s="10">
        <v>4724443666</v>
      </c>
      <c r="C94" s="10">
        <v>218124275</v>
      </c>
      <c r="D94" s="10">
        <v>398125350</v>
      </c>
      <c r="E94" s="10">
        <v>0</v>
      </c>
      <c r="F94" s="10">
        <v>75484800</v>
      </c>
      <c r="G94" s="10">
        <v>9193300</v>
      </c>
      <c r="H94" s="10">
        <v>4772800</v>
      </c>
      <c r="I94" s="10">
        <v>282600</v>
      </c>
      <c r="J94" s="10">
        <v>94200</v>
      </c>
      <c r="K94" s="10">
        <v>0</v>
      </c>
      <c r="L94" s="10">
        <v>512620991</v>
      </c>
      <c r="M94" s="10">
        <v>160991350</v>
      </c>
      <c r="N94" s="10">
        <v>2574</v>
      </c>
      <c r="O94" s="10">
        <v>306</v>
      </c>
      <c r="P94" s="10">
        <v>201506875</v>
      </c>
      <c r="Q94" s="10">
        <v>8139500</v>
      </c>
      <c r="R94" s="10">
        <v>37110500</v>
      </c>
      <c r="S94" s="10">
        <v>24569025</v>
      </c>
      <c r="T94" s="10">
        <v>2872525</v>
      </c>
      <c r="U94" s="10">
        <v>3912500</v>
      </c>
      <c r="V94" s="10">
        <v>201288875</v>
      </c>
      <c r="W94" s="10">
        <v>19284850</v>
      </c>
      <c r="X94" s="10">
        <v>37110500</v>
      </c>
      <c r="Y94" s="10">
        <v>24569025</v>
      </c>
      <c r="Z94" s="10">
        <v>9690800</v>
      </c>
      <c r="AA94" s="10">
        <v>3912500</v>
      </c>
      <c r="AB94" s="10">
        <v>-15260104</v>
      </c>
      <c r="AC94" s="10">
        <v>-1219271</v>
      </c>
      <c r="AD94" s="10">
        <v>0</v>
      </c>
      <c r="AE94" s="10">
        <v>0</v>
      </c>
      <c r="AF94" s="10">
        <v>0</v>
      </c>
      <c r="AG94" s="10">
        <v>64783</v>
      </c>
      <c r="AH94" s="3"/>
      <c r="AI94" s="10">
        <v>2033435</v>
      </c>
      <c r="AJ94" s="3"/>
      <c r="AK94" s="10">
        <v>431989443</v>
      </c>
      <c r="AL94" s="10">
        <v>13520684</v>
      </c>
      <c r="AM94" s="10">
        <v>4313370</v>
      </c>
      <c r="AN94" s="10">
        <v>53142155</v>
      </c>
      <c r="AO94" s="10">
        <v>785154</v>
      </c>
      <c r="AP94" s="10">
        <v>22287183</v>
      </c>
      <c r="AQ94" s="10">
        <v>31028700</v>
      </c>
      <c r="AR94" s="10">
        <v>29421533</v>
      </c>
      <c r="AS94" s="10">
        <v>0</v>
      </c>
      <c r="AT94" s="10">
        <v>5659668</v>
      </c>
      <c r="AU94" s="10">
        <v>0</v>
      </c>
      <c r="AV94" s="10">
        <v>0</v>
      </c>
      <c r="AW94" s="10">
        <v>27861</v>
      </c>
      <c r="AX94" s="10">
        <v>13683</v>
      </c>
      <c r="AY94" s="10">
        <v>21500</v>
      </c>
      <c r="AZ94" s="1">
        <v>24947326.850000001</v>
      </c>
      <c r="BA94" s="1">
        <v>13222083</v>
      </c>
      <c r="BB94" s="19">
        <v>10283516.9</v>
      </c>
      <c r="BC94" s="15">
        <v>753902</v>
      </c>
      <c r="BD94" s="15">
        <v>1422457</v>
      </c>
      <c r="BE94" s="20">
        <v>21391230</v>
      </c>
      <c r="BF94" s="20">
        <v>21391230</v>
      </c>
      <c r="BG94" s="20">
        <v>52296067</v>
      </c>
      <c r="BH94" s="20">
        <v>50974141</v>
      </c>
      <c r="BI94" s="19"/>
      <c r="BJ94" s="19"/>
      <c r="BK94" s="19"/>
      <c r="BL94" s="5">
        <v>5959534218</v>
      </c>
      <c r="BM94" s="5">
        <v>5427682735</v>
      </c>
      <c r="BN94" s="15">
        <v>1418000</v>
      </c>
      <c r="BO94" s="3"/>
      <c r="BP94" s="1"/>
      <c r="BQ94" s="1"/>
      <c r="BR94" s="5"/>
      <c r="BS94" s="5"/>
      <c r="BT94" s="5"/>
    </row>
    <row r="95" spans="1:72" x14ac:dyDescent="0.25">
      <c r="A95" s="6" t="s">
        <v>149</v>
      </c>
      <c r="B95" s="10">
        <v>246446420</v>
      </c>
      <c r="C95" s="10">
        <v>121021550</v>
      </c>
      <c r="D95" s="10">
        <v>36242350</v>
      </c>
      <c r="E95" s="10">
        <v>0</v>
      </c>
      <c r="F95" s="10">
        <v>17651900</v>
      </c>
      <c r="G95" s="10">
        <v>2991300</v>
      </c>
      <c r="H95" s="10">
        <v>8362100</v>
      </c>
      <c r="I95" s="10">
        <v>759600</v>
      </c>
      <c r="J95" s="10">
        <v>94200</v>
      </c>
      <c r="K95" s="10">
        <v>23500</v>
      </c>
      <c r="L95" s="10">
        <v>284243990</v>
      </c>
      <c r="M95" s="10">
        <v>24202746</v>
      </c>
      <c r="N95" s="10">
        <v>875</v>
      </c>
      <c r="O95" s="10">
        <v>138</v>
      </c>
      <c r="P95" s="10">
        <v>6480400</v>
      </c>
      <c r="Q95" s="10">
        <v>2283100</v>
      </c>
      <c r="R95" s="10">
        <v>976200</v>
      </c>
      <c r="S95" s="10">
        <v>1530360</v>
      </c>
      <c r="T95" s="10">
        <v>535300</v>
      </c>
      <c r="U95" s="10">
        <v>374400</v>
      </c>
      <c r="V95" s="10">
        <v>6480400</v>
      </c>
      <c r="W95" s="10">
        <v>2430900</v>
      </c>
      <c r="X95" s="10">
        <v>976200</v>
      </c>
      <c r="Y95" s="10">
        <v>1530360</v>
      </c>
      <c r="Z95" s="10">
        <v>804800</v>
      </c>
      <c r="AA95" s="10">
        <v>374400</v>
      </c>
      <c r="AB95" s="10">
        <v>-1447200</v>
      </c>
      <c r="AC95" s="10">
        <v>-10188</v>
      </c>
      <c r="AD95" s="10">
        <v>72112</v>
      </c>
      <c r="AE95" s="10">
        <v>0</v>
      </c>
      <c r="AF95" s="10">
        <v>0</v>
      </c>
      <c r="AG95" s="10">
        <v>201017</v>
      </c>
      <c r="AH95" s="3"/>
      <c r="AI95" s="3"/>
      <c r="AJ95" s="3"/>
      <c r="AK95" s="10">
        <v>69487162</v>
      </c>
      <c r="AL95" s="10">
        <v>2347057</v>
      </c>
      <c r="AM95" s="10">
        <v>109000</v>
      </c>
      <c r="AN95" s="10">
        <v>10042880</v>
      </c>
      <c r="AO95" s="10">
        <v>56388</v>
      </c>
      <c r="AP95" s="10">
        <v>3552054</v>
      </c>
      <c r="AQ95" s="10">
        <v>3599069</v>
      </c>
      <c r="AR95" s="10">
        <v>4080467</v>
      </c>
      <c r="AS95" s="10">
        <v>574482</v>
      </c>
      <c r="AT95" s="10">
        <v>532696</v>
      </c>
      <c r="AU95" s="10">
        <v>0</v>
      </c>
      <c r="AV95" s="10">
        <v>0</v>
      </c>
      <c r="AW95" s="10">
        <v>29618</v>
      </c>
      <c r="AX95" s="10">
        <v>0</v>
      </c>
      <c r="AY95" s="10">
        <v>139000</v>
      </c>
      <c r="AZ95" s="1">
        <v>4012873.39</v>
      </c>
      <c r="BA95" s="1">
        <v>2126823</v>
      </c>
      <c r="BB95" s="19"/>
      <c r="BC95" s="15">
        <v>0</v>
      </c>
      <c r="BD95" s="15">
        <v>0</v>
      </c>
      <c r="BE95" s="20">
        <v>39868071</v>
      </c>
      <c r="BF95" s="20">
        <v>39868071</v>
      </c>
      <c r="BG95" s="20">
        <v>38945353</v>
      </c>
      <c r="BH95" s="20">
        <v>38945353</v>
      </c>
      <c r="BI95" s="19"/>
      <c r="BJ95" s="19"/>
      <c r="BK95" s="19"/>
      <c r="BL95" s="5">
        <v>570183123</v>
      </c>
      <c r="BM95" s="5">
        <v>417408657</v>
      </c>
      <c r="BN95" s="15">
        <v>246300</v>
      </c>
      <c r="BO95" s="3"/>
      <c r="BP95" s="1"/>
      <c r="BQ95" s="1"/>
      <c r="BR95" s="5"/>
      <c r="BS95" s="5"/>
      <c r="BT95" s="5"/>
    </row>
    <row r="96" spans="1:72" x14ac:dyDescent="0.25">
      <c r="A96" s="6" t="s">
        <v>150</v>
      </c>
      <c r="B96" s="10">
        <v>32166797</v>
      </c>
      <c r="C96" s="10">
        <v>31026888</v>
      </c>
      <c r="D96" s="10">
        <v>8253450</v>
      </c>
      <c r="E96" s="10">
        <v>0</v>
      </c>
      <c r="F96" s="10">
        <v>7034200</v>
      </c>
      <c r="G96" s="10">
        <v>7132900</v>
      </c>
      <c r="H96" s="10">
        <v>5656000</v>
      </c>
      <c r="I96" s="10">
        <v>2458700</v>
      </c>
      <c r="J96" s="10">
        <v>26000</v>
      </c>
      <c r="K96" s="10">
        <v>0</v>
      </c>
      <c r="L96" s="10">
        <v>18781112</v>
      </c>
      <c r="M96" s="10">
        <v>19593991</v>
      </c>
      <c r="N96" s="10">
        <v>440</v>
      </c>
      <c r="O96" s="10">
        <v>344</v>
      </c>
      <c r="P96" s="10">
        <v>1860700</v>
      </c>
      <c r="Q96" s="10">
        <v>827500</v>
      </c>
      <c r="R96" s="10">
        <v>456000</v>
      </c>
      <c r="S96" s="10">
        <v>809100</v>
      </c>
      <c r="T96" s="10">
        <v>228600</v>
      </c>
      <c r="U96" s="10">
        <v>15000</v>
      </c>
      <c r="V96" s="10">
        <v>1860700</v>
      </c>
      <c r="W96" s="10">
        <v>827500</v>
      </c>
      <c r="X96" s="10">
        <v>456000</v>
      </c>
      <c r="Y96" s="10">
        <v>809100</v>
      </c>
      <c r="Z96" s="10">
        <v>228600</v>
      </c>
      <c r="AA96" s="10">
        <v>15000</v>
      </c>
      <c r="AB96" s="10">
        <v>-945200</v>
      </c>
      <c r="AC96" s="10">
        <v>0</v>
      </c>
      <c r="AD96" s="10">
        <v>50157</v>
      </c>
      <c r="AE96" s="10">
        <v>0</v>
      </c>
      <c r="AF96" s="10">
        <v>0</v>
      </c>
      <c r="AG96" s="10">
        <v>106393</v>
      </c>
      <c r="AH96" s="10">
        <v>1705</v>
      </c>
      <c r="AI96" s="10">
        <v>886766</v>
      </c>
      <c r="AJ96" s="10">
        <v>1275541</v>
      </c>
      <c r="AK96" s="10">
        <v>19057796</v>
      </c>
      <c r="AL96" s="10">
        <v>498847</v>
      </c>
      <c r="AM96" s="3"/>
      <c r="AN96" s="10">
        <v>2087689</v>
      </c>
      <c r="AO96" s="10">
        <v>5092</v>
      </c>
      <c r="AP96" s="10">
        <v>0</v>
      </c>
      <c r="AQ96" s="10">
        <v>982520</v>
      </c>
      <c r="AR96" s="10">
        <v>69050</v>
      </c>
      <c r="AS96" s="3"/>
      <c r="AT96" s="3"/>
      <c r="AU96" s="3"/>
      <c r="AV96" s="3"/>
      <c r="AW96" s="3"/>
      <c r="AX96" s="3"/>
      <c r="AY96" s="3"/>
      <c r="AZ96" s="1">
        <v>1100584.92</v>
      </c>
      <c r="BA96" s="1">
        <v>583310</v>
      </c>
      <c r="BB96" s="19"/>
      <c r="BC96" s="15">
        <v>0</v>
      </c>
      <c r="BD96" s="15">
        <v>0</v>
      </c>
      <c r="BE96" s="20">
        <v>557322</v>
      </c>
      <c r="BF96" s="20">
        <v>557322</v>
      </c>
      <c r="BG96" s="20">
        <v>14732526</v>
      </c>
      <c r="BH96" s="20">
        <v>14732526</v>
      </c>
      <c r="BI96" s="19"/>
      <c r="BJ96" s="19"/>
      <c r="BK96" s="19"/>
      <c r="BL96" s="5">
        <v>112116249</v>
      </c>
      <c r="BM96" s="5">
        <v>76686448</v>
      </c>
      <c r="BN96" s="15">
        <v>297800</v>
      </c>
      <c r="BO96" s="3"/>
      <c r="BP96" s="1"/>
      <c r="BQ96" s="1"/>
      <c r="BR96" s="5"/>
      <c r="BS96" s="5"/>
      <c r="BT96" s="5"/>
    </row>
    <row r="97" spans="1:72" x14ac:dyDescent="0.25">
      <c r="A97" s="6" t="s">
        <v>151</v>
      </c>
      <c r="B97" s="10">
        <v>316262176</v>
      </c>
      <c r="C97" s="10">
        <v>142285482</v>
      </c>
      <c r="D97" s="10">
        <v>61038610</v>
      </c>
      <c r="E97" s="10">
        <v>0</v>
      </c>
      <c r="F97" s="10">
        <v>20535950</v>
      </c>
      <c r="G97" s="10">
        <v>4649200</v>
      </c>
      <c r="H97" s="10">
        <v>11122235</v>
      </c>
      <c r="I97" s="10">
        <v>1286000</v>
      </c>
      <c r="J97" s="10">
        <v>94200</v>
      </c>
      <c r="K97" s="10">
        <v>0</v>
      </c>
      <c r="L97" s="10">
        <v>243092449</v>
      </c>
      <c r="M97" s="10">
        <v>104672727</v>
      </c>
      <c r="N97" s="10">
        <v>1047</v>
      </c>
      <c r="O97" s="10">
        <v>196</v>
      </c>
      <c r="P97" s="10">
        <v>9618520</v>
      </c>
      <c r="Q97" s="10">
        <v>12533426</v>
      </c>
      <c r="R97" s="10">
        <v>603800</v>
      </c>
      <c r="S97" s="10">
        <v>12187053</v>
      </c>
      <c r="T97" s="10">
        <v>2088968</v>
      </c>
      <c r="U97" s="10">
        <v>3129514</v>
      </c>
      <c r="V97" s="10">
        <v>9618520</v>
      </c>
      <c r="W97" s="10">
        <v>16772070</v>
      </c>
      <c r="X97" s="10">
        <v>603800</v>
      </c>
      <c r="Y97" s="10">
        <v>12187053</v>
      </c>
      <c r="Z97" s="10">
        <v>2071699</v>
      </c>
      <c r="AA97" s="10">
        <v>3129514</v>
      </c>
      <c r="AB97" s="10">
        <v>-1068800</v>
      </c>
      <c r="AC97" s="10">
        <v>0</v>
      </c>
      <c r="AD97" s="10">
        <v>62</v>
      </c>
      <c r="AE97" s="10">
        <v>0</v>
      </c>
      <c r="AF97" s="10">
        <v>0</v>
      </c>
      <c r="AG97" s="10">
        <v>151848</v>
      </c>
      <c r="AH97" s="3"/>
      <c r="AI97" s="10">
        <v>2749347</v>
      </c>
      <c r="AJ97" s="3"/>
      <c r="AK97" s="10">
        <v>89850268</v>
      </c>
      <c r="AL97" s="10">
        <v>2358303</v>
      </c>
      <c r="AM97" s="10">
        <v>0</v>
      </c>
      <c r="AN97" s="10">
        <v>25267417</v>
      </c>
      <c r="AO97" s="10">
        <v>4500961</v>
      </c>
      <c r="AP97" s="10">
        <v>65138204</v>
      </c>
      <c r="AQ97" s="10">
        <v>5690922</v>
      </c>
      <c r="AR97" s="10">
        <v>8006924</v>
      </c>
      <c r="AS97" s="10">
        <v>0</v>
      </c>
      <c r="AT97" s="10">
        <v>212350</v>
      </c>
      <c r="AU97" s="10">
        <v>0</v>
      </c>
      <c r="AV97" s="10">
        <v>0</v>
      </c>
      <c r="AW97" s="10">
        <v>0</v>
      </c>
      <c r="AX97" s="10">
        <v>516458</v>
      </c>
      <c r="AY97" s="10">
        <v>502205</v>
      </c>
      <c r="AZ97" s="1">
        <v>5188839.7699999996</v>
      </c>
      <c r="BA97" s="1">
        <v>2750085</v>
      </c>
      <c r="BB97" s="19">
        <v>1814738.29</v>
      </c>
      <c r="BC97" s="15">
        <v>2106268</v>
      </c>
      <c r="BD97" s="15">
        <v>3974090</v>
      </c>
      <c r="BE97" s="20">
        <v>20689179</v>
      </c>
      <c r="BF97" s="20">
        <v>20689179</v>
      </c>
      <c r="BG97" s="20">
        <v>49683592</v>
      </c>
      <c r="BH97" s="20">
        <v>44770062</v>
      </c>
      <c r="BI97" s="19"/>
      <c r="BJ97" s="19"/>
      <c r="BK97" s="19"/>
      <c r="BL97" s="5">
        <v>720319080</v>
      </c>
      <c r="BM97" s="5">
        <v>557794915</v>
      </c>
      <c r="BN97" s="15">
        <v>748463</v>
      </c>
      <c r="BO97" s="3"/>
      <c r="BP97" s="1"/>
      <c r="BQ97" s="1"/>
      <c r="BR97" s="5"/>
      <c r="BS97" s="5"/>
      <c r="BT97" s="5"/>
    </row>
    <row r="98" spans="1:72" x14ac:dyDescent="0.25">
      <c r="A98" s="6" t="s">
        <v>152</v>
      </c>
      <c r="B98" s="10">
        <v>416587966</v>
      </c>
      <c r="C98" s="10">
        <v>57205041</v>
      </c>
      <c r="D98" s="10">
        <v>276547673</v>
      </c>
      <c r="E98" s="10">
        <v>0</v>
      </c>
      <c r="F98" s="10">
        <v>56496800</v>
      </c>
      <c r="G98" s="10">
        <v>39978700</v>
      </c>
      <c r="H98" s="10">
        <v>11940000</v>
      </c>
      <c r="I98" s="10">
        <v>4262300</v>
      </c>
      <c r="J98" s="10">
        <v>463400</v>
      </c>
      <c r="K98" s="10">
        <v>157000</v>
      </c>
      <c r="L98" s="10">
        <v>59296693</v>
      </c>
      <c r="M98" s="10">
        <v>40872434</v>
      </c>
      <c r="N98" s="10">
        <v>2356</v>
      </c>
      <c r="O98" s="10">
        <v>1612</v>
      </c>
      <c r="P98" s="10">
        <v>8413400</v>
      </c>
      <c r="Q98" s="10">
        <v>729000</v>
      </c>
      <c r="R98" s="10">
        <v>7653600</v>
      </c>
      <c r="S98" s="10">
        <v>1963300</v>
      </c>
      <c r="T98" s="10">
        <v>511700</v>
      </c>
      <c r="U98" s="10">
        <v>521572</v>
      </c>
      <c r="V98" s="10">
        <v>8413400</v>
      </c>
      <c r="W98" s="10">
        <v>729000</v>
      </c>
      <c r="X98" s="10">
        <v>7653600</v>
      </c>
      <c r="Y98" s="10">
        <v>1963300</v>
      </c>
      <c r="Z98" s="10">
        <v>511700</v>
      </c>
      <c r="AA98" s="10">
        <v>521572</v>
      </c>
      <c r="AB98" s="10">
        <v>-13812336</v>
      </c>
      <c r="AC98" s="10">
        <v>-1403432</v>
      </c>
      <c r="AD98" s="10">
        <v>150282</v>
      </c>
      <c r="AE98" s="10">
        <v>35</v>
      </c>
      <c r="AF98" s="10">
        <v>0</v>
      </c>
      <c r="AG98" s="10">
        <v>173972</v>
      </c>
      <c r="AH98" s="10">
        <v>15149402</v>
      </c>
      <c r="AI98" s="10">
        <v>114213544</v>
      </c>
      <c r="AJ98" s="10">
        <v>216364209</v>
      </c>
      <c r="AK98" s="10">
        <v>187088561</v>
      </c>
      <c r="AL98" s="10">
        <v>4378595</v>
      </c>
      <c r="AM98" s="10">
        <v>61000</v>
      </c>
      <c r="AN98" s="10">
        <v>207189095</v>
      </c>
      <c r="AO98" s="10">
        <v>16180529</v>
      </c>
      <c r="AP98" s="10">
        <v>104744336</v>
      </c>
      <c r="AQ98" s="10">
        <v>58473350</v>
      </c>
      <c r="AR98" s="10">
        <v>33112012</v>
      </c>
      <c r="AS98" s="10">
        <v>3017494</v>
      </c>
      <c r="AT98" s="10">
        <v>70904</v>
      </c>
      <c r="AU98" s="10">
        <v>0</v>
      </c>
      <c r="AV98" s="10">
        <v>0</v>
      </c>
      <c r="AW98" s="10">
        <v>34685694</v>
      </c>
      <c r="AX98" s="10">
        <v>9244</v>
      </c>
      <c r="AY98" s="10">
        <v>9292274</v>
      </c>
      <c r="AZ98" s="1">
        <v>10804336.9</v>
      </c>
      <c r="BA98" s="1">
        <v>5726299</v>
      </c>
      <c r="BB98" s="19"/>
      <c r="BC98" s="15">
        <v>5275795</v>
      </c>
      <c r="BD98" s="15">
        <v>9954331</v>
      </c>
      <c r="BE98" s="20">
        <v>14941918</v>
      </c>
      <c r="BF98" s="20">
        <v>14941918</v>
      </c>
      <c r="BG98" s="20">
        <v>67378138</v>
      </c>
      <c r="BH98" s="20">
        <v>59613465</v>
      </c>
      <c r="BI98" s="19"/>
      <c r="BJ98" s="19"/>
      <c r="BK98" s="19"/>
      <c r="BL98" s="5">
        <v>1654935442</v>
      </c>
      <c r="BM98" s="5">
        <v>1377910809</v>
      </c>
      <c r="BN98" s="15">
        <v>1160600</v>
      </c>
      <c r="BO98" s="3"/>
      <c r="BP98" s="1"/>
      <c r="BQ98" s="1"/>
      <c r="BR98" s="5"/>
      <c r="BS98" s="5"/>
      <c r="BT98" s="5"/>
    </row>
    <row r="99" spans="1:72" x14ac:dyDescent="0.25">
      <c r="A99" s="6" t="s">
        <v>153</v>
      </c>
      <c r="B99" s="10">
        <v>909227332</v>
      </c>
      <c r="C99" s="10">
        <v>148328967</v>
      </c>
      <c r="D99" s="10">
        <v>366974038</v>
      </c>
      <c r="E99" s="10">
        <v>0</v>
      </c>
      <c r="F99" s="10">
        <v>118861940</v>
      </c>
      <c r="G99" s="10">
        <v>112557525</v>
      </c>
      <c r="H99" s="10">
        <v>27060500</v>
      </c>
      <c r="I99" s="10">
        <v>17483850</v>
      </c>
      <c r="J99" s="10">
        <v>565200</v>
      </c>
      <c r="K99" s="10">
        <v>188400</v>
      </c>
      <c r="L99" s="10">
        <v>131850697</v>
      </c>
      <c r="M99" s="10">
        <v>141213325</v>
      </c>
      <c r="N99" s="10">
        <v>5349</v>
      </c>
      <c r="O99" s="10">
        <v>5137</v>
      </c>
      <c r="P99" s="10">
        <v>11010900</v>
      </c>
      <c r="Q99" s="10">
        <v>1238000</v>
      </c>
      <c r="R99" s="10">
        <v>9888000</v>
      </c>
      <c r="S99" s="10">
        <v>7540274</v>
      </c>
      <c r="T99" s="10">
        <v>1041000</v>
      </c>
      <c r="U99" s="10">
        <v>2641800</v>
      </c>
      <c r="V99" s="10">
        <v>11010900</v>
      </c>
      <c r="W99" s="10">
        <v>1714473</v>
      </c>
      <c r="X99" s="10">
        <v>9888000</v>
      </c>
      <c r="Y99" s="10">
        <v>7540274</v>
      </c>
      <c r="Z99" s="10">
        <v>3272900</v>
      </c>
      <c r="AA99" s="10">
        <v>2641800</v>
      </c>
      <c r="AB99" s="10">
        <v>-5296815</v>
      </c>
      <c r="AC99" s="10">
        <v>-11657132</v>
      </c>
      <c r="AD99" s="10">
        <v>377658</v>
      </c>
      <c r="AE99" s="10">
        <v>0</v>
      </c>
      <c r="AF99" s="10">
        <v>0</v>
      </c>
      <c r="AG99" s="10">
        <v>411195</v>
      </c>
      <c r="AH99" s="10">
        <v>14918912</v>
      </c>
      <c r="AI99" s="10">
        <v>590637840</v>
      </c>
      <c r="AJ99" s="10">
        <v>328079775</v>
      </c>
      <c r="AK99" s="10">
        <v>434431323</v>
      </c>
      <c r="AL99" s="10">
        <v>9193123</v>
      </c>
      <c r="AM99" s="10">
        <v>0</v>
      </c>
      <c r="AN99" s="10">
        <v>435618561</v>
      </c>
      <c r="AO99" s="10">
        <v>11513491</v>
      </c>
      <c r="AP99" s="10">
        <v>197595702</v>
      </c>
      <c r="AQ99" s="10">
        <v>114993619</v>
      </c>
      <c r="AR99" s="10">
        <v>34714094</v>
      </c>
      <c r="AS99" s="10">
        <v>2838329</v>
      </c>
      <c r="AT99" s="10">
        <v>2306</v>
      </c>
      <c r="AU99" s="10">
        <v>0</v>
      </c>
      <c r="AV99" s="10">
        <v>0</v>
      </c>
      <c r="AW99" s="10">
        <v>0</v>
      </c>
      <c r="AX99" s="10">
        <v>6684</v>
      </c>
      <c r="AY99" s="10">
        <v>1383281</v>
      </c>
      <c r="AZ99" s="1">
        <v>25088345.059999999</v>
      </c>
      <c r="BA99" s="1">
        <v>13296823</v>
      </c>
      <c r="BB99" s="19"/>
      <c r="BC99" s="15">
        <v>6388168</v>
      </c>
      <c r="BD99" s="15">
        <v>12053147</v>
      </c>
      <c r="BE99" s="20">
        <v>38148098</v>
      </c>
      <c r="BF99" s="20">
        <v>38148098</v>
      </c>
      <c r="BG99" s="20">
        <v>215048553</v>
      </c>
      <c r="BH99" s="20">
        <v>204939814</v>
      </c>
      <c r="BI99" s="19"/>
      <c r="BJ99" s="19"/>
      <c r="BK99" s="19"/>
      <c r="BL99" s="5">
        <v>3626689884</v>
      </c>
      <c r="BM99" s="5">
        <v>2920292535</v>
      </c>
      <c r="BN99" s="15">
        <v>12884334</v>
      </c>
      <c r="BO99" s="3"/>
      <c r="BP99" s="1"/>
      <c r="BQ99" s="1"/>
      <c r="BR99" s="5"/>
      <c r="BS99" s="5"/>
      <c r="BT99" s="5"/>
    </row>
    <row r="100" spans="1:72" x14ac:dyDescent="0.25">
      <c r="A100" s="6" t="s">
        <v>154</v>
      </c>
      <c r="B100" s="10">
        <v>223288876</v>
      </c>
      <c r="C100" s="10">
        <v>51550377</v>
      </c>
      <c r="D100" s="10">
        <v>69776794</v>
      </c>
      <c r="E100" s="10">
        <v>0</v>
      </c>
      <c r="F100" s="10">
        <v>17994845</v>
      </c>
      <c r="G100" s="10">
        <v>11311380</v>
      </c>
      <c r="H100" s="10">
        <v>3917488</v>
      </c>
      <c r="I100" s="10">
        <v>1186900</v>
      </c>
      <c r="J100" s="10">
        <v>31400</v>
      </c>
      <c r="K100" s="10">
        <v>0</v>
      </c>
      <c r="L100" s="10">
        <v>23001152</v>
      </c>
      <c r="M100" s="10">
        <v>24432756</v>
      </c>
      <c r="N100" s="10">
        <v>798</v>
      </c>
      <c r="O100" s="10">
        <v>468</v>
      </c>
      <c r="P100" s="10">
        <v>5173650</v>
      </c>
      <c r="Q100" s="10">
        <v>252683</v>
      </c>
      <c r="R100" s="10">
        <v>578600</v>
      </c>
      <c r="S100" s="10">
        <v>206500</v>
      </c>
      <c r="T100" s="10">
        <v>228000</v>
      </c>
      <c r="U100" s="10">
        <v>96100</v>
      </c>
      <c r="V100" s="10">
        <v>5173650</v>
      </c>
      <c r="W100" s="10">
        <v>272683</v>
      </c>
      <c r="X100" s="10">
        <v>578600</v>
      </c>
      <c r="Y100" s="10">
        <v>206500</v>
      </c>
      <c r="Z100" s="10">
        <v>369700</v>
      </c>
      <c r="AA100" s="10">
        <v>96100</v>
      </c>
      <c r="AB100" s="10">
        <v>-1553288</v>
      </c>
      <c r="AC100" s="10">
        <v>-22100</v>
      </c>
      <c r="AD100" s="10">
        <v>63934</v>
      </c>
      <c r="AE100" s="10">
        <v>0</v>
      </c>
      <c r="AF100" s="10">
        <v>0</v>
      </c>
      <c r="AG100" s="10">
        <v>78703</v>
      </c>
      <c r="AH100" s="10">
        <v>449469</v>
      </c>
      <c r="AI100" s="10">
        <v>560459</v>
      </c>
      <c r="AJ100" s="3"/>
      <c r="AK100" s="10">
        <v>69696858</v>
      </c>
      <c r="AL100" s="10">
        <v>1464697</v>
      </c>
      <c r="AM100" s="10">
        <v>0</v>
      </c>
      <c r="AN100" s="10">
        <v>8785438</v>
      </c>
      <c r="AO100" s="10">
        <v>40443</v>
      </c>
      <c r="AP100" s="10">
        <v>8849548</v>
      </c>
      <c r="AQ100" s="10">
        <v>9625880</v>
      </c>
      <c r="AR100" s="10">
        <v>7788567</v>
      </c>
      <c r="AS100" s="10">
        <v>0</v>
      </c>
      <c r="AT100" s="10">
        <v>15230</v>
      </c>
      <c r="AU100" s="10">
        <v>0</v>
      </c>
      <c r="AV100" s="10">
        <v>0</v>
      </c>
      <c r="AW100" s="10">
        <v>0</v>
      </c>
      <c r="AX100" s="10">
        <v>2829132</v>
      </c>
      <c r="AY100" s="10">
        <v>0</v>
      </c>
      <c r="AZ100" s="1">
        <v>4024983.31</v>
      </c>
      <c r="BA100" s="1">
        <v>2133241</v>
      </c>
      <c r="BB100" s="19"/>
      <c r="BC100" s="15">
        <v>0</v>
      </c>
      <c r="BD100" s="15">
        <v>0</v>
      </c>
      <c r="BE100" s="20">
        <v>7833990</v>
      </c>
      <c r="BF100" s="20">
        <v>7833990</v>
      </c>
      <c r="BG100" s="20">
        <v>43077331</v>
      </c>
      <c r="BH100" s="20">
        <v>43077331</v>
      </c>
      <c r="BI100" s="19"/>
      <c r="BJ100" s="19"/>
      <c r="BK100" s="19"/>
      <c r="BL100" s="5">
        <v>488283853</v>
      </c>
      <c r="BM100" s="5">
        <v>364077736</v>
      </c>
      <c r="BN100" s="15">
        <v>782350</v>
      </c>
      <c r="BO100" s="3"/>
      <c r="BP100" s="1"/>
      <c r="BQ100" s="1"/>
      <c r="BR100" s="5"/>
      <c r="BS100" s="5"/>
      <c r="BT100" s="5"/>
    </row>
    <row r="101" spans="1:72" x14ac:dyDescent="0.25">
      <c r="A101" s="6" t="s">
        <v>155</v>
      </c>
      <c r="B101" s="10">
        <v>1949594597</v>
      </c>
      <c r="C101" s="10">
        <v>308729436</v>
      </c>
      <c r="D101" s="10">
        <v>671202237</v>
      </c>
      <c r="E101" s="10">
        <v>0</v>
      </c>
      <c r="F101" s="10">
        <v>135018100</v>
      </c>
      <c r="G101" s="10">
        <v>35075698</v>
      </c>
      <c r="H101" s="10">
        <v>29119800</v>
      </c>
      <c r="I101" s="10">
        <v>4698000</v>
      </c>
      <c r="J101" s="10">
        <v>251200</v>
      </c>
      <c r="K101" s="10">
        <v>31400</v>
      </c>
      <c r="L101" s="10">
        <v>644883251</v>
      </c>
      <c r="M101" s="10">
        <v>0</v>
      </c>
      <c r="N101" s="10">
        <v>5460</v>
      </c>
      <c r="O101" s="10">
        <v>1376</v>
      </c>
      <c r="P101" s="10">
        <v>50409466</v>
      </c>
      <c r="Q101" s="10">
        <v>6506000</v>
      </c>
      <c r="R101" s="10">
        <v>9170000</v>
      </c>
      <c r="S101" s="10">
        <v>1031050</v>
      </c>
      <c r="T101" s="10">
        <v>186000</v>
      </c>
      <c r="U101" s="10">
        <v>470000</v>
      </c>
      <c r="V101" s="10">
        <v>50409466</v>
      </c>
      <c r="W101" s="10">
        <v>10051760</v>
      </c>
      <c r="X101" s="10">
        <v>9170000</v>
      </c>
      <c r="Y101" s="10">
        <v>1031050</v>
      </c>
      <c r="Z101" s="10">
        <v>633400</v>
      </c>
      <c r="AA101" s="10">
        <v>470000</v>
      </c>
      <c r="AB101" s="10">
        <v>-5334000</v>
      </c>
      <c r="AC101" s="10">
        <v>-686605</v>
      </c>
      <c r="AD101" s="10">
        <v>46447</v>
      </c>
      <c r="AE101" s="10">
        <v>0</v>
      </c>
      <c r="AF101" s="10">
        <v>0</v>
      </c>
      <c r="AG101" s="10">
        <v>0</v>
      </c>
      <c r="AH101" s="10">
        <v>141198</v>
      </c>
      <c r="AI101" s="10">
        <v>4740114</v>
      </c>
      <c r="AJ101" s="10">
        <v>1621</v>
      </c>
      <c r="AK101" s="10">
        <v>380548183</v>
      </c>
      <c r="AL101" s="10">
        <v>29953588</v>
      </c>
      <c r="AM101" s="10">
        <v>8322320</v>
      </c>
      <c r="AN101" s="10">
        <v>130462941</v>
      </c>
      <c r="AO101" s="10">
        <v>11403827</v>
      </c>
      <c r="AP101" s="10">
        <v>179486365</v>
      </c>
      <c r="AQ101" s="10">
        <v>108481945</v>
      </c>
      <c r="AR101" s="10">
        <v>130379659</v>
      </c>
      <c r="AS101" s="10">
        <v>1934061</v>
      </c>
      <c r="AT101" s="10">
        <v>4009460</v>
      </c>
      <c r="AU101" s="3"/>
      <c r="AV101" s="10">
        <v>2</v>
      </c>
      <c r="AW101" s="10">
        <v>39999</v>
      </c>
      <c r="AX101" s="10">
        <v>2656075</v>
      </c>
      <c r="AY101" s="10">
        <v>3008495</v>
      </c>
      <c r="AZ101" s="1">
        <v>21976601.640000001</v>
      </c>
      <c r="BA101" s="1">
        <v>11647599</v>
      </c>
      <c r="BB101" s="19"/>
      <c r="BC101" s="15">
        <v>3477367</v>
      </c>
      <c r="BD101" s="15">
        <v>6561070</v>
      </c>
      <c r="BE101" s="20">
        <v>22353589</v>
      </c>
      <c r="BF101" s="20">
        <v>22353589</v>
      </c>
      <c r="BG101" s="20">
        <v>110126844</v>
      </c>
      <c r="BH101" s="20">
        <v>101032462</v>
      </c>
      <c r="BI101" s="19"/>
      <c r="BJ101" s="19"/>
      <c r="BK101" s="19"/>
      <c r="BL101" s="5">
        <v>3733770704</v>
      </c>
      <c r="BM101" s="5">
        <v>3184757916</v>
      </c>
      <c r="BN101" s="15">
        <v>4685000</v>
      </c>
      <c r="BO101" s="3"/>
      <c r="BP101" s="1"/>
      <c r="BQ101" s="1"/>
      <c r="BR101" s="5"/>
      <c r="BS101" s="5"/>
      <c r="BT101" s="5"/>
    </row>
    <row r="102" spans="1:72" x14ac:dyDescent="0.25">
      <c r="A102" s="6" t="s">
        <v>156</v>
      </c>
      <c r="B102" s="10">
        <v>18581360</v>
      </c>
      <c r="C102" s="10">
        <v>31752311</v>
      </c>
      <c r="D102" s="10">
        <v>2868047</v>
      </c>
      <c r="E102" s="10">
        <v>0</v>
      </c>
      <c r="F102" s="10">
        <v>3180072</v>
      </c>
      <c r="G102" s="10">
        <v>672700</v>
      </c>
      <c r="H102" s="10">
        <v>2689898</v>
      </c>
      <c r="I102" s="10">
        <v>383600</v>
      </c>
      <c r="J102" s="10">
        <v>0</v>
      </c>
      <c r="K102" s="10">
        <v>0</v>
      </c>
      <c r="L102" s="10">
        <v>43485072</v>
      </c>
      <c r="M102" s="10">
        <v>0</v>
      </c>
      <c r="N102" s="10">
        <v>198</v>
      </c>
      <c r="O102" s="10">
        <v>38</v>
      </c>
      <c r="P102" s="10">
        <v>577900</v>
      </c>
      <c r="Q102" s="10">
        <v>1100210</v>
      </c>
      <c r="R102" s="10">
        <v>60000</v>
      </c>
      <c r="S102" s="10">
        <v>338550</v>
      </c>
      <c r="T102" s="10">
        <v>313871</v>
      </c>
      <c r="U102" s="10">
        <v>23500</v>
      </c>
      <c r="V102" s="10">
        <v>577900</v>
      </c>
      <c r="W102" s="10">
        <v>1100210</v>
      </c>
      <c r="X102" s="10">
        <v>60000</v>
      </c>
      <c r="Y102" s="10">
        <v>338550</v>
      </c>
      <c r="Z102" s="10">
        <v>399950</v>
      </c>
      <c r="AA102" s="10">
        <v>23500</v>
      </c>
      <c r="AB102" s="10">
        <v>-125695</v>
      </c>
      <c r="AC102" s="10">
        <v>-13569</v>
      </c>
      <c r="AD102" s="10">
        <v>0</v>
      </c>
      <c r="AE102" s="10">
        <v>0</v>
      </c>
      <c r="AF102" s="10">
        <v>0</v>
      </c>
      <c r="AG102" s="10">
        <v>0</v>
      </c>
      <c r="AH102" s="3"/>
      <c r="AI102" s="3"/>
      <c r="AJ102" s="3"/>
      <c r="AK102" s="10">
        <v>12524865</v>
      </c>
      <c r="AL102" s="10">
        <v>227060</v>
      </c>
      <c r="AM102" s="3"/>
      <c r="AN102" s="10">
        <v>692046</v>
      </c>
      <c r="AO102" s="10">
        <v>276</v>
      </c>
      <c r="AP102" s="10">
        <v>0</v>
      </c>
      <c r="AQ102" s="10">
        <v>314091</v>
      </c>
      <c r="AR102" s="10">
        <v>84613</v>
      </c>
      <c r="AS102" s="3"/>
      <c r="AT102" s="3"/>
      <c r="AU102" s="3"/>
      <c r="AV102" s="3"/>
      <c r="AW102" s="3"/>
      <c r="AX102" s="3"/>
      <c r="AY102" s="3"/>
      <c r="AZ102" s="1">
        <v>723309.11</v>
      </c>
      <c r="BA102" s="1">
        <v>383354</v>
      </c>
      <c r="BB102" s="19"/>
      <c r="BC102" s="15">
        <v>0</v>
      </c>
      <c r="BD102" s="15">
        <v>0</v>
      </c>
      <c r="BE102" s="20">
        <v>1858016</v>
      </c>
      <c r="BF102" s="20">
        <v>1858016</v>
      </c>
      <c r="BG102" s="20">
        <v>10178065</v>
      </c>
      <c r="BH102" s="20">
        <v>10178065</v>
      </c>
      <c r="BI102" s="19"/>
      <c r="BJ102" s="19"/>
      <c r="BK102" s="19"/>
      <c r="BL102" s="5">
        <v>79379491</v>
      </c>
      <c r="BM102" s="5">
        <v>54208131</v>
      </c>
      <c r="BN102" s="15">
        <v>71800</v>
      </c>
      <c r="BO102" s="3"/>
      <c r="BP102" s="1"/>
      <c r="BQ102" s="1"/>
      <c r="BR102" s="5"/>
      <c r="BS102" s="5"/>
      <c r="BT102" s="5"/>
    </row>
    <row r="103" spans="1:72" x14ac:dyDescent="0.25">
      <c r="A103" s="6" t="s">
        <v>157</v>
      </c>
      <c r="B103" s="10">
        <v>211605362</v>
      </c>
      <c r="C103" s="10">
        <v>75849160</v>
      </c>
      <c r="D103" s="10">
        <v>58464605</v>
      </c>
      <c r="E103" s="10">
        <v>0</v>
      </c>
      <c r="F103" s="10">
        <v>30016300</v>
      </c>
      <c r="G103" s="10">
        <v>13593850</v>
      </c>
      <c r="H103" s="10">
        <v>11814400</v>
      </c>
      <c r="I103" s="10">
        <v>1976100</v>
      </c>
      <c r="J103" s="10">
        <v>62800</v>
      </c>
      <c r="K103" s="10">
        <v>40400</v>
      </c>
      <c r="L103" s="10">
        <v>73339364</v>
      </c>
      <c r="M103" s="10">
        <v>53437450</v>
      </c>
      <c r="N103" s="10">
        <v>1413</v>
      </c>
      <c r="O103" s="10">
        <v>554</v>
      </c>
      <c r="P103" s="10">
        <v>4254350</v>
      </c>
      <c r="Q103" s="10">
        <v>239500</v>
      </c>
      <c r="R103" s="10">
        <v>150000</v>
      </c>
      <c r="S103" s="10">
        <v>3594050</v>
      </c>
      <c r="T103" s="10">
        <v>419300</v>
      </c>
      <c r="U103" s="10">
        <v>537000</v>
      </c>
      <c r="V103" s="10">
        <v>4254350</v>
      </c>
      <c r="W103" s="10">
        <v>239500</v>
      </c>
      <c r="X103" s="10">
        <v>150000</v>
      </c>
      <c r="Y103" s="10">
        <v>3594050</v>
      </c>
      <c r="Z103" s="10">
        <v>375300</v>
      </c>
      <c r="AA103" s="10">
        <v>537000</v>
      </c>
      <c r="AB103" s="10">
        <v>-3916850</v>
      </c>
      <c r="AC103" s="10">
        <v>-25797</v>
      </c>
      <c r="AD103" s="10">
        <v>81305</v>
      </c>
      <c r="AE103" s="10">
        <v>0</v>
      </c>
      <c r="AF103" s="10">
        <v>0</v>
      </c>
      <c r="AG103" s="10">
        <v>0</v>
      </c>
      <c r="AH103" s="3"/>
      <c r="AI103" s="10">
        <v>192089</v>
      </c>
      <c r="AJ103" s="10">
        <v>0</v>
      </c>
      <c r="AK103" s="10">
        <v>77173660</v>
      </c>
      <c r="AL103" s="10">
        <v>1883917</v>
      </c>
      <c r="AM103" s="10">
        <v>0</v>
      </c>
      <c r="AN103" s="10">
        <v>11318242</v>
      </c>
      <c r="AO103" s="10">
        <v>139860</v>
      </c>
      <c r="AP103" s="10">
        <v>7216751</v>
      </c>
      <c r="AQ103" s="10">
        <v>9341907</v>
      </c>
      <c r="AR103" s="10">
        <v>4008471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135017</v>
      </c>
      <c r="AZ103" s="1">
        <v>4456767.5199999996</v>
      </c>
      <c r="BA103" s="1">
        <v>2362087</v>
      </c>
      <c r="BB103" s="19"/>
      <c r="BC103" s="15">
        <v>2041459</v>
      </c>
      <c r="BD103" s="15">
        <v>3851810</v>
      </c>
      <c r="BE103" s="20">
        <v>3599977</v>
      </c>
      <c r="BF103" s="20">
        <v>3599977</v>
      </c>
      <c r="BG103" s="20">
        <v>32184183</v>
      </c>
      <c r="BH103" s="20">
        <v>29110990</v>
      </c>
      <c r="BI103" s="19"/>
      <c r="BJ103" s="19"/>
      <c r="BK103" s="19"/>
      <c r="BL103" s="5">
        <v>483083315</v>
      </c>
      <c r="BM103" s="5">
        <v>366911225</v>
      </c>
      <c r="BN103" s="15">
        <v>539308</v>
      </c>
      <c r="BO103" s="3"/>
      <c r="BP103" s="1"/>
      <c r="BQ103" s="1"/>
      <c r="BR103" s="5"/>
      <c r="BS103" s="5"/>
      <c r="BT103" s="5"/>
    </row>
    <row r="104" spans="1:72" x14ac:dyDescent="0.25">
      <c r="A104" s="6" t="s">
        <v>158</v>
      </c>
      <c r="B104" s="10">
        <v>477826185</v>
      </c>
      <c r="C104" s="10">
        <v>91190552</v>
      </c>
      <c r="D104" s="10">
        <v>251591716</v>
      </c>
      <c r="E104" s="10">
        <v>0</v>
      </c>
      <c r="F104" s="10">
        <v>33492675</v>
      </c>
      <c r="G104" s="10">
        <v>8878886</v>
      </c>
      <c r="H104" s="10">
        <v>10493155</v>
      </c>
      <c r="I104" s="10">
        <v>1490925</v>
      </c>
      <c r="J104" s="10">
        <v>155100</v>
      </c>
      <c r="K104" s="10">
        <v>0</v>
      </c>
      <c r="L104" s="10">
        <v>82315579</v>
      </c>
      <c r="M104" s="10">
        <v>1950</v>
      </c>
      <c r="N104" s="10">
        <v>1524</v>
      </c>
      <c r="O104" s="10">
        <v>392</v>
      </c>
      <c r="P104" s="10">
        <v>13269086</v>
      </c>
      <c r="Q104" s="10">
        <v>1375610</v>
      </c>
      <c r="R104" s="10">
        <v>17452950</v>
      </c>
      <c r="S104" s="10">
        <v>2109110</v>
      </c>
      <c r="T104" s="10">
        <v>378525</v>
      </c>
      <c r="U104" s="10">
        <v>3886028</v>
      </c>
      <c r="V104" s="10">
        <v>13269086</v>
      </c>
      <c r="W104" s="10">
        <v>1568843</v>
      </c>
      <c r="X104" s="10">
        <v>17452950</v>
      </c>
      <c r="Y104" s="10">
        <v>2109110</v>
      </c>
      <c r="Z104" s="10">
        <v>678950</v>
      </c>
      <c r="AA104" s="10">
        <v>3886028</v>
      </c>
      <c r="AB104" s="10">
        <v>-4603760</v>
      </c>
      <c r="AC104" s="10">
        <v>-123952</v>
      </c>
      <c r="AD104" s="10">
        <v>54872</v>
      </c>
      <c r="AE104" s="10">
        <v>0</v>
      </c>
      <c r="AF104" s="10">
        <v>0</v>
      </c>
      <c r="AG104" s="10">
        <v>74922</v>
      </c>
      <c r="AH104" s="3"/>
      <c r="AI104" s="10">
        <v>70798</v>
      </c>
      <c r="AJ104" s="3"/>
      <c r="AK104" s="10">
        <v>108496855</v>
      </c>
      <c r="AL104" s="10">
        <v>4910173</v>
      </c>
      <c r="AM104" s="10">
        <v>1693325</v>
      </c>
      <c r="AN104" s="10">
        <v>35562743</v>
      </c>
      <c r="AO104" s="10">
        <v>4776589</v>
      </c>
      <c r="AP104" s="10">
        <v>58053111</v>
      </c>
      <c r="AQ104" s="10">
        <v>27980733</v>
      </c>
      <c r="AR104" s="10">
        <v>24764124</v>
      </c>
      <c r="AS104" s="10">
        <v>24546175</v>
      </c>
      <c r="AT104" s="10">
        <v>199746</v>
      </c>
      <c r="AU104" s="10">
        <v>359063</v>
      </c>
      <c r="AV104" s="10">
        <v>0</v>
      </c>
      <c r="AW104" s="10">
        <v>5980</v>
      </c>
      <c r="AX104" s="10">
        <v>5171</v>
      </c>
      <c r="AY104" s="10">
        <v>354000</v>
      </c>
      <c r="AZ104" s="1">
        <v>6265677.4299999997</v>
      </c>
      <c r="BA104" s="1">
        <v>3320809</v>
      </c>
      <c r="BB104" s="19"/>
      <c r="BC104" s="15">
        <v>0</v>
      </c>
      <c r="BD104" s="15">
        <v>0</v>
      </c>
      <c r="BE104" s="20">
        <v>17726291</v>
      </c>
      <c r="BF104" s="20">
        <v>17726291</v>
      </c>
      <c r="BG104" s="20">
        <v>40000479</v>
      </c>
      <c r="BH104" s="20">
        <v>40000479</v>
      </c>
      <c r="BI104" s="19"/>
      <c r="BJ104" s="19"/>
      <c r="BK104" s="19"/>
      <c r="BL104" s="5">
        <v>1063453923</v>
      </c>
      <c r="BM104" s="5">
        <v>888999316</v>
      </c>
      <c r="BN104" s="15">
        <v>3422167</v>
      </c>
      <c r="BO104" s="3"/>
      <c r="BP104" s="1"/>
      <c r="BQ104" s="1"/>
      <c r="BR104" s="5"/>
      <c r="BS104" s="5"/>
      <c r="BT104" s="5"/>
    </row>
    <row r="105" spans="1:72" x14ac:dyDescent="0.25">
      <c r="A105" s="6" t="s">
        <v>159</v>
      </c>
      <c r="B105" s="10">
        <v>354973970</v>
      </c>
      <c r="C105" s="10">
        <v>242144390</v>
      </c>
      <c r="D105" s="10">
        <v>130173628</v>
      </c>
      <c r="E105" s="10">
        <v>10000000</v>
      </c>
      <c r="F105" s="10">
        <v>29636200</v>
      </c>
      <c r="G105" s="10">
        <v>10279150</v>
      </c>
      <c r="H105" s="10">
        <v>26847750</v>
      </c>
      <c r="I105" s="10">
        <v>5245400</v>
      </c>
      <c r="J105" s="10">
        <v>60800</v>
      </c>
      <c r="K105" s="10">
        <v>120200</v>
      </c>
      <c r="L105" s="10">
        <v>218055600</v>
      </c>
      <c r="M105" s="10">
        <v>0</v>
      </c>
      <c r="N105" s="10">
        <v>1951</v>
      </c>
      <c r="O105" s="10">
        <v>567</v>
      </c>
      <c r="P105" s="10">
        <v>68129525</v>
      </c>
      <c r="Q105" s="10">
        <v>6742900</v>
      </c>
      <c r="R105" s="10">
        <v>1800500</v>
      </c>
      <c r="S105" s="10">
        <v>2527440</v>
      </c>
      <c r="T105" s="10">
        <v>63386825</v>
      </c>
      <c r="U105" s="10">
        <v>776250</v>
      </c>
      <c r="V105" s="10">
        <v>68129525</v>
      </c>
      <c r="W105" s="10">
        <v>6742900</v>
      </c>
      <c r="X105" s="10">
        <v>1800500</v>
      </c>
      <c r="Y105" s="10">
        <v>2527440</v>
      </c>
      <c r="Z105" s="10">
        <v>63386825</v>
      </c>
      <c r="AA105" s="10">
        <v>776250</v>
      </c>
      <c r="AB105" s="10">
        <v>-3185900</v>
      </c>
      <c r="AC105" s="10">
        <v>-1657672</v>
      </c>
      <c r="AD105" s="10">
        <v>130147</v>
      </c>
      <c r="AE105" s="10">
        <v>0</v>
      </c>
      <c r="AF105" s="10">
        <v>0</v>
      </c>
      <c r="AG105" s="10">
        <v>130147</v>
      </c>
      <c r="AH105" s="10">
        <v>170619</v>
      </c>
      <c r="AI105" s="3"/>
      <c r="AJ105" s="3"/>
      <c r="AK105" s="10">
        <v>91710538</v>
      </c>
      <c r="AL105" s="10">
        <v>19082207</v>
      </c>
      <c r="AM105" s="10">
        <v>19516759</v>
      </c>
      <c r="AN105" s="10">
        <v>26426733</v>
      </c>
      <c r="AO105" s="10">
        <v>771692</v>
      </c>
      <c r="AP105" s="10">
        <v>64326894</v>
      </c>
      <c r="AQ105" s="10">
        <v>25801504</v>
      </c>
      <c r="AR105" s="10">
        <v>68064285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7700</v>
      </c>
      <c r="AY105" s="10">
        <v>7220776</v>
      </c>
      <c r="AZ105" s="1">
        <v>5296270.09</v>
      </c>
      <c r="BA105" s="1">
        <v>2807023</v>
      </c>
      <c r="BB105" s="19"/>
      <c r="BC105" s="15">
        <v>0</v>
      </c>
      <c r="BD105" s="15">
        <v>0</v>
      </c>
      <c r="BE105" s="20">
        <v>736396</v>
      </c>
      <c r="BF105" s="20">
        <v>736396</v>
      </c>
      <c r="BG105" s="20">
        <v>47102082</v>
      </c>
      <c r="BH105" s="20">
        <v>47099342</v>
      </c>
      <c r="BI105" s="19"/>
      <c r="BJ105" s="19"/>
      <c r="BK105" s="19"/>
      <c r="BL105" s="5">
        <v>941898042</v>
      </c>
      <c r="BM105" s="5">
        <v>780462536</v>
      </c>
      <c r="BN105" s="15">
        <v>4910000</v>
      </c>
      <c r="BO105" s="3"/>
      <c r="BP105" s="1"/>
      <c r="BQ105" s="1"/>
      <c r="BR105" s="5"/>
      <c r="BS105" s="5"/>
      <c r="BT105" s="5"/>
    </row>
    <row r="106" spans="1:72" x14ac:dyDescent="0.25">
      <c r="A106" s="6" t="s">
        <v>160</v>
      </c>
      <c r="B106" s="10">
        <v>2110202053</v>
      </c>
      <c r="C106" s="10">
        <v>270401812</v>
      </c>
      <c r="D106" s="10">
        <v>922440755</v>
      </c>
      <c r="E106" s="10">
        <v>370000000</v>
      </c>
      <c r="F106" s="10">
        <v>49479587</v>
      </c>
      <c r="G106" s="10">
        <v>8115836</v>
      </c>
      <c r="H106" s="10">
        <v>9195418</v>
      </c>
      <c r="I106" s="10">
        <v>742100</v>
      </c>
      <c r="J106" s="10">
        <v>0</v>
      </c>
      <c r="K106" s="10">
        <v>0</v>
      </c>
      <c r="L106" s="10">
        <v>435915346</v>
      </c>
      <c r="M106" s="10">
        <v>213548212</v>
      </c>
      <c r="N106" s="10">
        <v>1897</v>
      </c>
      <c r="O106" s="10">
        <v>294</v>
      </c>
      <c r="P106" s="10">
        <v>142259656</v>
      </c>
      <c r="Q106" s="10">
        <v>11133466</v>
      </c>
      <c r="R106" s="10">
        <v>134758120</v>
      </c>
      <c r="S106" s="10">
        <v>5307186</v>
      </c>
      <c r="T106" s="10">
        <v>3110917</v>
      </c>
      <c r="U106" s="10">
        <v>161233933</v>
      </c>
      <c r="V106" s="10">
        <v>142259656</v>
      </c>
      <c r="W106" s="10">
        <v>12535668</v>
      </c>
      <c r="X106" s="10">
        <v>134758120</v>
      </c>
      <c r="Y106" s="10">
        <v>5307186</v>
      </c>
      <c r="Z106" s="10">
        <v>12613254</v>
      </c>
      <c r="AA106" s="10">
        <v>161233933</v>
      </c>
      <c r="AB106" s="10">
        <v>-7069347</v>
      </c>
      <c r="AC106" s="10">
        <v>-9194</v>
      </c>
      <c r="AD106" s="10">
        <v>0</v>
      </c>
      <c r="AE106" s="10">
        <v>0</v>
      </c>
      <c r="AF106" s="10">
        <v>0</v>
      </c>
      <c r="AG106" s="10">
        <v>152361</v>
      </c>
      <c r="AH106" s="10">
        <v>4349</v>
      </c>
      <c r="AI106" s="10">
        <v>782976</v>
      </c>
      <c r="AJ106" s="3"/>
      <c r="AK106" s="10">
        <v>323462182</v>
      </c>
      <c r="AL106" s="10">
        <v>6382273</v>
      </c>
      <c r="AM106" s="10">
        <v>0</v>
      </c>
      <c r="AN106" s="10">
        <v>93840428</v>
      </c>
      <c r="AO106" s="10">
        <v>10120499</v>
      </c>
      <c r="AP106" s="10">
        <v>171764639</v>
      </c>
      <c r="AQ106" s="10">
        <v>94528683</v>
      </c>
      <c r="AR106" s="10">
        <v>81832950</v>
      </c>
      <c r="AS106" s="10">
        <v>51402101</v>
      </c>
      <c r="AT106" s="10">
        <v>1185599460</v>
      </c>
      <c r="AU106" s="10">
        <v>0</v>
      </c>
      <c r="AV106" s="10">
        <v>0</v>
      </c>
      <c r="AW106" s="10">
        <v>17376</v>
      </c>
      <c r="AX106" s="10">
        <v>3119143</v>
      </c>
      <c r="AY106" s="10">
        <v>9364094</v>
      </c>
      <c r="AZ106" s="1">
        <v>18679893.469999999</v>
      </c>
      <c r="BA106" s="1">
        <v>9900344</v>
      </c>
      <c r="BB106" s="19"/>
      <c r="BC106" s="15">
        <v>3140668</v>
      </c>
      <c r="BD106" s="15">
        <v>5925788</v>
      </c>
      <c r="BE106" s="20">
        <v>50453504</v>
      </c>
      <c r="BF106" s="20">
        <v>50419504</v>
      </c>
      <c r="BG106" s="20">
        <v>68009358</v>
      </c>
      <c r="BH106" s="20">
        <v>59917547</v>
      </c>
      <c r="BI106" s="19"/>
      <c r="BJ106" s="19"/>
      <c r="BK106" s="19"/>
      <c r="BL106" s="5">
        <v>3955544073</v>
      </c>
      <c r="BM106" s="5">
        <v>3502321555</v>
      </c>
      <c r="BN106" s="15">
        <v>3805295</v>
      </c>
      <c r="BO106" s="3"/>
      <c r="BP106" s="1"/>
      <c r="BQ106" s="1"/>
      <c r="BR106" s="5"/>
      <c r="BS106" s="5"/>
      <c r="BT106" s="5"/>
    </row>
    <row r="107" spans="1:72" x14ac:dyDescent="0.25">
      <c r="A107" s="6" t="s">
        <v>161</v>
      </c>
      <c r="B107" s="10">
        <v>1695531397</v>
      </c>
      <c r="C107" s="10">
        <v>419909631</v>
      </c>
      <c r="D107" s="10">
        <v>452384721</v>
      </c>
      <c r="E107" s="10">
        <v>0</v>
      </c>
      <c r="F107" s="10">
        <v>58695408</v>
      </c>
      <c r="G107" s="10">
        <v>4925700</v>
      </c>
      <c r="H107" s="10">
        <v>14420500</v>
      </c>
      <c r="I107" s="10">
        <v>683900</v>
      </c>
      <c r="J107" s="10">
        <v>31400</v>
      </c>
      <c r="K107" s="10">
        <v>0</v>
      </c>
      <c r="L107" s="10">
        <v>685032981</v>
      </c>
      <c r="M107" s="10">
        <v>265577008</v>
      </c>
      <c r="N107" s="10">
        <v>2350</v>
      </c>
      <c r="O107" s="10">
        <v>181</v>
      </c>
      <c r="P107" s="10">
        <v>42953585</v>
      </c>
      <c r="Q107" s="10">
        <v>6161100</v>
      </c>
      <c r="R107" s="10">
        <v>9460894</v>
      </c>
      <c r="S107" s="10">
        <v>16096572</v>
      </c>
      <c r="T107" s="10">
        <v>2959850</v>
      </c>
      <c r="U107" s="10">
        <v>3011432</v>
      </c>
      <c r="V107" s="10">
        <v>42953585</v>
      </c>
      <c r="W107" s="10">
        <v>9032700</v>
      </c>
      <c r="X107" s="10">
        <v>9460894</v>
      </c>
      <c r="Y107" s="10">
        <v>7853422</v>
      </c>
      <c r="Z107" s="10">
        <v>5936006</v>
      </c>
      <c r="AA107" s="10">
        <v>3011432</v>
      </c>
      <c r="AB107" s="10">
        <v>-12041318</v>
      </c>
      <c r="AC107" s="10">
        <v>0</v>
      </c>
      <c r="AD107" s="10">
        <v>147</v>
      </c>
      <c r="AE107" s="10">
        <v>0</v>
      </c>
      <c r="AF107" s="10">
        <v>3712425</v>
      </c>
      <c r="AG107" s="10">
        <v>233235</v>
      </c>
      <c r="AH107" s="3"/>
      <c r="AI107" s="3"/>
      <c r="AJ107" s="3"/>
      <c r="AK107" s="10">
        <v>269434693</v>
      </c>
      <c r="AL107" s="10">
        <v>5965260</v>
      </c>
      <c r="AM107" s="10">
        <v>28000</v>
      </c>
      <c r="AN107" s="10">
        <v>106844907</v>
      </c>
      <c r="AO107" s="10">
        <v>7895427</v>
      </c>
      <c r="AP107" s="10">
        <v>304316433</v>
      </c>
      <c r="AQ107" s="10">
        <v>72706718</v>
      </c>
      <c r="AR107" s="10">
        <v>99921629</v>
      </c>
      <c r="AS107" s="10">
        <v>25703731</v>
      </c>
      <c r="AT107" s="10">
        <v>2242892</v>
      </c>
      <c r="AU107" s="10">
        <v>0</v>
      </c>
      <c r="AV107" s="10">
        <v>0</v>
      </c>
      <c r="AW107" s="10">
        <v>1921100</v>
      </c>
      <c r="AX107" s="10">
        <v>573129</v>
      </c>
      <c r="AY107" s="10">
        <v>531000</v>
      </c>
      <c r="AZ107" s="1">
        <v>15559813.92</v>
      </c>
      <c r="BA107" s="1">
        <v>8246701</v>
      </c>
      <c r="BB107" s="19"/>
      <c r="BC107" s="15">
        <v>2268795</v>
      </c>
      <c r="BD107" s="15">
        <v>4280744</v>
      </c>
      <c r="BE107" s="20">
        <v>38504302</v>
      </c>
      <c r="BF107" s="20">
        <v>37978885</v>
      </c>
      <c r="BG107" s="20">
        <v>58328331</v>
      </c>
      <c r="BH107" s="20">
        <v>52266332</v>
      </c>
      <c r="BI107" s="19"/>
      <c r="BJ107" s="19"/>
      <c r="BK107" s="19"/>
      <c r="BL107" s="5">
        <v>3131433467</v>
      </c>
      <c r="BM107" s="5">
        <v>2755272801</v>
      </c>
      <c r="BN107" s="15">
        <v>1910564</v>
      </c>
      <c r="BO107" s="3"/>
      <c r="BP107" s="1"/>
      <c r="BQ107" s="1"/>
      <c r="BR107" s="5"/>
      <c r="BS107" s="5"/>
      <c r="BT107" s="5"/>
    </row>
    <row r="108" spans="1:72" x14ac:dyDescent="0.25">
      <c r="A108" s="6" t="s">
        <v>162</v>
      </c>
      <c r="B108" s="10">
        <v>485227780</v>
      </c>
      <c r="C108" s="10">
        <v>173914250</v>
      </c>
      <c r="D108" s="10">
        <v>293785050</v>
      </c>
      <c r="E108" s="10">
        <v>0</v>
      </c>
      <c r="F108" s="10">
        <v>35541844</v>
      </c>
      <c r="G108" s="10">
        <v>4370800</v>
      </c>
      <c r="H108" s="10">
        <v>5372850</v>
      </c>
      <c r="I108" s="10">
        <v>533800</v>
      </c>
      <c r="J108" s="10">
        <v>0</v>
      </c>
      <c r="K108" s="10">
        <v>0</v>
      </c>
      <c r="L108" s="10">
        <v>356704791</v>
      </c>
      <c r="M108" s="10">
        <v>88008020</v>
      </c>
      <c r="N108" s="10">
        <v>1332</v>
      </c>
      <c r="O108" s="10">
        <v>166</v>
      </c>
      <c r="P108" s="10">
        <v>12294980</v>
      </c>
      <c r="Q108" s="10">
        <v>2359250</v>
      </c>
      <c r="R108" s="10">
        <v>4307146</v>
      </c>
      <c r="S108" s="10">
        <v>3979394</v>
      </c>
      <c r="T108" s="10">
        <v>1453750</v>
      </c>
      <c r="U108" s="10">
        <v>1943230</v>
      </c>
      <c r="V108" s="10">
        <v>12294980</v>
      </c>
      <c r="W108" s="10">
        <v>2631143</v>
      </c>
      <c r="X108" s="10">
        <v>4307146</v>
      </c>
      <c r="Y108" s="10">
        <v>3979394</v>
      </c>
      <c r="Z108" s="10">
        <v>2287131</v>
      </c>
      <c r="AA108" s="10">
        <v>1943230</v>
      </c>
      <c r="AB108" s="10">
        <v>-1884000</v>
      </c>
      <c r="AC108" s="10">
        <v>-244884</v>
      </c>
      <c r="AD108" s="10">
        <v>0</v>
      </c>
      <c r="AE108" s="10">
        <v>0</v>
      </c>
      <c r="AF108" s="10">
        <v>0</v>
      </c>
      <c r="AG108" s="10">
        <v>1327</v>
      </c>
      <c r="AH108" s="10">
        <v>99811</v>
      </c>
      <c r="AI108" s="10">
        <v>156984</v>
      </c>
      <c r="AJ108" s="3"/>
      <c r="AK108" s="10">
        <v>99670830</v>
      </c>
      <c r="AL108" s="10">
        <v>2192724</v>
      </c>
      <c r="AM108" s="3"/>
      <c r="AN108" s="10">
        <v>50275470</v>
      </c>
      <c r="AO108" s="10">
        <v>7403795</v>
      </c>
      <c r="AP108" s="10">
        <v>172414115</v>
      </c>
      <c r="AQ108" s="10">
        <v>47894808</v>
      </c>
      <c r="AR108" s="10">
        <v>29683993</v>
      </c>
      <c r="AS108" s="10">
        <v>14337595</v>
      </c>
      <c r="AT108" s="10">
        <v>16411596</v>
      </c>
      <c r="AU108" s="3"/>
      <c r="AV108" s="3"/>
      <c r="AW108" s="10">
        <v>3055518</v>
      </c>
      <c r="AX108" s="10">
        <v>78677</v>
      </c>
      <c r="AY108" s="10">
        <v>140000</v>
      </c>
      <c r="AZ108" s="1">
        <v>5755975.7800000003</v>
      </c>
      <c r="BA108" s="1">
        <v>3050667</v>
      </c>
      <c r="BB108" s="19"/>
      <c r="BC108" s="15">
        <v>733143</v>
      </c>
      <c r="BD108" s="15">
        <v>1383289</v>
      </c>
      <c r="BE108" s="20">
        <v>8864734</v>
      </c>
      <c r="BF108" s="20">
        <v>8864734</v>
      </c>
      <c r="BG108" s="20">
        <v>20438437</v>
      </c>
      <c r="BH108" s="20">
        <v>18648459</v>
      </c>
      <c r="BI108" s="19"/>
      <c r="BJ108" s="19">
        <v>4953966</v>
      </c>
      <c r="BK108" s="19"/>
      <c r="BL108" s="5">
        <v>1196872471</v>
      </c>
      <c r="BM108" s="5">
        <v>1058757948</v>
      </c>
      <c r="BN108" s="15">
        <v>1675216</v>
      </c>
      <c r="BO108" s="3"/>
      <c r="BP108" s="1"/>
      <c r="BQ108" s="1"/>
      <c r="BR108" s="5"/>
      <c r="BS108" s="5"/>
      <c r="BT108" s="5"/>
    </row>
    <row r="109" spans="1:72" x14ac:dyDescent="0.25">
      <c r="A109" s="6" t="s">
        <v>163</v>
      </c>
      <c r="B109" s="10">
        <v>784622781</v>
      </c>
      <c r="C109" s="10">
        <v>140120537</v>
      </c>
      <c r="D109" s="10">
        <v>47743038</v>
      </c>
      <c r="E109" s="10">
        <v>0</v>
      </c>
      <c r="F109" s="10">
        <v>20765600</v>
      </c>
      <c r="G109" s="10">
        <v>5176300</v>
      </c>
      <c r="H109" s="10">
        <v>5530271</v>
      </c>
      <c r="I109" s="10">
        <v>565200</v>
      </c>
      <c r="J109" s="10">
        <v>31400</v>
      </c>
      <c r="K109" s="10">
        <v>0</v>
      </c>
      <c r="L109" s="10">
        <v>87851353</v>
      </c>
      <c r="M109" s="10">
        <v>76645119</v>
      </c>
      <c r="N109" s="10">
        <v>858</v>
      </c>
      <c r="O109" s="10">
        <v>188</v>
      </c>
      <c r="P109" s="10">
        <v>37740120</v>
      </c>
      <c r="Q109" s="10">
        <v>8513101</v>
      </c>
      <c r="R109" s="10">
        <v>1180193</v>
      </c>
      <c r="S109" s="10">
        <v>10575056</v>
      </c>
      <c r="T109" s="10">
        <v>2165549</v>
      </c>
      <c r="U109" s="10">
        <v>217900</v>
      </c>
      <c r="V109" s="10">
        <v>37623120</v>
      </c>
      <c r="W109" s="10">
        <v>10962501</v>
      </c>
      <c r="X109" s="10">
        <v>1180193</v>
      </c>
      <c r="Y109" s="10">
        <v>10575056</v>
      </c>
      <c r="Z109" s="10">
        <v>1756392</v>
      </c>
      <c r="AA109" s="10">
        <v>217900</v>
      </c>
      <c r="AB109" s="10">
        <v>-7043228</v>
      </c>
      <c r="AC109" s="10">
        <v>-7838</v>
      </c>
      <c r="AD109" s="10">
        <v>21901</v>
      </c>
      <c r="AE109" s="10">
        <v>0</v>
      </c>
      <c r="AF109" s="10">
        <v>160813683</v>
      </c>
      <c r="AG109" s="10">
        <v>87065</v>
      </c>
      <c r="AH109" s="3"/>
      <c r="AI109" s="3"/>
      <c r="AJ109" s="3"/>
      <c r="AK109" s="10">
        <v>108077894</v>
      </c>
      <c r="AL109" s="10">
        <v>5789753</v>
      </c>
      <c r="AM109" s="10">
        <v>982346</v>
      </c>
      <c r="AN109" s="10">
        <v>6787712</v>
      </c>
      <c r="AO109" s="10">
        <v>29056</v>
      </c>
      <c r="AP109" s="10">
        <v>226770</v>
      </c>
      <c r="AQ109" s="10">
        <v>2647512</v>
      </c>
      <c r="AR109" s="10">
        <v>185719</v>
      </c>
      <c r="AS109" s="10">
        <v>0</v>
      </c>
      <c r="AT109" s="10">
        <v>853739</v>
      </c>
      <c r="AU109" s="10">
        <v>0</v>
      </c>
      <c r="AV109" s="10">
        <v>0</v>
      </c>
      <c r="AW109" s="10">
        <v>0</v>
      </c>
      <c r="AX109" s="10">
        <v>8091</v>
      </c>
      <c r="AY109" s="10">
        <v>200750</v>
      </c>
      <c r="AZ109" s="1">
        <v>6241482.5</v>
      </c>
      <c r="BA109" s="1">
        <v>3307986</v>
      </c>
      <c r="BB109" s="19"/>
      <c r="BC109" s="15">
        <v>0</v>
      </c>
      <c r="BD109" s="15">
        <v>0</v>
      </c>
      <c r="BE109" s="20">
        <v>299302</v>
      </c>
      <c r="BF109" s="20">
        <v>299302</v>
      </c>
      <c r="BG109" s="20">
        <v>16250422</v>
      </c>
      <c r="BH109" s="20">
        <v>16250422</v>
      </c>
      <c r="BI109" s="19"/>
      <c r="BJ109" s="19"/>
      <c r="BK109" s="19"/>
      <c r="BL109" s="5">
        <v>1115675993</v>
      </c>
      <c r="BM109" s="5">
        <v>981950636</v>
      </c>
      <c r="BN109" s="15">
        <v>133413</v>
      </c>
      <c r="BO109" s="3"/>
      <c r="BP109" s="1"/>
      <c r="BQ109" s="1"/>
      <c r="BR109" s="5"/>
      <c r="BS109" s="5"/>
      <c r="BT109" s="5"/>
    </row>
    <row r="110" spans="1:72" x14ac:dyDescent="0.25">
      <c r="A110" s="6" t="s">
        <v>164</v>
      </c>
      <c r="B110" s="10">
        <v>558469970</v>
      </c>
      <c r="C110" s="10">
        <v>119681528</v>
      </c>
      <c r="D110" s="10">
        <v>243602277</v>
      </c>
      <c r="E110" s="10">
        <v>0</v>
      </c>
      <c r="F110" s="10">
        <v>49861085</v>
      </c>
      <c r="G110" s="10">
        <v>19092925</v>
      </c>
      <c r="H110" s="10">
        <v>10942075</v>
      </c>
      <c r="I110" s="10">
        <v>1940850</v>
      </c>
      <c r="J110" s="10">
        <v>157000</v>
      </c>
      <c r="K110" s="10">
        <v>56400</v>
      </c>
      <c r="L110" s="10">
        <v>237427603</v>
      </c>
      <c r="M110" s="10">
        <v>82335675</v>
      </c>
      <c r="N110" s="10">
        <v>2009</v>
      </c>
      <c r="O110" s="10">
        <v>737</v>
      </c>
      <c r="P110" s="10">
        <v>12048874</v>
      </c>
      <c r="Q110" s="10">
        <v>1184100</v>
      </c>
      <c r="R110" s="10">
        <v>4494188</v>
      </c>
      <c r="S110" s="10">
        <v>1657110</v>
      </c>
      <c r="T110" s="10">
        <v>23800</v>
      </c>
      <c r="U110" s="10">
        <v>2242670</v>
      </c>
      <c r="V110" s="10">
        <v>12048874</v>
      </c>
      <c r="W110" s="10">
        <v>1402100</v>
      </c>
      <c r="X110" s="10">
        <v>4494188</v>
      </c>
      <c r="Y110" s="10">
        <v>1657110</v>
      </c>
      <c r="Z110" s="10">
        <v>44300</v>
      </c>
      <c r="AA110" s="10">
        <v>2242670</v>
      </c>
      <c r="AB110" s="10">
        <v>-3871251</v>
      </c>
      <c r="AC110" s="10">
        <v>-114232</v>
      </c>
      <c r="AD110" s="10">
        <v>52263</v>
      </c>
      <c r="AE110" s="10">
        <v>0</v>
      </c>
      <c r="AF110" s="10">
        <v>0</v>
      </c>
      <c r="AG110" s="10">
        <v>138018</v>
      </c>
      <c r="AH110" s="3"/>
      <c r="AI110" s="10">
        <v>20653</v>
      </c>
      <c r="AJ110" s="3"/>
      <c r="AK110" s="10">
        <v>130029074</v>
      </c>
      <c r="AL110" s="10">
        <v>4329505</v>
      </c>
      <c r="AM110" s="10">
        <v>5499125</v>
      </c>
      <c r="AN110" s="10">
        <v>64079292</v>
      </c>
      <c r="AO110" s="10">
        <v>2403348</v>
      </c>
      <c r="AP110" s="10">
        <v>43157230</v>
      </c>
      <c r="AQ110" s="10">
        <v>38308816</v>
      </c>
      <c r="AR110" s="10">
        <v>23417263</v>
      </c>
      <c r="AS110" s="10">
        <v>106121571</v>
      </c>
      <c r="AT110" s="10">
        <v>531302</v>
      </c>
      <c r="AU110" s="10">
        <v>0</v>
      </c>
      <c r="AV110" s="10">
        <v>0</v>
      </c>
      <c r="AW110" s="10">
        <v>13074</v>
      </c>
      <c r="AX110" s="10">
        <v>0</v>
      </c>
      <c r="AY110" s="10">
        <v>329500</v>
      </c>
      <c r="AZ110" s="1">
        <v>7509159.9100000001</v>
      </c>
      <c r="BA110" s="1">
        <v>3979855</v>
      </c>
      <c r="BB110" s="19"/>
      <c r="BC110" s="15">
        <v>0</v>
      </c>
      <c r="BD110" s="15">
        <v>0</v>
      </c>
      <c r="BE110" s="20">
        <v>11198266</v>
      </c>
      <c r="BF110" s="20">
        <v>11198266</v>
      </c>
      <c r="BG110" s="20">
        <v>38078657</v>
      </c>
      <c r="BH110" s="20">
        <v>38067895</v>
      </c>
      <c r="BI110" s="19"/>
      <c r="BJ110" s="19"/>
      <c r="BK110" s="19"/>
      <c r="BL110" s="5">
        <v>1214170479</v>
      </c>
      <c r="BM110" s="5">
        <v>1026565884</v>
      </c>
      <c r="BN110" s="15">
        <v>1468000</v>
      </c>
      <c r="BO110" s="3"/>
      <c r="BP110" s="1"/>
      <c r="BQ110" s="1"/>
      <c r="BR110" s="5"/>
      <c r="BS110" s="5"/>
      <c r="BT110" s="5"/>
    </row>
    <row r="111" spans="1:72" x14ac:dyDescent="0.25">
      <c r="A111" s="6" t="s">
        <v>165</v>
      </c>
      <c r="B111" s="10">
        <v>178575845</v>
      </c>
      <c r="C111" s="10">
        <v>136058837</v>
      </c>
      <c r="D111" s="10">
        <v>52949359</v>
      </c>
      <c r="E111" s="10">
        <v>0</v>
      </c>
      <c r="F111" s="10">
        <v>22588186</v>
      </c>
      <c r="G111" s="10">
        <v>3575159</v>
      </c>
      <c r="H111" s="10">
        <v>8563982</v>
      </c>
      <c r="I111" s="10">
        <v>247440</v>
      </c>
      <c r="J111" s="10">
        <v>0</v>
      </c>
      <c r="K111" s="10">
        <v>0</v>
      </c>
      <c r="L111" s="10">
        <v>276304123</v>
      </c>
      <c r="M111" s="10">
        <v>51419726</v>
      </c>
      <c r="N111" s="10">
        <v>1059</v>
      </c>
      <c r="O111" s="10">
        <v>136</v>
      </c>
      <c r="P111" s="10">
        <v>4087408</v>
      </c>
      <c r="Q111" s="10">
        <v>785160</v>
      </c>
      <c r="R111" s="10">
        <v>1185550</v>
      </c>
      <c r="S111" s="10">
        <v>1054950</v>
      </c>
      <c r="T111" s="10">
        <v>0</v>
      </c>
      <c r="U111" s="10">
        <v>297560</v>
      </c>
      <c r="V111" s="10">
        <v>4087408</v>
      </c>
      <c r="W111" s="10">
        <v>0</v>
      </c>
      <c r="X111" s="10">
        <v>1185550</v>
      </c>
      <c r="Y111" s="10">
        <v>1054950</v>
      </c>
      <c r="Z111" s="10">
        <v>26245</v>
      </c>
      <c r="AA111" s="10">
        <v>297560</v>
      </c>
      <c r="AB111" s="10">
        <v>-973229</v>
      </c>
      <c r="AC111" s="10">
        <v>-429</v>
      </c>
      <c r="AD111" s="10">
        <v>70892</v>
      </c>
      <c r="AE111" s="10">
        <v>81766</v>
      </c>
      <c r="AF111" s="10">
        <v>77682977</v>
      </c>
      <c r="AG111" s="10">
        <v>227311</v>
      </c>
      <c r="AH111" s="10">
        <v>175375</v>
      </c>
      <c r="AI111" s="10">
        <v>4347</v>
      </c>
      <c r="AJ111" s="3"/>
      <c r="AK111" s="10">
        <v>60374922</v>
      </c>
      <c r="AL111" s="10">
        <v>1179982</v>
      </c>
      <c r="AM111" s="10">
        <v>0</v>
      </c>
      <c r="AN111" s="10">
        <v>10684922</v>
      </c>
      <c r="AO111" s="10">
        <v>1568278</v>
      </c>
      <c r="AP111" s="10">
        <v>12044353</v>
      </c>
      <c r="AQ111" s="10">
        <v>7203589</v>
      </c>
      <c r="AR111" s="10">
        <v>7130799</v>
      </c>
      <c r="AS111" s="10">
        <v>681877</v>
      </c>
      <c r="AT111" s="10">
        <v>4240856</v>
      </c>
      <c r="AU111" s="10">
        <v>0</v>
      </c>
      <c r="AV111" s="10">
        <v>769609</v>
      </c>
      <c r="AW111" s="10">
        <v>5201970</v>
      </c>
      <c r="AX111" s="10">
        <v>10212</v>
      </c>
      <c r="AY111" s="10">
        <v>0</v>
      </c>
      <c r="AZ111" s="1">
        <v>3486642.87</v>
      </c>
      <c r="BA111" s="1">
        <v>1847921</v>
      </c>
      <c r="BB111" s="19"/>
      <c r="BC111" s="15">
        <v>1125537</v>
      </c>
      <c r="BD111" s="15">
        <v>2123654</v>
      </c>
      <c r="BE111" s="20">
        <v>5910415</v>
      </c>
      <c r="BF111" s="20">
        <v>5910415</v>
      </c>
      <c r="BG111" s="20">
        <v>44076169</v>
      </c>
      <c r="BH111" s="20">
        <v>32683683</v>
      </c>
      <c r="BI111" s="19"/>
      <c r="BJ111" s="19"/>
      <c r="BK111" s="19"/>
      <c r="BL111" s="5">
        <v>490343012</v>
      </c>
      <c r="BM111" s="5">
        <v>387220552</v>
      </c>
      <c r="BN111" s="15">
        <v>855372</v>
      </c>
      <c r="BO111" s="3"/>
      <c r="BP111" s="1"/>
      <c r="BQ111" s="1"/>
      <c r="BR111" s="5"/>
      <c r="BS111" s="5"/>
      <c r="BT111" s="5"/>
    </row>
    <row r="112" spans="1:72" x14ac:dyDescent="0.25">
      <c r="A112" s="6" t="s">
        <v>166</v>
      </c>
      <c r="B112" s="10">
        <v>532525543</v>
      </c>
      <c r="C112" s="10">
        <v>82207050</v>
      </c>
      <c r="D112" s="10">
        <v>73018271</v>
      </c>
      <c r="E112" s="10">
        <v>0</v>
      </c>
      <c r="F112" s="10">
        <v>38343215</v>
      </c>
      <c r="G112" s="10">
        <v>7947850</v>
      </c>
      <c r="H112" s="10">
        <v>5229645</v>
      </c>
      <c r="I112" s="10">
        <v>563549</v>
      </c>
      <c r="J112" s="10">
        <v>81800</v>
      </c>
      <c r="K112" s="10">
        <v>0</v>
      </c>
      <c r="L112" s="10">
        <v>316875317</v>
      </c>
      <c r="M112" s="10">
        <v>47754918</v>
      </c>
      <c r="N112" s="10">
        <v>1466</v>
      </c>
      <c r="O112" s="10">
        <v>300</v>
      </c>
      <c r="P112" s="10">
        <v>20109249</v>
      </c>
      <c r="Q112" s="10">
        <v>507600</v>
      </c>
      <c r="R112" s="10">
        <v>685000</v>
      </c>
      <c r="S112" s="10">
        <v>1957481</v>
      </c>
      <c r="T112" s="10">
        <v>0</v>
      </c>
      <c r="U112" s="10">
        <v>736341</v>
      </c>
      <c r="V112" s="10">
        <v>20109249</v>
      </c>
      <c r="W112" s="10">
        <v>507600</v>
      </c>
      <c r="X112" s="10">
        <v>685000</v>
      </c>
      <c r="Y112" s="10">
        <v>1957481</v>
      </c>
      <c r="Z112" s="10">
        <v>605744</v>
      </c>
      <c r="AA112" s="10">
        <v>736341</v>
      </c>
      <c r="AB112" s="10">
        <v>-3479473</v>
      </c>
      <c r="AC112" s="10">
        <v>51442</v>
      </c>
      <c r="AD112" s="10">
        <v>67237</v>
      </c>
      <c r="AE112" s="10">
        <v>0</v>
      </c>
      <c r="AF112" s="10">
        <v>0</v>
      </c>
      <c r="AG112" s="10">
        <v>1018</v>
      </c>
      <c r="AH112" s="3"/>
      <c r="AI112" s="10">
        <v>106468</v>
      </c>
      <c r="AJ112" s="3"/>
      <c r="AK112" s="10">
        <v>88442250</v>
      </c>
      <c r="AL112" s="10">
        <v>11914671</v>
      </c>
      <c r="AM112" s="10">
        <v>1184606</v>
      </c>
      <c r="AN112" s="10">
        <v>10793958</v>
      </c>
      <c r="AO112" s="10">
        <v>301831</v>
      </c>
      <c r="AP112" s="10">
        <v>60096274</v>
      </c>
      <c r="AQ112" s="10">
        <v>8678483</v>
      </c>
      <c r="AR112" s="10">
        <v>12403816</v>
      </c>
      <c r="AS112" s="10">
        <v>1133527</v>
      </c>
      <c r="AT112" s="10">
        <v>991120</v>
      </c>
      <c r="AU112" s="10">
        <v>0</v>
      </c>
      <c r="AV112" s="10">
        <v>0</v>
      </c>
      <c r="AW112" s="10">
        <v>160423471</v>
      </c>
      <c r="AX112" s="10">
        <v>484</v>
      </c>
      <c r="AY112" s="10">
        <v>30000</v>
      </c>
      <c r="AZ112" s="1">
        <v>5107526.9400000004</v>
      </c>
      <c r="BA112" s="1">
        <v>2706989</v>
      </c>
      <c r="BB112" s="19">
        <v>16349086.85</v>
      </c>
      <c r="BC112" s="15">
        <v>0</v>
      </c>
      <c r="BD112" s="15">
        <v>0</v>
      </c>
      <c r="BE112" s="20">
        <v>3338462</v>
      </c>
      <c r="BF112" s="20">
        <v>3338462</v>
      </c>
      <c r="BG112" s="20">
        <v>19205345</v>
      </c>
      <c r="BH112" s="20">
        <v>19193405</v>
      </c>
      <c r="BI112" s="19"/>
      <c r="BJ112" s="19"/>
      <c r="BK112" s="19"/>
      <c r="BL112" s="5">
        <v>833227381</v>
      </c>
      <c r="BM112" s="5">
        <v>707631604</v>
      </c>
      <c r="BN112" s="15">
        <v>523737</v>
      </c>
      <c r="BO112" s="3"/>
      <c r="BP112" s="1"/>
      <c r="BQ112" s="1"/>
      <c r="BR112" s="5"/>
      <c r="BS112" s="5"/>
      <c r="BT112" s="5"/>
    </row>
    <row r="113" spans="1:72" x14ac:dyDescent="0.25">
      <c r="A113" s="6" t="s">
        <v>167</v>
      </c>
      <c r="B113" s="10">
        <v>188665800</v>
      </c>
      <c r="C113" s="10">
        <v>78667700</v>
      </c>
      <c r="D113" s="10">
        <v>16041400</v>
      </c>
      <c r="E113" s="10">
        <v>0</v>
      </c>
      <c r="F113" s="10">
        <v>12150200</v>
      </c>
      <c r="G113" s="10">
        <v>3762000</v>
      </c>
      <c r="H113" s="10">
        <v>4890100</v>
      </c>
      <c r="I113" s="10">
        <v>768600</v>
      </c>
      <c r="J113" s="10">
        <v>0</v>
      </c>
      <c r="K113" s="10">
        <v>0</v>
      </c>
      <c r="L113" s="10">
        <v>105099700</v>
      </c>
      <c r="M113" s="10">
        <v>51674300</v>
      </c>
      <c r="N113" s="10">
        <v>566</v>
      </c>
      <c r="O113" s="10">
        <v>155</v>
      </c>
      <c r="P113" s="10">
        <v>4579700</v>
      </c>
      <c r="Q113" s="10">
        <v>2375700</v>
      </c>
      <c r="R113" s="10">
        <v>353200</v>
      </c>
      <c r="S113" s="10">
        <v>2027900</v>
      </c>
      <c r="T113" s="10">
        <v>720400</v>
      </c>
      <c r="U113" s="10">
        <v>9000</v>
      </c>
      <c r="V113" s="10">
        <v>4579700</v>
      </c>
      <c r="W113" s="10">
        <v>2921300</v>
      </c>
      <c r="X113" s="10">
        <v>353200</v>
      </c>
      <c r="Y113" s="10">
        <v>2027900</v>
      </c>
      <c r="Z113" s="10">
        <v>735000</v>
      </c>
      <c r="AA113" s="10">
        <v>9000</v>
      </c>
      <c r="AB113" s="10">
        <v>-1193900</v>
      </c>
      <c r="AC113" s="10">
        <v>-55768</v>
      </c>
      <c r="AD113" s="10">
        <v>41367</v>
      </c>
      <c r="AE113" s="10">
        <v>88746</v>
      </c>
      <c r="AF113" s="10">
        <v>39102000</v>
      </c>
      <c r="AG113" s="10">
        <v>82779</v>
      </c>
      <c r="AH113" s="3"/>
      <c r="AI113" s="10">
        <v>27484</v>
      </c>
      <c r="AJ113" s="3"/>
      <c r="AK113" s="10">
        <v>55208067</v>
      </c>
      <c r="AL113" s="10">
        <v>1724702</v>
      </c>
      <c r="AM113" s="10">
        <v>35000</v>
      </c>
      <c r="AN113" s="10">
        <v>10746198</v>
      </c>
      <c r="AO113" s="10">
        <v>30925</v>
      </c>
      <c r="AP113" s="10">
        <v>443598</v>
      </c>
      <c r="AQ113" s="10">
        <v>2032979</v>
      </c>
      <c r="AR113" s="10">
        <v>135190</v>
      </c>
      <c r="AS113" s="3"/>
      <c r="AT113" s="10">
        <v>47650</v>
      </c>
      <c r="AU113" s="3"/>
      <c r="AV113" s="3"/>
      <c r="AW113" s="3"/>
      <c r="AX113" s="10">
        <v>18806</v>
      </c>
      <c r="AY113" s="3"/>
      <c r="AZ113" s="1">
        <v>3188257.76</v>
      </c>
      <c r="BA113" s="1">
        <v>1689777</v>
      </c>
      <c r="BB113" s="19">
        <v>12703168</v>
      </c>
      <c r="BC113" s="15">
        <v>0</v>
      </c>
      <c r="BD113" s="15">
        <v>0</v>
      </c>
      <c r="BE113" s="20">
        <v>71980337</v>
      </c>
      <c r="BF113" s="20">
        <v>71980337</v>
      </c>
      <c r="BG113" s="20">
        <v>44245000</v>
      </c>
      <c r="BH113" s="20">
        <v>44245000</v>
      </c>
      <c r="BI113" s="19"/>
      <c r="BJ113" s="19"/>
      <c r="BK113" s="19"/>
      <c r="BL113" s="5">
        <v>471060369</v>
      </c>
      <c r="BM113" s="5">
        <v>296212486</v>
      </c>
      <c r="BN113" s="15">
        <v>297000</v>
      </c>
      <c r="BO113" s="3"/>
      <c r="BP113" s="1"/>
      <c r="BQ113" s="1"/>
      <c r="BR113" s="5"/>
      <c r="BS113" s="5"/>
      <c r="BT113" s="5"/>
    </row>
    <row r="114" spans="1:72" x14ac:dyDescent="0.25">
      <c r="A114" s="6" t="s">
        <v>168</v>
      </c>
      <c r="B114" s="10">
        <v>238387918</v>
      </c>
      <c r="C114" s="10">
        <v>129914981</v>
      </c>
      <c r="D114" s="10">
        <v>79676703</v>
      </c>
      <c r="E114" s="10">
        <v>1310000</v>
      </c>
      <c r="F114" s="10">
        <v>30225694</v>
      </c>
      <c r="G114" s="10">
        <v>7154400</v>
      </c>
      <c r="H114" s="10">
        <v>4467035</v>
      </c>
      <c r="I114" s="10">
        <v>345400</v>
      </c>
      <c r="J114" s="10">
        <v>65955</v>
      </c>
      <c r="K114" s="10">
        <v>31400</v>
      </c>
      <c r="L114" s="10">
        <v>329274250</v>
      </c>
      <c r="M114" s="10">
        <v>0</v>
      </c>
      <c r="N114" s="10">
        <v>1199</v>
      </c>
      <c r="O114" s="10">
        <v>272</v>
      </c>
      <c r="P114" s="10">
        <v>2995100</v>
      </c>
      <c r="Q114" s="10">
        <v>1063432</v>
      </c>
      <c r="R114" s="10">
        <v>2648320</v>
      </c>
      <c r="S114" s="10">
        <v>1864469</v>
      </c>
      <c r="T114" s="10">
        <v>515030</v>
      </c>
      <c r="U114" s="10">
        <v>982795</v>
      </c>
      <c r="V114" s="10">
        <v>2995100</v>
      </c>
      <c r="W114" s="10">
        <v>1148295</v>
      </c>
      <c r="X114" s="10">
        <v>2648320</v>
      </c>
      <c r="Y114" s="10">
        <v>1864469</v>
      </c>
      <c r="Z114" s="10">
        <v>1167435</v>
      </c>
      <c r="AA114" s="10">
        <v>982795</v>
      </c>
      <c r="AB114" s="10">
        <v>-1261800</v>
      </c>
      <c r="AC114" s="10">
        <v>-2847</v>
      </c>
      <c r="AD114" s="10">
        <v>7934</v>
      </c>
      <c r="AE114" s="10">
        <v>260010</v>
      </c>
      <c r="AF114" s="10">
        <v>32132801</v>
      </c>
      <c r="AG114" s="10">
        <v>190137</v>
      </c>
      <c r="AH114" s="10">
        <v>31077574</v>
      </c>
      <c r="AI114" s="3"/>
      <c r="AJ114" s="10">
        <v>9739915</v>
      </c>
      <c r="AK114" s="10">
        <v>97212280</v>
      </c>
      <c r="AL114" s="10">
        <v>3099796</v>
      </c>
      <c r="AM114" s="10">
        <v>10500</v>
      </c>
      <c r="AN114" s="10">
        <v>46751278</v>
      </c>
      <c r="AO114" s="10">
        <v>4153854</v>
      </c>
      <c r="AP114" s="10">
        <v>49635754</v>
      </c>
      <c r="AQ114" s="10">
        <v>25181016</v>
      </c>
      <c r="AR114" s="10">
        <v>12113596</v>
      </c>
      <c r="AS114" s="10">
        <v>59944660</v>
      </c>
      <c r="AT114" s="10">
        <v>513392</v>
      </c>
      <c r="AU114" s="10">
        <v>0</v>
      </c>
      <c r="AV114" s="10">
        <v>0</v>
      </c>
      <c r="AW114" s="10">
        <v>8756403</v>
      </c>
      <c r="AX114" s="10">
        <v>1707001</v>
      </c>
      <c r="AY114" s="10">
        <v>1489546</v>
      </c>
      <c r="AZ114" s="1">
        <v>5613994.8799999999</v>
      </c>
      <c r="BA114" s="1">
        <v>2975417</v>
      </c>
      <c r="BB114" s="19">
        <v>29099995.800000001</v>
      </c>
      <c r="BC114" s="15">
        <v>0</v>
      </c>
      <c r="BD114" s="15">
        <v>0</v>
      </c>
      <c r="BE114" s="20">
        <v>1395733</v>
      </c>
      <c r="BF114" s="20">
        <v>1395733</v>
      </c>
      <c r="BG114" s="20">
        <v>27712192</v>
      </c>
      <c r="BH114" s="20">
        <v>27712192</v>
      </c>
      <c r="BI114" s="19"/>
      <c r="BJ114" s="19"/>
      <c r="BK114" s="19"/>
      <c r="BL114" s="5">
        <v>697278657</v>
      </c>
      <c r="BM114" s="5">
        <v>564883239</v>
      </c>
      <c r="BN114" s="15">
        <v>999315</v>
      </c>
      <c r="BO114" s="3"/>
      <c r="BP114" s="1"/>
      <c r="BQ114" s="1"/>
      <c r="BR114" s="5"/>
      <c r="BS114" s="5"/>
      <c r="BT114" s="5"/>
    </row>
    <row r="115" spans="1:72" x14ac:dyDescent="0.25">
      <c r="A115" s="6" t="s">
        <v>169</v>
      </c>
      <c r="B115" s="10">
        <v>3714544162</v>
      </c>
      <c r="C115" s="10">
        <v>351418780</v>
      </c>
      <c r="D115" s="10">
        <v>1933459990</v>
      </c>
      <c r="E115" s="10">
        <v>193196550</v>
      </c>
      <c r="F115" s="10">
        <v>154808110</v>
      </c>
      <c r="G115" s="10">
        <v>19519980</v>
      </c>
      <c r="H115" s="10">
        <v>20362220</v>
      </c>
      <c r="I115" s="10">
        <v>1697060</v>
      </c>
      <c r="J115" s="10">
        <v>314000</v>
      </c>
      <c r="K115" s="10">
        <v>31400</v>
      </c>
      <c r="L115" s="10">
        <v>466644340</v>
      </c>
      <c r="M115" s="10">
        <v>0</v>
      </c>
      <c r="N115" s="10">
        <v>5689</v>
      </c>
      <c r="O115" s="10">
        <v>722</v>
      </c>
      <c r="P115" s="10">
        <v>169736030</v>
      </c>
      <c r="Q115" s="10">
        <v>12606120</v>
      </c>
      <c r="R115" s="10">
        <v>68591640</v>
      </c>
      <c r="S115" s="10">
        <v>2327320</v>
      </c>
      <c r="T115" s="10">
        <v>255100</v>
      </c>
      <c r="U115" s="10">
        <v>2216750</v>
      </c>
      <c r="V115" s="10">
        <v>169736030</v>
      </c>
      <c r="W115" s="10">
        <v>12606120</v>
      </c>
      <c r="X115" s="10">
        <v>68591640</v>
      </c>
      <c r="Y115" s="10">
        <v>2327320</v>
      </c>
      <c r="Z115" s="10">
        <v>255100</v>
      </c>
      <c r="AA115" s="10">
        <v>2216750</v>
      </c>
      <c r="AB115" s="10">
        <v>-17770900</v>
      </c>
      <c r="AC115" s="10">
        <v>-241447</v>
      </c>
      <c r="AD115" s="10">
        <v>72962</v>
      </c>
      <c r="AE115" s="10">
        <v>0</v>
      </c>
      <c r="AF115" s="10">
        <v>0</v>
      </c>
      <c r="AG115" s="10">
        <v>0</v>
      </c>
      <c r="AH115" s="10">
        <v>4390893</v>
      </c>
      <c r="AI115" s="10">
        <v>994944</v>
      </c>
      <c r="AJ115" s="3"/>
      <c r="AK115" s="10">
        <v>604543140</v>
      </c>
      <c r="AL115" s="10">
        <v>13869678</v>
      </c>
      <c r="AM115" s="10">
        <v>104000</v>
      </c>
      <c r="AN115" s="10">
        <v>313854908</v>
      </c>
      <c r="AO115" s="10">
        <v>27627609</v>
      </c>
      <c r="AP115" s="10">
        <v>634568917</v>
      </c>
      <c r="AQ115" s="10">
        <v>335027666</v>
      </c>
      <c r="AR115" s="10">
        <v>236573717</v>
      </c>
      <c r="AS115" s="10">
        <v>120896187</v>
      </c>
      <c r="AT115" s="10">
        <v>2715496</v>
      </c>
      <c r="AU115" s="3"/>
      <c r="AV115" s="3"/>
      <c r="AW115" s="10">
        <v>128939175</v>
      </c>
      <c r="AX115" s="10">
        <v>822415</v>
      </c>
      <c r="AY115" s="10">
        <v>28944993</v>
      </c>
      <c r="AZ115" s="1">
        <v>34912277.490000002</v>
      </c>
      <c r="BA115" s="1">
        <v>18503507</v>
      </c>
      <c r="BB115" s="19"/>
      <c r="BC115" s="15">
        <v>2341704</v>
      </c>
      <c r="BD115" s="15">
        <v>4418309</v>
      </c>
      <c r="BE115" s="20">
        <v>25008159</v>
      </c>
      <c r="BF115" s="20">
        <v>25008159</v>
      </c>
      <c r="BG115" s="20">
        <v>128605273</v>
      </c>
      <c r="BH115" s="20">
        <v>121712352</v>
      </c>
      <c r="BI115" s="19"/>
      <c r="BJ115" s="19">
        <v>30758928</v>
      </c>
      <c r="BK115" s="19"/>
      <c r="BL115" s="5">
        <v>7498056420</v>
      </c>
      <c r="BM115" s="5">
        <v>6681318952</v>
      </c>
      <c r="BN115" s="15">
        <v>4132910</v>
      </c>
      <c r="BO115" s="3"/>
      <c r="BP115" s="1"/>
      <c r="BQ115" s="1"/>
      <c r="BR115" s="5"/>
      <c r="BS115" s="5"/>
      <c r="BT115" s="5"/>
    </row>
    <row r="116" spans="1:72" x14ac:dyDescent="0.25">
      <c r="A116" s="6" t="s">
        <v>170</v>
      </c>
      <c r="B116" s="10">
        <v>228522555</v>
      </c>
      <c r="C116" s="10">
        <v>145429100</v>
      </c>
      <c r="D116" s="10">
        <v>64976500</v>
      </c>
      <c r="E116" s="10">
        <v>4099998</v>
      </c>
      <c r="F116" s="10">
        <v>21713600</v>
      </c>
      <c r="G116" s="10">
        <v>4689000</v>
      </c>
      <c r="H116" s="10">
        <v>10946000</v>
      </c>
      <c r="I116" s="10">
        <v>1689500</v>
      </c>
      <c r="J116" s="10">
        <v>28000</v>
      </c>
      <c r="K116" s="10">
        <v>0</v>
      </c>
      <c r="L116" s="10">
        <v>266221500</v>
      </c>
      <c r="M116" s="10">
        <v>100154000</v>
      </c>
      <c r="N116" s="10">
        <v>1062</v>
      </c>
      <c r="O116" s="10">
        <v>224</v>
      </c>
      <c r="P116" s="10">
        <v>7070100</v>
      </c>
      <c r="Q116" s="10">
        <v>4744800</v>
      </c>
      <c r="R116" s="10">
        <v>3953140</v>
      </c>
      <c r="S116" s="10">
        <v>1843700</v>
      </c>
      <c r="T116" s="10">
        <v>1829300</v>
      </c>
      <c r="U116" s="10">
        <v>1544500</v>
      </c>
      <c r="V116" s="10">
        <v>7070100</v>
      </c>
      <c r="W116" s="10">
        <v>4786950</v>
      </c>
      <c r="X116" s="10">
        <v>3953140</v>
      </c>
      <c r="Y116" s="10">
        <v>1843700</v>
      </c>
      <c r="Z116" s="10">
        <v>2085200</v>
      </c>
      <c r="AA116" s="10">
        <v>1544500</v>
      </c>
      <c r="AB116" s="10">
        <v>-1248100</v>
      </c>
      <c r="AC116" s="10">
        <v>-241782</v>
      </c>
      <c r="AD116" s="10">
        <v>44114</v>
      </c>
      <c r="AE116" s="10">
        <v>0</v>
      </c>
      <c r="AF116" s="10">
        <v>0</v>
      </c>
      <c r="AG116" s="10">
        <v>179804</v>
      </c>
      <c r="AH116" s="3"/>
      <c r="AI116" s="10">
        <v>35806</v>
      </c>
      <c r="AJ116" s="3"/>
      <c r="AK116" s="10">
        <v>68790061</v>
      </c>
      <c r="AL116" s="10">
        <v>1156693</v>
      </c>
      <c r="AM116" s="3"/>
      <c r="AN116" s="10">
        <v>25280171</v>
      </c>
      <c r="AO116" s="10">
        <v>1747799</v>
      </c>
      <c r="AP116" s="10">
        <v>60356550</v>
      </c>
      <c r="AQ116" s="10">
        <v>26152706</v>
      </c>
      <c r="AR116" s="10">
        <v>14112784</v>
      </c>
      <c r="AS116" s="10">
        <v>1677501</v>
      </c>
      <c r="AT116" s="10">
        <v>55768</v>
      </c>
      <c r="AU116" s="3"/>
      <c r="AV116" s="3"/>
      <c r="AW116" s="10">
        <v>15587</v>
      </c>
      <c r="AX116" s="10">
        <v>15605</v>
      </c>
      <c r="AY116" s="10">
        <v>107000</v>
      </c>
      <c r="AZ116" s="1">
        <v>3972615.91</v>
      </c>
      <c r="BA116" s="1">
        <v>2105486</v>
      </c>
      <c r="BB116" s="19"/>
      <c r="BC116" s="15">
        <v>0</v>
      </c>
      <c r="BD116" s="15">
        <v>0</v>
      </c>
      <c r="BE116" s="20">
        <v>1372169</v>
      </c>
      <c r="BF116" s="20">
        <v>1372169</v>
      </c>
      <c r="BG116" s="20">
        <v>19110882</v>
      </c>
      <c r="BH116" s="20">
        <v>19105008</v>
      </c>
      <c r="BI116" s="19"/>
      <c r="BJ116" s="19"/>
      <c r="BK116" s="19"/>
      <c r="BL116" s="5">
        <v>584674054</v>
      </c>
      <c r="BM116" s="5">
        <v>492144637</v>
      </c>
      <c r="BN116" s="15">
        <v>359500</v>
      </c>
      <c r="BO116" s="3"/>
      <c r="BP116" s="1"/>
      <c r="BQ116" s="1"/>
      <c r="BR116" s="5"/>
      <c r="BS116" s="5"/>
      <c r="BT116" s="5"/>
    </row>
    <row r="117" spans="1:72" x14ac:dyDescent="0.25">
      <c r="A117" s="6" t="s">
        <v>171</v>
      </c>
      <c r="B117" s="10">
        <v>388951780</v>
      </c>
      <c r="C117" s="10">
        <v>118869722</v>
      </c>
      <c r="D117" s="10">
        <v>101896088</v>
      </c>
      <c r="E117" s="10">
        <v>0</v>
      </c>
      <c r="F117" s="10">
        <v>38552610</v>
      </c>
      <c r="G117" s="10">
        <v>14085475</v>
      </c>
      <c r="H117" s="10">
        <v>13230348</v>
      </c>
      <c r="I117" s="10">
        <v>2188645</v>
      </c>
      <c r="J117" s="10">
        <v>72660</v>
      </c>
      <c r="K117" s="10">
        <v>94200</v>
      </c>
      <c r="L117" s="10">
        <v>255081595</v>
      </c>
      <c r="M117" s="10">
        <v>73115136</v>
      </c>
      <c r="N117" s="10">
        <v>1874</v>
      </c>
      <c r="O117" s="10">
        <v>654</v>
      </c>
      <c r="P117" s="10">
        <v>13962135</v>
      </c>
      <c r="Q117" s="10">
        <v>4321430</v>
      </c>
      <c r="R117" s="10">
        <v>2240160</v>
      </c>
      <c r="S117" s="10">
        <v>2437669</v>
      </c>
      <c r="T117" s="10">
        <v>402732</v>
      </c>
      <c r="U117" s="10">
        <v>412100</v>
      </c>
      <c r="V117" s="10">
        <v>13962135</v>
      </c>
      <c r="W117" s="10">
        <v>4366360</v>
      </c>
      <c r="X117" s="10">
        <v>2240160</v>
      </c>
      <c r="Y117" s="10">
        <v>2437669</v>
      </c>
      <c r="Z117" s="10">
        <v>495500</v>
      </c>
      <c r="AA117" s="10">
        <v>412100</v>
      </c>
      <c r="AB117" s="10">
        <v>-2730835</v>
      </c>
      <c r="AC117" s="10">
        <v>-1571262</v>
      </c>
      <c r="AD117" s="10">
        <v>312224</v>
      </c>
      <c r="AE117" s="10">
        <v>7243</v>
      </c>
      <c r="AF117" s="10">
        <v>8685117</v>
      </c>
      <c r="AG117" s="10">
        <v>241453</v>
      </c>
      <c r="AH117" s="10">
        <v>526532</v>
      </c>
      <c r="AI117" s="10">
        <v>142516</v>
      </c>
      <c r="AJ117" s="3"/>
      <c r="AK117" s="10">
        <v>90833537</v>
      </c>
      <c r="AL117" s="10">
        <v>12121685</v>
      </c>
      <c r="AM117" s="10">
        <v>8273705</v>
      </c>
      <c r="AN117" s="10">
        <v>21517681</v>
      </c>
      <c r="AO117" s="10">
        <v>671698</v>
      </c>
      <c r="AP117" s="10">
        <v>36872619</v>
      </c>
      <c r="AQ117" s="10">
        <v>16099460</v>
      </c>
      <c r="AR117" s="10">
        <v>29425075</v>
      </c>
      <c r="AS117" s="3"/>
      <c r="AT117" s="10">
        <v>5625601</v>
      </c>
      <c r="AU117" s="3"/>
      <c r="AV117" s="3"/>
      <c r="AW117" s="3"/>
      <c r="AX117" s="3"/>
      <c r="AY117" s="10">
        <v>251500</v>
      </c>
      <c r="AZ117" s="1">
        <v>5245623.41</v>
      </c>
      <c r="BA117" s="1">
        <v>2780180</v>
      </c>
      <c r="BB117" s="19"/>
      <c r="BC117" s="15">
        <v>0</v>
      </c>
      <c r="BD117" s="15">
        <v>0</v>
      </c>
      <c r="BE117" s="20">
        <v>395158</v>
      </c>
      <c r="BF117" s="20">
        <v>395158</v>
      </c>
      <c r="BG117" s="20">
        <v>21571501</v>
      </c>
      <c r="BH117" s="20">
        <v>21571501</v>
      </c>
      <c r="BI117" s="19"/>
      <c r="BJ117" s="19"/>
      <c r="BK117" s="19"/>
      <c r="BL117" s="5">
        <v>776377538</v>
      </c>
      <c r="BM117" s="5">
        <v>648675477</v>
      </c>
      <c r="BN117" s="15">
        <v>798000</v>
      </c>
      <c r="BO117" s="3"/>
      <c r="BP117" s="1"/>
      <c r="BQ117" s="1"/>
      <c r="BR117" s="5"/>
      <c r="BS117" s="5"/>
      <c r="BT117" s="5"/>
    </row>
    <row r="118" spans="1:72" x14ac:dyDescent="0.25">
      <c r="A118" s="6" t="s">
        <v>172</v>
      </c>
      <c r="B118" s="10">
        <v>172778782</v>
      </c>
      <c r="C118" s="10">
        <v>125399551</v>
      </c>
      <c r="D118" s="10">
        <v>45691595</v>
      </c>
      <c r="E118" s="10">
        <v>8640000</v>
      </c>
      <c r="F118" s="10">
        <v>26542400</v>
      </c>
      <c r="G118" s="10">
        <v>5915300</v>
      </c>
      <c r="H118" s="10">
        <v>7060171</v>
      </c>
      <c r="I118" s="10">
        <v>644060</v>
      </c>
      <c r="J118" s="10">
        <v>0</v>
      </c>
      <c r="K118" s="10">
        <v>0</v>
      </c>
      <c r="L118" s="10">
        <v>170757460</v>
      </c>
      <c r="M118" s="10">
        <v>46235700</v>
      </c>
      <c r="N118" s="10">
        <v>1244</v>
      </c>
      <c r="O118" s="10">
        <v>266</v>
      </c>
      <c r="P118" s="10">
        <v>1757700</v>
      </c>
      <c r="Q118" s="10">
        <v>755700</v>
      </c>
      <c r="R118" s="10">
        <v>528800</v>
      </c>
      <c r="S118" s="10">
        <v>140500</v>
      </c>
      <c r="T118" s="10">
        <v>307020</v>
      </c>
      <c r="U118" s="10">
        <v>0</v>
      </c>
      <c r="V118" s="10">
        <v>1757700</v>
      </c>
      <c r="W118" s="10">
        <v>755700</v>
      </c>
      <c r="X118" s="10">
        <v>528800</v>
      </c>
      <c r="Y118" s="10">
        <v>140500</v>
      </c>
      <c r="Z118" s="10">
        <v>307020</v>
      </c>
      <c r="AA118" s="10">
        <v>0</v>
      </c>
      <c r="AB118" s="10">
        <v>-644150</v>
      </c>
      <c r="AC118" s="10">
        <v>-120134</v>
      </c>
      <c r="AD118" s="10">
        <v>62178</v>
      </c>
      <c r="AE118" s="10">
        <v>5103312</v>
      </c>
      <c r="AF118" s="10">
        <v>2969074</v>
      </c>
      <c r="AG118" s="10">
        <v>198661</v>
      </c>
      <c r="AH118" s="10">
        <v>12845703</v>
      </c>
      <c r="AI118" s="10">
        <v>8760</v>
      </c>
      <c r="AJ118" s="10">
        <v>16920555</v>
      </c>
      <c r="AK118" s="10">
        <v>86816585</v>
      </c>
      <c r="AL118" s="10">
        <v>2118175</v>
      </c>
      <c r="AM118" s="3"/>
      <c r="AN118" s="10">
        <v>70270937</v>
      </c>
      <c r="AO118" s="10">
        <v>4369314</v>
      </c>
      <c r="AP118" s="10">
        <v>33124448</v>
      </c>
      <c r="AQ118" s="10">
        <v>11269470</v>
      </c>
      <c r="AR118" s="10">
        <v>7294216</v>
      </c>
      <c r="AS118" s="3"/>
      <c r="AT118" s="10">
        <v>885288</v>
      </c>
      <c r="AU118" s="3"/>
      <c r="AV118" s="3"/>
      <c r="AW118" s="10">
        <v>2670959</v>
      </c>
      <c r="AX118" s="10">
        <v>878074</v>
      </c>
      <c r="AY118" s="10">
        <v>308824</v>
      </c>
      <c r="AZ118" s="1">
        <v>5013645.03</v>
      </c>
      <c r="BA118" s="1">
        <v>2657232</v>
      </c>
      <c r="BB118" s="19">
        <v>2555159.75</v>
      </c>
      <c r="BC118" s="15">
        <v>1036425</v>
      </c>
      <c r="BD118" s="15">
        <v>1955520</v>
      </c>
      <c r="BE118" s="20">
        <v>21614018</v>
      </c>
      <c r="BF118" s="20">
        <v>21011243</v>
      </c>
      <c r="BG118" s="20">
        <v>46134970</v>
      </c>
      <c r="BH118" s="20">
        <v>44393023</v>
      </c>
      <c r="BI118" s="19"/>
      <c r="BJ118" s="19"/>
      <c r="BK118" s="19"/>
      <c r="BL118" s="5">
        <v>617587350</v>
      </c>
      <c r="BM118" s="5">
        <v>459554667</v>
      </c>
      <c r="BN118" s="15">
        <v>924926</v>
      </c>
      <c r="BO118" s="3"/>
      <c r="BP118" s="1"/>
      <c r="BQ118" s="1"/>
      <c r="BR118" s="5"/>
      <c r="BS118" s="5"/>
      <c r="BT118" s="5"/>
    </row>
    <row r="119" spans="1:72" x14ac:dyDescent="0.25">
      <c r="A119" s="6" t="s">
        <v>173</v>
      </c>
      <c r="B119" s="10">
        <v>604608834</v>
      </c>
      <c r="C119" s="10">
        <v>125000433</v>
      </c>
      <c r="D119" s="10">
        <v>195807776</v>
      </c>
      <c r="E119" s="10">
        <v>3900000</v>
      </c>
      <c r="F119" s="10">
        <v>71099150</v>
      </c>
      <c r="G119" s="10">
        <v>21614733</v>
      </c>
      <c r="H119" s="10">
        <v>13639440</v>
      </c>
      <c r="I119" s="10">
        <v>2344175</v>
      </c>
      <c r="J119" s="10">
        <v>51800</v>
      </c>
      <c r="K119" s="10">
        <v>31400</v>
      </c>
      <c r="L119" s="10">
        <v>395985014</v>
      </c>
      <c r="M119" s="10">
        <v>41335370</v>
      </c>
      <c r="N119" s="10">
        <v>3265</v>
      </c>
      <c r="O119" s="10">
        <v>988</v>
      </c>
      <c r="P119" s="10">
        <v>2596500</v>
      </c>
      <c r="Q119" s="10">
        <v>0</v>
      </c>
      <c r="R119" s="10">
        <v>1557250</v>
      </c>
      <c r="S119" s="10">
        <v>3292691</v>
      </c>
      <c r="T119" s="10">
        <v>1327600</v>
      </c>
      <c r="U119" s="10">
        <v>681800</v>
      </c>
      <c r="V119" s="10">
        <v>2596500</v>
      </c>
      <c r="W119" s="10">
        <v>0</v>
      </c>
      <c r="X119" s="10">
        <v>1557250</v>
      </c>
      <c r="Y119" s="10">
        <v>3292691</v>
      </c>
      <c r="Z119" s="10">
        <v>2125546</v>
      </c>
      <c r="AA119" s="10">
        <v>681800</v>
      </c>
      <c r="AB119" s="10">
        <v>-5036448</v>
      </c>
      <c r="AC119" s="10">
        <v>325351</v>
      </c>
      <c r="AD119" s="10">
        <v>196979</v>
      </c>
      <c r="AE119" s="10">
        <v>0</v>
      </c>
      <c r="AF119" s="10">
        <v>0</v>
      </c>
      <c r="AG119" s="10">
        <v>205461</v>
      </c>
      <c r="AH119" s="10">
        <v>1205398</v>
      </c>
      <c r="AI119" s="10">
        <v>40412228</v>
      </c>
      <c r="AJ119" s="10">
        <v>1770387</v>
      </c>
      <c r="AK119" s="10">
        <v>181395316</v>
      </c>
      <c r="AL119" s="10">
        <v>6738552</v>
      </c>
      <c r="AM119" s="10">
        <v>1837501</v>
      </c>
      <c r="AN119" s="10">
        <v>44286133</v>
      </c>
      <c r="AO119" s="10">
        <v>2696493</v>
      </c>
      <c r="AP119" s="10">
        <v>39181788</v>
      </c>
      <c r="AQ119" s="10">
        <v>54978099</v>
      </c>
      <c r="AR119" s="10">
        <v>14502805</v>
      </c>
      <c r="AS119" s="10">
        <v>600084</v>
      </c>
      <c r="AT119" s="10">
        <v>83889</v>
      </c>
      <c r="AU119" s="10">
        <v>0</v>
      </c>
      <c r="AV119" s="10">
        <v>0</v>
      </c>
      <c r="AW119" s="10">
        <v>0</v>
      </c>
      <c r="AX119" s="10">
        <v>0</v>
      </c>
      <c r="AY119" s="10">
        <v>32900</v>
      </c>
      <c r="AZ119" s="1">
        <v>10475552.84</v>
      </c>
      <c r="BA119" s="1">
        <v>5552043</v>
      </c>
      <c r="BB119" s="19"/>
      <c r="BC119" s="15">
        <v>10127299</v>
      </c>
      <c r="BD119" s="15">
        <v>19108112</v>
      </c>
      <c r="BE119" s="20">
        <v>44801242</v>
      </c>
      <c r="BF119" s="20">
        <v>44801242</v>
      </c>
      <c r="BG119" s="20">
        <v>53907539</v>
      </c>
      <c r="BH119" s="20">
        <v>45970887</v>
      </c>
      <c r="BI119" s="19"/>
      <c r="BJ119" s="19"/>
      <c r="BK119" s="19"/>
      <c r="BL119" s="5">
        <v>1365351120</v>
      </c>
      <c r="BM119" s="5">
        <v>1070765781</v>
      </c>
      <c r="BN119" s="15">
        <v>1268668</v>
      </c>
      <c r="BO119" s="3"/>
      <c r="BP119" s="1"/>
      <c r="BQ119" s="1"/>
      <c r="BR119" s="5"/>
      <c r="BS119" s="5"/>
      <c r="BT119" s="5"/>
    </row>
    <row r="120" spans="1:72" x14ac:dyDescent="0.25">
      <c r="A120" s="6" t="s">
        <v>174</v>
      </c>
      <c r="B120" s="10">
        <v>54318525</v>
      </c>
      <c r="C120" s="10">
        <v>61417400</v>
      </c>
      <c r="D120" s="10">
        <v>32648550</v>
      </c>
      <c r="E120" s="10">
        <v>0</v>
      </c>
      <c r="F120" s="10">
        <v>6443500</v>
      </c>
      <c r="G120" s="10">
        <v>9644200</v>
      </c>
      <c r="H120" s="10">
        <v>6503800</v>
      </c>
      <c r="I120" s="10">
        <v>4078600</v>
      </c>
      <c r="J120" s="10">
        <v>0</v>
      </c>
      <c r="K120" s="10">
        <v>0</v>
      </c>
      <c r="L120" s="10">
        <v>61869151</v>
      </c>
      <c r="M120" s="10">
        <v>0</v>
      </c>
      <c r="N120" s="10">
        <v>462</v>
      </c>
      <c r="O120" s="10">
        <v>560</v>
      </c>
      <c r="P120" s="10">
        <v>1730000</v>
      </c>
      <c r="Q120" s="10">
        <v>529000</v>
      </c>
      <c r="R120" s="10">
        <v>50000</v>
      </c>
      <c r="S120" s="10">
        <v>166000</v>
      </c>
      <c r="T120" s="10">
        <v>0</v>
      </c>
      <c r="U120" s="10">
        <v>426000</v>
      </c>
      <c r="V120" s="10">
        <v>1730000</v>
      </c>
      <c r="W120" s="10">
        <v>905000</v>
      </c>
      <c r="X120" s="10">
        <v>50000</v>
      </c>
      <c r="Y120" s="10">
        <v>166000</v>
      </c>
      <c r="Z120" s="10">
        <v>0</v>
      </c>
      <c r="AA120" s="10">
        <v>426000</v>
      </c>
      <c r="AB120" s="10">
        <v>-1573100</v>
      </c>
      <c r="AC120" s="10">
        <v>0</v>
      </c>
      <c r="AD120" s="10">
        <v>87310</v>
      </c>
      <c r="AE120" s="10">
        <v>0</v>
      </c>
      <c r="AF120" s="10">
        <v>0</v>
      </c>
      <c r="AG120" s="10">
        <v>116586</v>
      </c>
      <c r="AH120" s="10">
        <v>8300644</v>
      </c>
      <c r="AI120" s="10">
        <v>523985</v>
      </c>
      <c r="AJ120" s="10">
        <v>1629</v>
      </c>
      <c r="AK120" s="10">
        <v>38688841</v>
      </c>
      <c r="AL120" s="10">
        <v>554826</v>
      </c>
      <c r="AM120" s="3"/>
      <c r="AN120" s="10">
        <v>3678481</v>
      </c>
      <c r="AO120" s="10">
        <v>3305</v>
      </c>
      <c r="AP120" s="10">
        <v>1910012</v>
      </c>
      <c r="AQ120" s="10">
        <v>11992835</v>
      </c>
      <c r="AR120" s="10">
        <v>4148790</v>
      </c>
      <c r="AS120" s="3"/>
      <c r="AT120" s="10">
        <v>45250</v>
      </c>
      <c r="AU120" s="3"/>
      <c r="AV120" s="3"/>
      <c r="AW120" s="3"/>
      <c r="AX120" s="3"/>
      <c r="AY120" s="3"/>
      <c r="AZ120" s="1">
        <v>2234274.88</v>
      </c>
      <c r="BA120" s="1">
        <v>1184166</v>
      </c>
      <c r="BB120" s="19"/>
      <c r="BC120" s="15">
        <v>0</v>
      </c>
      <c r="BD120" s="15">
        <v>0</v>
      </c>
      <c r="BE120" s="20">
        <v>362171</v>
      </c>
      <c r="BF120" s="20">
        <v>362171</v>
      </c>
      <c r="BG120" s="20">
        <v>18551118</v>
      </c>
      <c r="BH120" s="20">
        <v>18551118</v>
      </c>
      <c r="BI120" s="19"/>
      <c r="BJ120" s="19"/>
      <c r="BK120" s="19"/>
      <c r="BL120" s="5">
        <v>232226476</v>
      </c>
      <c r="BM120" s="5">
        <v>172885354</v>
      </c>
      <c r="BN120" s="15">
        <v>532000</v>
      </c>
      <c r="BO120" s="3"/>
      <c r="BP120" s="1"/>
      <c r="BQ120" s="1"/>
      <c r="BR120" s="5"/>
      <c r="BS120" s="5"/>
      <c r="BT120" s="5"/>
    </row>
    <row r="121" spans="1:72" ht="15.75" thickBot="1" x14ac:dyDescent="0.3">
      <c r="A121" s="9" t="s">
        <v>175</v>
      </c>
      <c r="B121" s="11">
        <v>1235002100</v>
      </c>
      <c r="C121" s="11">
        <v>465985450</v>
      </c>
      <c r="D121" s="11">
        <v>260080713</v>
      </c>
      <c r="E121" s="11">
        <v>0</v>
      </c>
      <c r="F121" s="11">
        <v>47050500</v>
      </c>
      <c r="G121" s="11">
        <v>6178700</v>
      </c>
      <c r="H121" s="11">
        <v>6217200</v>
      </c>
      <c r="I121" s="11">
        <v>313500</v>
      </c>
      <c r="J121" s="11">
        <v>157000</v>
      </c>
      <c r="K121" s="11">
        <v>31400</v>
      </c>
      <c r="L121" s="11">
        <v>971647860</v>
      </c>
      <c r="M121" s="11">
        <v>238563450</v>
      </c>
      <c r="N121" s="11">
        <v>1718</v>
      </c>
      <c r="O121" s="11">
        <v>209</v>
      </c>
      <c r="P121" s="11">
        <v>23160400</v>
      </c>
      <c r="Q121" s="11">
        <v>14820500</v>
      </c>
      <c r="R121" s="11">
        <v>5176000</v>
      </c>
      <c r="S121" s="11">
        <v>966700</v>
      </c>
      <c r="T121" s="11">
        <v>685900</v>
      </c>
      <c r="U121" s="11">
        <v>276700</v>
      </c>
      <c r="V121" s="11">
        <v>23160400</v>
      </c>
      <c r="W121" s="11">
        <v>15004600</v>
      </c>
      <c r="X121" s="11">
        <v>5176000</v>
      </c>
      <c r="Y121" s="11">
        <v>998100</v>
      </c>
      <c r="Z121" s="11">
        <v>1063700</v>
      </c>
      <c r="AA121" s="11">
        <v>276700</v>
      </c>
      <c r="AB121" s="11">
        <v>-2578800</v>
      </c>
      <c r="AC121" s="11">
        <v>-153497</v>
      </c>
      <c r="AD121" s="11">
        <v>0</v>
      </c>
      <c r="AE121" s="11">
        <v>0</v>
      </c>
      <c r="AF121" s="11">
        <v>0</v>
      </c>
      <c r="AG121" s="11">
        <v>107003</v>
      </c>
      <c r="AH121" s="11"/>
      <c r="AI121" s="11"/>
      <c r="AJ121" s="11"/>
      <c r="AK121" s="11">
        <v>184237400</v>
      </c>
      <c r="AL121" s="11">
        <v>4845875</v>
      </c>
      <c r="AM121" s="11">
        <v>12000</v>
      </c>
      <c r="AN121" s="11">
        <v>37145863</v>
      </c>
      <c r="AO121" s="11">
        <v>7006322</v>
      </c>
      <c r="AP121" s="11">
        <v>199935199</v>
      </c>
      <c r="AQ121" s="11">
        <v>32077555</v>
      </c>
      <c r="AR121" s="11">
        <v>39792657</v>
      </c>
      <c r="AS121" s="11">
        <v>55017781</v>
      </c>
      <c r="AT121" s="11">
        <v>199346265</v>
      </c>
      <c r="AU121" s="11"/>
      <c r="AV121" s="11">
        <v>4000</v>
      </c>
      <c r="AW121" s="11"/>
      <c r="AX121" s="11">
        <v>372604</v>
      </c>
      <c r="AY121" s="11">
        <v>426500</v>
      </c>
      <c r="AZ121" s="21">
        <v>10639682.77</v>
      </c>
      <c r="BA121" s="21">
        <v>5639032</v>
      </c>
      <c r="BB121" s="22"/>
      <c r="BC121" s="23">
        <v>334167</v>
      </c>
      <c r="BD121" s="23">
        <v>630505</v>
      </c>
      <c r="BE121" s="24">
        <v>9336816</v>
      </c>
      <c r="BF121" s="24">
        <v>8809359</v>
      </c>
      <c r="BG121" s="24">
        <v>30816850</v>
      </c>
      <c r="BH121" s="24">
        <v>29923728</v>
      </c>
      <c r="BI121" s="22">
        <v>35186906</v>
      </c>
      <c r="BJ121" s="22"/>
      <c r="BK121" s="22"/>
      <c r="BL121" s="25">
        <v>2306274470</v>
      </c>
      <c r="BM121" s="25">
        <v>2037298003</v>
      </c>
      <c r="BN121" s="23">
        <v>1803110</v>
      </c>
      <c r="BO121" s="16"/>
      <c r="BP121" s="1"/>
      <c r="BQ121" s="1"/>
      <c r="BR121" s="5"/>
      <c r="BS121" s="5"/>
      <c r="BT121" s="5"/>
    </row>
    <row r="122" spans="1:72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10"/>
      <c r="BC122" s="3"/>
      <c r="BD122" s="3"/>
      <c r="BE122" s="27"/>
      <c r="BF122" s="27"/>
      <c r="BG122" s="27"/>
      <c r="BH122" s="27"/>
      <c r="BI122" s="10"/>
      <c r="BJ122" s="10"/>
      <c r="BK122" s="3"/>
      <c r="BL122" s="3"/>
      <c r="BM122" s="3"/>
      <c r="BN122" s="3"/>
      <c r="BO122" s="3"/>
      <c r="BP122" s="3"/>
      <c r="BQ122" s="3"/>
      <c r="BR122" s="3"/>
      <c r="BS122" s="3"/>
      <c r="BT122" s="3"/>
    </row>
    <row r="123" spans="1:72" x14ac:dyDescent="0.25">
      <c r="B123" s="13">
        <v>142287708016</v>
      </c>
      <c r="C123" s="13">
        <v>17361799167</v>
      </c>
      <c r="D123" s="13">
        <v>52604201607.43</v>
      </c>
      <c r="E123" s="13">
        <v>2067563066</v>
      </c>
      <c r="F123" s="13">
        <v>7852999011</v>
      </c>
      <c r="G123" s="13">
        <v>1869942328</v>
      </c>
      <c r="H123" s="13">
        <v>1274011552</v>
      </c>
      <c r="I123" s="13">
        <v>248346419</v>
      </c>
      <c r="J123" s="13">
        <v>17779635</v>
      </c>
      <c r="K123" s="13">
        <v>2607850</v>
      </c>
      <c r="L123" s="13">
        <v>27517490256</v>
      </c>
      <c r="M123" s="13">
        <v>9677752218</v>
      </c>
      <c r="N123" s="13">
        <v>302725</v>
      </c>
      <c r="O123" s="13">
        <v>79228</v>
      </c>
      <c r="P123" s="13">
        <v>3449517729</v>
      </c>
      <c r="Q123" s="13">
        <v>385963803</v>
      </c>
      <c r="R123" s="13">
        <v>1638332891</v>
      </c>
      <c r="S123" s="13">
        <v>544988259</v>
      </c>
      <c r="T123" s="13">
        <v>180077550</v>
      </c>
      <c r="U123" s="13">
        <v>593145264</v>
      </c>
      <c r="V123" s="13">
        <v>3444076935</v>
      </c>
      <c r="W123" s="13">
        <v>470890280</v>
      </c>
      <c r="X123" s="13">
        <v>1640681796</v>
      </c>
      <c r="Y123" s="13">
        <v>534759844.59000003</v>
      </c>
      <c r="Z123" s="13">
        <v>291993691</v>
      </c>
      <c r="AA123" s="13">
        <v>593195164</v>
      </c>
      <c r="AB123" s="13">
        <v>-816069733</v>
      </c>
      <c r="AC123" s="13">
        <v>-323246356</v>
      </c>
      <c r="AD123" s="13">
        <v>8631808</v>
      </c>
      <c r="AE123" s="13">
        <v>10763214</v>
      </c>
      <c r="AF123" s="13">
        <v>1571165280</v>
      </c>
      <c r="AG123" s="13">
        <v>50922988.909999996</v>
      </c>
      <c r="AH123" s="13">
        <v>328632381</v>
      </c>
      <c r="AI123" s="13">
        <v>1912130084</v>
      </c>
      <c r="AJ123" s="13">
        <v>1749674737</v>
      </c>
      <c r="AK123" s="13">
        <v>25159045466</v>
      </c>
      <c r="AL123" s="13">
        <v>727675411</v>
      </c>
      <c r="AM123" s="13">
        <v>102458535</v>
      </c>
      <c r="AN123" s="13">
        <v>10363986285</v>
      </c>
      <c r="AO123" s="13">
        <v>765548374</v>
      </c>
      <c r="AP123" s="13">
        <v>15288674031</v>
      </c>
      <c r="AQ123" s="13">
        <v>8554432257</v>
      </c>
      <c r="AR123" s="13">
        <v>9328624903</v>
      </c>
      <c r="AS123" s="13">
        <v>4356496325</v>
      </c>
      <c r="AT123" s="13">
        <v>6666472529</v>
      </c>
      <c r="AU123" s="13">
        <v>67372542</v>
      </c>
      <c r="AV123" s="13">
        <v>5780233</v>
      </c>
      <c r="AW123" s="13">
        <v>897869023</v>
      </c>
      <c r="AX123" s="13">
        <v>71964476</v>
      </c>
      <c r="AY123" s="13">
        <v>395093405</v>
      </c>
      <c r="AZ123" s="13">
        <v>1452931178.2200003</v>
      </c>
      <c r="BA123" s="13">
        <v>770053526</v>
      </c>
      <c r="BB123" s="28">
        <v>609947349.68000007</v>
      </c>
      <c r="BC123" s="28">
        <v>218812355</v>
      </c>
      <c r="BD123" s="28">
        <v>412853492</v>
      </c>
      <c r="BE123" s="29">
        <v>3135458198</v>
      </c>
      <c r="BF123" s="29">
        <v>3104164484</v>
      </c>
      <c r="BG123" s="29">
        <v>8500661083</v>
      </c>
      <c r="BH123" s="29">
        <v>7757835796</v>
      </c>
      <c r="BI123" s="28">
        <v>893432418</v>
      </c>
      <c r="BJ123" s="28">
        <v>146613485</v>
      </c>
      <c r="BK123" s="28">
        <v>0</v>
      </c>
      <c r="BL123" s="30">
        <v>274656367722.42999</v>
      </c>
      <c r="BM123" s="30">
        <v>235917833829.42999</v>
      </c>
      <c r="BN123" s="30">
        <v>485383550</v>
      </c>
      <c r="BO123" s="14"/>
      <c r="BP123" s="4"/>
      <c r="BQ123" s="4"/>
      <c r="BR123" s="4"/>
      <c r="BS123" s="4"/>
      <c r="BT123" s="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S123"/>
  <sheetViews>
    <sheetView workbookViewId="0"/>
  </sheetViews>
  <sheetFormatPr defaultColWidth="9.140625" defaultRowHeight="15" x14ac:dyDescent="0.25"/>
  <cols>
    <col min="1" max="1" width="15" bestFit="1" customWidth="1"/>
    <col min="2" max="2" width="16" bestFit="1" customWidth="1"/>
    <col min="3" max="4" width="15" bestFit="1" customWidth="1"/>
    <col min="5" max="5" width="14" bestFit="1" customWidth="1"/>
    <col min="6" max="6" width="15" bestFit="1" customWidth="1"/>
    <col min="7" max="8" width="14" bestFit="1" customWidth="1"/>
    <col min="9" max="9" width="12.28515625" bestFit="1" customWidth="1"/>
    <col min="10" max="10" width="11.28515625" bestFit="1" customWidth="1"/>
    <col min="11" max="11" width="13.5703125" customWidth="1"/>
    <col min="12" max="13" width="15" bestFit="1" customWidth="1"/>
    <col min="15" max="15" width="13.42578125" customWidth="1"/>
    <col min="16" max="16" width="14" bestFit="1" customWidth="1"/>
    <col min="17" max="17" width="12.28515625" bestFit="1" customWidth="1"/>
    <col min="18" max="19" width="14" bestFit="1" customWidth="1"/>
    <col min="20" max="21" width="12.28515625" bestFit="1" customWidth="1"/>
    <col min="22" max="22" width="14" bestFit="1" customWidth="1"/>
    <col min="23" max="23" width="12.28515625" bestFit="1" customWidth="1"/>
    <col min="24" max="25" width="14" bestFit="1" customWidth="1"/>
    <col min="26" max="27" width="12.28515625" bestFit="1" customWidth="1"/>
    <col min="28" max="29" width="12.85546875" bestFit="1" customWidth="1"/>
    <col min="30" max="30" width="11.28515625" bestFit="1" customWidth="1"/>
    <col min="31" max="31" width="10.28515625" bestFit="1" customWidth="1"/>
    <col min="32" max="32" width="14" bestFit="1" customWidth="1"/>
    <col min="33" max="33" width="11.28515625" bestFit="1" customWidth="1"/>
    <col min="34" max="34" width="12.28515625" bestFit="1" customWidth="1"/>
    <col min="35" max="36" width="14" bestFit="1" customWidth="1"/>
    <col min="37" max="37" width="15" bestFit="1" customWidth="1"/>
    <col min="38" max="39" width="12.28515625" bestFit="1" customWidth="1"/>
    <col min="40" max="40" width="15" bestFit="1" customWidth="1"/>
    <col min="41" max="41" width="12.28515625" bestFit="1" customWidth="1"/>
    <col min="42" max="42" width="15" bestFit="1" customWidth="1"/>
    <col min="43" max="43" width="14" bestFit="1" customWidth="1"/>
    <col min="44" max="45" width="15" bestFit="1" customWidth="1"/>
    <col min="46" max="46" width="14" bestFit="1" customWidth="1"/>
    <col min="47" max="48" width="11.28515625" bestFit="1" customWidth="1"/>
    <col min="49" max="49" width="14" bestFit="1" customWidth="1"/>
    <col min="50" max="51" width="12.28515625" bestFit="1" customWidth="1"/>
    <col min="52" max="52" width="14" bestFit="1" customWidth="1"/>
    <col min="53" max="53" width="12.28515625" bestFit="1" customWidth="1"/>
    <col min="54" max="54" width="14" bestFit="1" customWidth="1"/>
    <col min="55" max="56" width="12.28515625" bestFit="1" customWidth="1"/>
    <col min="57" max="58" width="13.42578125" bestFit="1" customWidth="1"/>
    <col min="59" max="60" width="14.42578125" bestFit="1" customWidth="1"/>
    <col min="61" max="61" width="14" bestFit="1" customWidth="1"/>
    <col min="62" max="62" width="12.28515625" bestFit="1" customWidth="1"/>
    <col min="63" max="63" width="13" customWidth="1"/>
    <col min="64" max="65" width="16" bestFit="1" customWidth="1"/>
    <col min="66" max="66" width="12.28515625" bestFit="1" customWidth="1"/>
    <col min="67" max="67" width="10.28515625" bestFit="1" customWidth="1"/>
    <col min="68" max="68" width="13.42578125" bestFit="1" customWidth="1"/>
    <col min="69" max="69" width="15" bestFit="1" customWidth="1"/>
    <col min="70" max="70" width="16" bestFit="1" customWidth="1"/>
    <col min="71" max="71" width="15" bestFit="1" customWidth="1"/>
  </cols>
  <sheetData>
    <row r="1" spans="1:71" ht="71.25" customHeight="1" thickBot="1" x14ac:dyDescent="0.3">
      <c r="A1" s="7" t="s">
        <v>215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2" t="s">
        <v>5</v>
      </c>
      <c r="H1" s="12" t="s">
        <v>6</v>
      </c>
      <c r="I1" s="18" t="s">
        <v>7</v>
      </c>
      <c r="J1" s="12" t="s">
        <v>8</v>
      </c>
      <c r="K1" s="12" t="s">
        <v>9</v>
      </c>
      <c r="L1" s="12" t="s">
        <v>10</v>
      </c>
      <c r="M1" s="12" t="s">
        <v>11</v>
      </c>
      <c r="N1" s="12" t="s">
        <v>12</v>
      </c>
      <c r="O1" s="12" t="s">
        <v>13</v>
      </c>
      <c r="P1" s="12" t="s">
        <v>216</v>
      </c>
      <c r="Q1" s="12" t="s">
        <v>217</v>
      </c>
      <c r="R1" s="12" t="s">
        <v>218</v>
      </c>
      <c r="S1" s="12" t="s">
        <v>219</v>
      </c>
      <c r="T1" s="12" t="s">
        <v>220</v>
      </c>
      <c r="U1" s="12" t="s">
        <v>221</v>
      </c>
      <c r="V1" s="12" t="s">
        <v>222</v>
      </c>
      <c r="W1" s="12" t="s">
        <v>223</v>
      </c>
      <c r="X1" s="12" t="s">
        <v>224</v>
      </c>
      <c r="Y1" s="12" t="s">
        <v>225</v>
      </c>
      <c r="Z1" s="12" t="s">
        <v>226</v>
      </c>
      <c r="AA1" s="12" t="s">
        <v>227</v>
      </c>
      <c r="AB1" s="12" t="s">
        <v>228</v>
      </c>
      <c r="AC1" s="12" t="s">
        <v>229</v>
      </c>
      <c r="AD1" s="12" t="s">
        <v>14</v>
      </c>
      <c r="AE1" s="12" t="s">
        <v>15</v>
      </c>
      <c r="AF1" s="12" t="s">
        <v>16</v>
      </c>
      <c r="AG1" s="12" t="s">
        <v>17</v>
      </c>
      <c r="AH1" s="12" t="s">
        <v>18</v>
      </c>
      <c r="AI1" s="12" t="s">
        <v>19</v>
      </c>
      <c r="AJ1" s="12" t="s">
        <v>230</v>
      </c>
      <c r="AK1" s="12" t="s">
        <v>21</v>
      </c>
      <c r="AL1" s="12" t="s">
        <v>22</v>
      </c>
      <c r="AM1" s="12" t="s">
        <v>23</v>
      </c>
      <c r="AN1" s="12" t="s">
        <v>24</v>
      </c>
      <c r="AO1" s="12" t="s">
        <v>25</v>
      </c>
      <c r="AP1" s="12" t="s">
        <v>26</v>
      </c>
      <c r="AQ1" s="12" t="s">
        <v>27</v>
      </c>
      <c r="AR1" s="12" t="s">
        <v>28</v>
      </c>
      <c r="AS1" s="12" t="s">
        <v>29</v>
      </c>
      <c r="AT1" s="12" t="s">
        <v>30</v>
      </c>
      <c r="AU1" s="12" t="s">
        <v>31</v>
      </c>
      <c r="AV1" s="12" t="s">
        <v>32</v>
      </c>
      <c r="AW1" s="12" t="s">
        <v>33</v>
      </c>
      <c r="AX1" s="12" t="s">
        <v>34</v>
      </c>
      <c r="AY1" s="12" t="s">
        <v>35</v>
      </c>
      <c r="AZ1" s="12" t="s">
        <v>40</v>
      </c>
      <c r="BA1" s="12" t="s">
        <v>41</v>
      </c>
      <c r="BB1" s="12" t="s">
        <v>42</v>
      </c>
      <c r="BC1" s="12" t="s">
        <v>231</v>
      </c>
      <c r="BD1" s="12" t="s">
        <v>43</v>
      </c>
      <c r="BE1" s="12" t="s">
        <v>44</v>
      </c>
      <c r="BF1" s="12" t="s">
        <v>232</v>
      </c>
      <c r="BG1" s="12" t="s">
        <v>45</v>
      </c>
      <c r="BH1" s="12" t="s">
        <v>233</v>
      </c>
      <c r="BI1" s="12" t="s">
        <v>46</v>
      </c>
      <c r="BJ1" s="12" t="s">
        <v>47</v>
      </c>
      <c r="BK1" s="12" t="s">
        <v>48</v>
      </c>
      <c r="BL1" s="17" t="s">
        <v>49</v>
      </c>
      <c r="BM1" s="17" t="s">
        <v>50</v>
      </c>
      <c r="BN1" s="17" t="s">
        <v>51</v>
      </c>
      <c r="BO1" s="17"/>
      <c r="BP1" s="2"/>
      <c r="BQ1" s="2"/>
      <c r="BR1" s="2"/>
      <c r="BS1" s="2"/>
    </row>
    <row r="2" spans="1:71" x14ac:dyDescent="0.25">
      <c r="A2" s="8" t="s">
        <v>56</v>
      </c>
      <c r="B2" s="10">
        <v>272627900</v>
      </c>
      <c r="C2" s="10">
        <v>146110405</v>
      </c>
      <c r="D2" s="10">
        <v>88372500</v>
      </c>
      <c r="E2" s="10">
        <v>0</v>
      </c>
      <c r="F2" s="10">
        <v>35507000</v>
      </c>
      <c r="G2" s="10">
        <v>11725500</v>
      </c>
      <c r="H2" s="10">
        <v>17560800</v>
      </c>
      <c r="I2" s="10">
        <v>2777600</v>
      </c>
      <c r="J2" s="10">
        <v>67400</v>
      </c>
      <c r="K2" s="10">
        <v>0</v>
      </c>
      <c r="L2" s="10">
        <v>367685400</v>
      </c>
      <c r="M2" s="10">
        <v>0</v>
      </c>
      <c r="N2" s="10">
        <v>1660</v>
      </c>
      <c r="O2" s="10">
        <v>506</v>
      </c>
      <c r="P2" s="10">
        <v>1724800</v>
      </c>
      <c r="Q2" s="10">
        <v>1925000</v>
      </c>
      <c r="R2" s="10">
        <v>11118000</v>
      </c>
      <c r="S2" s="10">
        <v>186000</v>
      </c>
      <c r="T2" s="10">
        <v>120000</v>
      </c>
      <c r="U2" s="10">
        <v>258500</v>
      </c>
      <c r="V2" s="10">
        <v>1724800</v>
      </c>
      <c r="W2" s="10">
        <v>1925000</v>
      </c>
      <c r="X2" s="10">
        <v>11118000</v>
      </c>
      <c r="Y2" s="10">
        <v>186000</v>
      </c>
      <c r="Z2" s="10">
        <v>120000</v>
      </c>
      <c r="AA2" s="10">
        <v>258500</v>
      </c>
      <c r="AB2" s="10">
        <v>-3796800</v>
      </c>
      <c r="AC2" s="10">
        <v>-298081</v>
      </c>
      <c r="AD2" s="10">
        <v>110083</v>
      </c>
      <c r="AE2" s="10">
        <v>0</v>
      </c>
      <c r="AF2" s="10">
        <v>0</v>
      </c>
      <c r="AG2" s="10">
        <v>224472</v>
      </c>
      <c r="AH2" s="10">
        <v>26039260</v>
      </c>
      <c r="AI2" s="10">
        <v>247427</v>
      </c>
      <c r="AJ2" s="31"/>
      <c r="AK2" s="1">
        <v>81968596</v>
      </c>
      <c r="AL2" s="1">
        <v>2720042</v>
      </c>
      <c r="AM2" s="10">
        <v>798865</v>
      </c>
      <c r="AN2" s="10">
        <v>19814708</v>
      </c>
      <c r="AO2" s="10">
        <v>105941</v>
      </c>
      <c r="AP2" s="10">
        <v>15654175</v>
      </c>
      <c r="AQ2" s="10">
        <v>16943998</v>
      </c>
      <c r="AR2" s="10">
        <v>18079660</v>
      </c>
      <c r="AS2" s="10">
        <v>0</v>
      </c>
      <c r="AT2" s="10">
        <v>176803</v>
      </c>
      <c r="AU2" s="10">
        <v>0</v>
      </c>
      <c r="AV2" s="10">
        <v>0</v>
      </c>
      <c r="AW2" s="10">
        <v>44452</v>
      </c>
      <c r="AX2" s="10">
        <v>0</v>
      </c>
      <c r="AY2" s="10">
        <v>300000</v>
      </c>
      <c r="AZ2" s="1">
        <v>6302290.8700000001</v>
      </c>
      <c r="BA2" s="1">
        <v>3214168</v>
      </c>
      <c r="BB2" s="19"/>
      <c r="BC2" s="15">
        <v>0</v>
      </c>
      <c r="BD2" s="15">
        <v>0</v>
      </c>
      <c r="BE2" s="20">
        <v>19000725</v>
      </c>
      <c r="BF2" s="20">
        <v>19000725</v>
      </c>
      <c r="BG2" s="20">
        <v>28952688</v>
      </c>
      <c r="BH2" s="20">
        <v>28952688</v>
      </c>
      <c r="BI2" s="19"/>
      <c r="BJ2" s="19"/>
      <c r="BK2" s="19"/>
      <c r="BL2" s="5">
        <v>706118358</v>
      </c>
      <c r="BM2" s="5">
        <v>570262139</v>
      </c>
      <c r="BN2" s="15">
        <v>280500</v>
      </c>
      <c r="BO2" s="3"/>
      <c r="BP2" s="1"/>
      <c r="BQ2" s="5"/>
      <c r="BR2" s="5"/>
      <c r="BS2" s="5"/>
    </row>
    <row r="3" spans="1:71" x14ac:dyDescent="0.25">
      <c r="A3" s="6" t="s">
        <v>57</v>
      </c>
      <c r="B3" s="10">
        <v>369679321</v>
      </c>
      <c r="C3" s="10">
        <v>144072474</v>
      </c>
      <c r="D3" s="10">
        <v>89508198</v>
      </c>
      <c r="E3" s="10">
        <v>7050000</v>
      </c>
      <c r="F3" s="10">
        <v>37488705</v>
      </c>
      <c r="G3" s="10">
        <v>11005840</v>
      </c>
      <c r="H3" s="10">
        <v>15545005</v>
      </c>
      <c r="I3" s="10">
        <v>1893200</v>
      </c>
      <c r="J3" s="10">
        <v>134400</v>
      </c>
      <c r="K3" s="10">
        <v>0</v>
      </c>
      <c r="L3" s="10">
        <v>243500448</v>
      </c>
      <c r="M3" s="10">
        <v>94552409</v>
      </c>
      <c r="N3" s="10">
        <v>1647</v>
      </c>
      <c r="O3" s="10">
        <v>413</v>
      </c>
      <c r="P3" s="10">
        <v>9435026</v>
      </c>
      <c r="Q3" s="10">
        <v>5414820</v>
      </c>
      <c r="R3" s="10">
        <v>1052000</v>
      </c>
      <c r="S3" s="10">
        <v>2682507</v>
      </c>
      <c r="T3" s="10">
        <v>1511159</v>
      </c>
      <c r="U3" s="10">
        <v>3599800</v>
      </c>
      <c r="V3" s="10">
        <v>9435026</v>
      </c>
      <c r="W3" s="10">
        <v>6009182</v>
      </c>
      <c r="X3" s="10">
        <v>1052000</v>
      </c>
      <c r="Y3" s="10">
        <v>2682507</v>
      </c>
      <c r="Z3" s="10">
        <v>1896588</v>
      </c>
      <c r="AA3" s="10">
        <v>3599800</v>
      </c>
      <c r="AB3" s="10">
        <v>-3398695</v>
      </c>
      <c r="AC3" s="10">
        <v>-69589</v>
      </c>
      <c r="AD3" s="10">
        <v>188740</v>
      </c>
      <c r="AE3" s="10">
        <v>0</v>
      </c>
      <c r="AF3" s="10">
        <v>0</v>
      </c>
      <c r="AG3" s="10">
        <v>199573</v>
      </c>
      <c r="AH3" s="10">
        <v>835892</v>
      </c>
      <c r="AI3" s="10">
        <v>138000</v>
      </c>
      <c r="AJ3" s="31"/>
      <c r="AK3" s="1">
        <v>83410423</v>
      </c>
      <c r="AL3" s="1">
        <v>5317049</v>
      </c>
      <c r="AM3" s="10">
        <v>0</v>
      </c>
      <c r="AN3" s="10">
        <v>23685931</v>
      </c>
      <c r="AO3" s="10">
        <v>1048126</v>
      </c>
      <c r="AP3" s="10">
        <v>65550741</v>
      </c>
      <c r="AQ3" s="10">
        <v>27404549</v>
      </c>
      <c r="AR3" s="10">
        <v>14734209</v>
      </c>
      <c r="AS3" s="10">
        <v>31976472</v>
      </c>
      <c r="AT3" s="10">
        <v>0</v>
      </c>
      <c r="AU3" s="10">
        <v>0</v>
      </c>
      <c r="AV3" s="10">
        <v>0</v>
      </c>
      <c r="AW3" s="10">
        <v>0</v>
      </c>
      <c r="AX3" s="10">
        <v>9644</v>
      </c>
      <c r="AY3" s="10">
        <v>0</v>
      </c>
      <c r="AZ3" s="1">
        <v>6377349.1600000001</v>
      </c>
      <c r="BA3" s="1">
        <v>3252448</v>
      </c>
      <c r="BB3" s="19"/>
      <c r="BC3" s="15">
        <v>0</v>
      </c>
      <c r="BD3" s="15">
        <v>0</v>
      </c>
      <c r="BE3" s="20">
        <v>9134449</v>
      </c>
      <c r="BF3" s="20">
        <v>9134449</v>
      </c>
      <c r="BG3" s="20">
        <v>24600304</v>
      </c>
      <c r="BH3" s="20">
        <v>24600304</v>
      </c>
      <c r="BI3" s="19"/>
      <c r="BJ3" s="19"/>
      <c r="BK3" s="19"/>
      <c r="BL3" s="5">
        <v>782087164</v>
      </c>
      <c r="BM3" s="5">
        <v>656372491</v>
      </c>
      <c r="BN3" s="15">
        <v>1482277</v>
      </c>
      <c r="BO3" s="3"/>
      <c r="BP3" s="1"/>
      <c r="BQ3" s="5"/>
      <c r="BR3" s="5"/>
      <c r="BS3" s="5"/>
    </row>
    <row r="4" spans="1:71" x14ac:dyDescent="0.25">
      <c r="A4" s="6" t="s">
        <v>58</v>
      </c>
      <c r="B4" s="10">
        <v>877365499</v>
      </c>
      <c r="C4" s="10">
        <v>202352330</v>
      </c>
      <c r="D4" s="10">
        <v>175620517</v>
      </c>
      <c r="E4" s="10">
        <v>0</v>
      </c>
      <c r="F4" s="10">
        <v>43059000</v>
      </c>
      <c r="G4" s="10">
        <v>7662300</v>
      </c>
      <c r="H4" s="10">
        <v>8654500</v>
      </c>
      <c r="I4" s="10">
        <v>1139550</v>
      </c>
      <c r="J4" s="10">
        <v>101100</v>
      </c>
      <c r="K4" s="10">
        <v>0</v>
      </c>
      <c r="L4" s="10">
        <v>153753782</v>
      </c>
      <c r="M4" s="10">
        <v>119799415</v>
      </c>
      <c r="N4" s="10">
        <v>1565</v>
      </c>
      <c r="O4" s="10">
        <v>270</v>
      </c>
      <c r="P4" s="10">
        <v>9757025</v>
      </c>
      <c r="Q4" s="10">
        <v>1965000</v>
      </c>
      <c r="R4" s="10">
        <v>7918300</v>
      </c>
      <c r="S4" s="10">
        <v>661400</v>
      </c>
      <c r="T4" s="10">
        <v>95000</v>
      </c>
      <c r="U4" s="10">
        <v>1142000</v>
      </c>
      <c r="V4" s="10">
        <v>9757025</v>
      </c>
      <c r="W4" s="10">
        <v>1965000</v>
      </c>
      <c r="X4" s="10">
        <v>7918300</v>
      </c>
      <c r="Y4" s="10">
        <v>661400</v>
      </c>
      <c r="Z4" s="10">
        <v>45000</v>
      </c>
      <c r="AA4" s="10">
        <v>1142000</v>
      </c>
      <c r="AB4" s="10">
        <v>-4043900</v>
      </c>
      <c r="AC4" s="10">
        <v>-106661</v>
      </c>
      <c r="AD4" s="10">
        <v>0</v>
      </c>
      <c r="AE4" s="10">
        <v>0</v>
      </c>
      <c r="AF4" s="10">
        <v>0</v>
      </c>
      <c r="AG4" s="10">
        <v>31227482</v>
      </c>
      <c r="AH4" s="3"/>
      <c r="AI4" s="10">
        <v>184065</v>
      </c>
      <c r="AJ4" s="31"/>
      <c r="AK4" s="1">
        <v>120676501</v>
      </c>
      <c r="AL4" s="1">
        <v>4232447</v>
      </c>
      <c r="AM4" s="3"/>
      <c r="AN4" s="10">
        <v>21352826</v>
      </c>
      <c r="AO4" s="10">
        <v>2742833</v>
      </c>
      <c r="AP4" s="10">
        <v>80340188</v>
      </c>
      <c r="AQ4" s="10">
        <v>19040075</v>
      </c>
      <c r="AR4" s="10">
        <v>68560953</v>
      </c>
      <c r="AS4" s="10">
        <v>8674766</v>
      </c>
      <c r="AT4" s="10">
        <v>460933</v>
      </c>
      <c r="AU4" s="3"/>
      <c r="AV4" s="3"/>
      <c r="AW4" s="10">
        <v>1000150</v>
      </c>
      <c r="AX4" s="3"/>
      <c r="AY4" s="10">
        <v>95400</v>
      </c>
      <c r="AZ4" s="1">
        <v>9236749.5</v>
      </c>
      <c r="BA4" s="1">
        <v>4710742</v>
      </c>
      <c r="BB4" s="19"/>
      <c r="BC4" s="15">
        <v>1243332</v>
      </c>
      <c r="BD4" s="15">
        <v>2437907</v>
      </c>
      <c r="BE4" s="20">
        <v>10671894</v>
      </c>
      <c r="BF4" s="20">
        <v>10671894</v>
      </c>
      <c r="BG4" s="20">
        <v>31510473</v>
      </c>
      <c r="BH4" s="20">
        <v>28649338</v>
      </c>
      <c r="BI4" s="20">
        <v>44538708</v>
      </c>
      <c r="BJ4" s="19"/>
      <c r="BK4" s="19"/>
      <c r="BL4" s="5">
        <v>1513381107</v>
      </c>
      <c r="BM4" s="5">
        <v>1298658145</v>
      </c>
      <c r="BN4" s="15">
        <v>973848</v>
      </c>
      <c r="BO4" s="3"/>
      <c r="BP4" s="1"/>
      <c r="BQ4" s="5"/>
      <c r="BR4" s="5"/>
      <c r="BS4" s="5"/>
    </row>
    <row r="5" spans="1:71" x14ac:dyDescent="0.25">
      <c r="A5" s="6" t="s">
        <v>59</v>
      </c>
      <c r="B5" s="10">
        <v>135096087</v>
      </c>
      <c r="C5" s="10">
        <v>96920479</v>
      </c>
      <c r="D5" s="10">
        <v>85757906</v>
      </c>
      <c r="E5" s="10">
        <v>0</v>
      </c>
      <c r="F5" s="10">
        <v>19927700</v>
      </c>
      <c r="G5" s="10">
        <v>4548575</v>
      </c>
      <c r="H5" s="10">
        <v>5475326</v>
      </c>
      <c r="I5" s="10">
        <v>669300</v>
      </c>
      <c r="J5" s="10">
        <v>15000</v>
      </c>
      <c r="K5" s="10">
        <v>0</v>
      </c>
      <c r="L5" s="10">
        <v>180869336</v>
      </c>
      <c r="M5" s="10">
        <v>36068150</v>
      </c>
      <c r="N5" s="10">
        <v>807</v>
      </c>
      <c r="O5" s="10">
        <v>178</v>
      </c>
      <c r="P5" s="10">
        <v>1835300</v>
      </c>
      <c r="Q5" s="10">
        <v>1174000</v>
      </c>
      <c r="R5" s="10">
        <v>9484125</v>
      </c>
      <c r="S5" s="10">
        <v>670190</v>
      </c>
      <c r="T5" s="10">
        <v>75500</v>
      </c>
      <c r="U5" s="10">
        <v>3279687</v>
      </c>
      <c r="V5" s="10">
        <v>1835300</v>
      </c>
      <c r="W5" s="10">
        <v>1174000</v>
      </c>
      <c r="X5" s="10">
        <v>9484125</v>
      </c>
      <c r="Y5" s="10">
        <v>670190</v>
      </c>
      <c r="Z5" s="10">
        <v>75500</v>
      </c>
      <c r="AA5" s="10">
        <v>3279687</v>
      </c>
      <c r="AB5" s="10">
        <v>-1198508</v>
      </c>
      <c r="AC5" s="10">
        <v>-28185</v>
      </c>
      <c r="AD5" s="10">
        <v>33929</v>
      </c>
      <c r="AE5" s="10">
        <v>6114</v>
      </c>
      <c r="AF5" s="10">
        <v>8266</v>
      </c>
      <c r="AG5" s="10">
        <v>141940</v>
      </c>
      <c r="AH5" s="3"/>
      <c r="AI5" s="3"/>
      <c r="AJ5" s="32"/>
      <c r="AK5" s="1">
        <v>53687614</v>
      </c>
      <c r="AL5" s="1">
        <v>2088836</v>
      </c>
      <c r="AM5" s="10">
        <v>0</v>
      </c>
      <c r="AN5" s="10">
        <v>18017599</v>
      </c>
      <c r="AO5" s="10">
        <v>17630425</v>
      </c>
      <c r="AP5" s="10">
        <v>169556371</v>
      </c>
      <c r="AQ5" s="10">
        <v>7660904</v>
      </c>
      <c r="AR5" s="10">
        <v>10973768</v>
      </c>
      <c r="AS5" s="10">
        <v>0</v>
      </c>
      <c r="AT5" s="10">
        <v>215112</v>
      </c>
      <c r="AU5" s="10">
        <v>0</v>
      </c>
      <c r="AV5" s="10">
        <v>0</v>
      </c>
      <c r="AW5" s="10">
        <v>0</v>
      </c>
      <c r="AX5" s="10">
        <v>0</v>
      </c>
      <c r="AY5" s="10">
        <v>137500</v>
      </c>
      <c r="AZ5" s="1">
        <v>4019911.71</v>
      </c>
      <c r="BA5" s="1">
        <v>2050155</v>
      </c>
      <c r="BB5" s="19">
        <v>23464436.920000002</v>
      </c>
      <c r="BC5" s="15">
        <v>507367</v>
      </c>
      <c r="BD5" s="15">
        <v>994836</v>
      </c>
      <c r="BE5" s="20">
        <v>10178648</v>
      </c>
      <c r="BF5" s="20">
        <v>10178648</v>
      </c>
      <c r="BG5" s="20">
        <v>40030629</v>
      </c>
      <c r="BH5" s="20">
        <v>36462618</v>
      </c>
      <c r="BI5" s="19"/>
      <c r="BJ5" s="19"/>
      <c r="BK5" s="19"/>
      <c r="BL5" s="5">
        <v>466058638</v>
      </c>
      <c r="BM5" s="5">
        <v>361083400</v>
      </c>
      <c r="BN5" s="15">
        <v>2496573</v>
      </c>
      <c r="BO5" s="3"/>
      <c r="BP5" s="1"/>
      <c r="BQ5" s="5"/>
      <c r="BR5" s="5"/>
      <c r="BS5" s="5"/>
    </row>
    <row r="6" spans="1:71" x14ac:dyDescent="0.25">
      <c r="A6" s="6" t="s">
        <v>60</v>
      </c>
      <c r="B6" s="10">
        <v>1017535282</v>
      </c>
      <c r="C6" s="10">
        <v>287330665</v>
      </c>
      <c r="D6" s="10">
        <v>447753322</v>
      </c>
      <c r="E6" s="10">
        <v>4201800</v>
      </c>
      <c r="F6" s="10">
        <v>91510440</v>
      </c>
      <c r="G6" s="10">
        <v>14957549</v>
      </c>
      <c r="H6" s="10">
        <v>23958925</v>
      </c>
      <c r="I6" s="10">
        <v>1840350</v>
      </c>
      <c r="J6" s="10">
        <v>303300</v>
      </c>
      <c r="K6" s="10">
        <v>33700</v>
      </c>
      <c r="L6" s="10">
        <v>332951580</v>
      </c>
      <c r="M6" s="10">
        <v>199518410</v>
      </c>
      <c r="N6" s="10">
        <v>3553</v>
      </c>
      <c r="O6" s="10">
        <v>549</v>
      </c>
      <c r="P6" s="10">
        <v>33492175</v>
      </c>
      <c r="Q6" s="10">
        <v>7050400</v>
      </c>
      <c r="R6" s="10">
        <v>14203800</v>
      </c>
      <c r="S6" s="10">
        <v>10299629</v>
      </c>
      <c r="T6" s="10">
        <v>6425080</v>
      </c>
      <c r="U6" s="10">
        <v>10003900</v>
      </c>
      <c r="V6" s="10">
        <v>33423375</v>
      </c>
      <c r="W6" s="10">
        <v>8212500</v>
      </c>
      <c r="X6" s="10">
        <v>14203800</v>
      </c>
      <c r="Y6" s="10">
        <v>10153629</v>
      </c>
      <c r="Z6" s="10">
        <v>4546300</v>
      </c>
      <c r="AA6" s="10">
        <v>10003900</v>
      </c>
      <c r="AB6" s="10">
        <v>-3617250</v>
      </c>
      <c r="AC6" s="10">
        <v>-9176503</v>
      </c>
      <c r="AD6" s="10">
        <v>21</v>
      </c>
      <c r="AE6" s="10">
        <v>0</v>
      </c>
      <c r="AF6" s="10">
        <v>0</v>
      </c>
      <c r="AG6" s="10">
        <v>265922</v>
      </c>
      <c r="AH6" s="10">
        <v>1091564</v>
      </c>
      <c r="AI6" s="33">
        <v>450718</v>
      </c>
      <c r="AJ6" s="34"/>
      <c r="AK6" s="1">
        <v>211443205</v>
      </c>
      <c r="AL6" s="1">
        <v>9975764</v>
      </c>
      <c r="AM6" s="10">
        <v>1497126</v>
      </c>
      <c r="AN6" s="10">
        <v>81314458</v>
      </c>
      <c r="AO6" s="10">
        <v>11300771</v>
      </c>
      <c r="AP6" s="10">
        <v>341497932</v>
      </c>
      <c r="AQ6" s="10">
        <v>83027738</v>
      </c>
      <c r="AR6" s="10">
        <v>85203717</v>
      </c>
      <c r="AS6" s="10">
        <v>21090431</v>
      </c>
      <c r="AT6" s="10">
        <v>0</v>
      </c>
      <c r="AU6" s="10">
        <v>0</v>
      </c>
      <c r="AV6" s="10">
        <v>1048685</v>
      </c>
      <c r="AW6" s="10">
        <v>13037952</v>
      </c>
      <c r="AX6" s="10">
        <v>3291892</v>
      </c>
      <c r="AY6" s="10">
        <v>862595</v>
      </c>
      <c r="AZ6" s="1">
        <v>16305840.42</v>
      </c>
      <c r="BA6" s="1">
        <v>8315979</v>
      </c>
      <c r="BB6" s="19"/>
      <c r="BC6" s="15">
        <v>1475552</v>
      </c>
      <c r="BD6" s="15">
        <v>2893239</v>
      </c>
      <c r="BE6" s="20">
        <v>21746453</v>
      </c>
      <c r="BF6" s="20">
        <v>21109453</v>
      </c>
      <c r="BG6" s="20">
        <v>68257091</v>
      </c>
      <c r="BH6" s="20">
        <v>67234749</v>
      </c>
      <c r="BI6" s="19"/>
      <c r="BJ6" s="19">
        <v>18359178</v>
      </c>
      <c r="BK6" s="19"/>
      <c r="BL6" s="5">
        <v>2267718398</v>
      </c>
      <c r="BM6" s="5">
        <v>1929804518</v>
      </c>
      <c r="BN6" s="15">
        <v>5855422</v>
      </c>
      <c r="BO6" s="3"/>
      <c r="BP6" s="1"/>
      <c r="BQ6" s="5"/>
      <c r="BR6" s="5"/>
      <c r="BS6" s="5"/>
    </row>
    <row r="7" spans="1:71" x14ac:dyDescent="0.25">
      <c r="A7" s="6" t="s">
        <v>61</v>
      </c>
      <c r="B7" s="10">
        <v>166066041</v>
      </c>
      <c r="C7" s="10">
        <v>80396240</v>
      </c>
      <c r="D7" s="10">
        <v>33522100</v>
      </c>
      <c r="E7" s="10">
        <v>0</v>
      </c>
      <c r="F7" s="10">
        <v>20385300</v>
      </c>
      <c r="G7" s="10">
        <v>13567600</v>
      </c>
      <c r="H7" s="10">
        <v>6169500</v>
      </c>
      <c r="I7" s="10">
        <v>2653300</v>
      </c>
      <c r="J7" s="10">
        <v>33700</v>
      </c>
      <c r="K7" s="10">
        <v>0</v>
      </c>
      <c r="L7" s="10">
        <v>131542488</v>
      </c>
      <c r="M7" s="10">
        <v>48944500</v>
      </c>
      <c r="N7" s="10">
        <v>870</v>
      </c>
      <c r="O7" s="10">
        <v>575</v>
      </c>
      <c r="P7" s="10">
        <v>7054000</v>
      </c>
      <c r="Q7" s="10">
        <v>2925394</v>
      </c>
      <c r="R7" s="10">
        <v>2320200</v>
      </c>
      <c r="S7" s="10">
        <v>2130635</v>
      </c>
      <c r="T7" s="10">
        <v>1276100</v>
      </c>
      <c r="U7" s="10">
        <v>624200</v>
      </c>
      <c r="V7" s="10">
        <v>7054000</v>
      </c>
      <c r="W7" s="10">
        <v>2627140</v>
      </c>
      <c r="X7" s="10">
        <v>2320200</v>
      </c>
      <c r="Y7" s="10">
        <v>2130635</v>
      </c>
      <c r="Z7" s="10">
        <v>1164006</v>
      </c>
      <c r="AA7" s="10">
        <v>624200</v>
      </c>
      <c r="AB7" s="10">
        <v>-3514935</v>
      </c>
      <c r="AC7" s="10">
        <v>0</v>
      </c>
      <c r="AD7" s="10">
        <v>0</v>
      </c>
      <c r="AE7" s="10">
        <v>9804</v>
      </c>
      <c r="AF7" s="10">
        <v>10144550</v>
      </c>
      <c r="AG7" s="10">
        <v>190729</v>
      </c>
      <c r="AH7" s="3"/>
      <c r="AI7" s="33"/>
      <c r="AJ7" s="34"/>
      <c r="AK7" s="1">
        <v>53395772</v>
      </c>
      <c r="AL7" s="1">
        <v>1647570</v>
      </c>
      <c r="AM7" s="10">
        <v>0</v>
      </c>
      <c r="AN7" s="10">
        <v>9423587</v>
      </c>
      <c r="AO7" s="10">
        <v>622992</v>
      </c>
      <c r="AP7" s="10">
        <v>2724644</v>
      </c>
      <c r="AQ7" s="10">
        <v>3776134</v>
      </c>
      <c r="AR7" s="10">
        <v>4426992</v>
      </c>
      <c r="AS7" s="10">
        <v>0</v>
      </c>
      <c r="AT7" s="10">
        <v>916961</v>
      </c>
      <c r="AU7" s="10">
        <v>0</v>
      </c>
      <c r="AV7" s="10">
        <v>0</v>
      </c>
      <c r="AW7" s="10">
        <v>12921</v>
      </c>
      <c r="AX7" s="10">
        <v>0</v>
      </c>
      <c r="AY7" s="10">
        <v>0</v>
      </c>
      <c r="AZ7" s="1">
        <v>3955850.94</v>
      </c>
      <c r="BA7" s="1">
        <v>2017484</v>
      </c>
      <c r="BB7" s="19"/>
      <c r="BC7" s="15">
        <v>0</v>
      </c>
      <c r="BD7" s="15">
        <v>0</v>
      </c>
      <c r="BE7" s="20">
        <v>18221817</v>
      </c>
      <c r="BF7" s="20">
        <v>18221817</v>
      </c>
      <c r="BG7" s="20">
        <v>34550167</v>
      </c>
      <c r="BH7" s="20">
        <v>34550167</v>
      </c>
      <c r="BI7" s="19"/>
      <c r="BJ7" s="19"/>
      <c r="BK7" s="19"/>
      <c r="BL7" s="5">
        <v>403639904</v>
      </c>
      <c r="BM7" s="5">
        <v>293807094</v>
      </c>
      <c r="BN7" s="15">
        <v>713500</v>
      </c>
      <c r="BO7" s="3"/>
      <c r="BP7" s="1"/>
      <c r="BQ7" s="5"/>
      <c r="BR7" s="5"/>
      <c r="BS7" s="5"/>
    </row>
    <row r="8" spans="1:71" x14ac:dyDescent="0.25">
      <c r="A8" s="6" t="s">
        <v>62</v>
      </c>
      <c r="B8" s="10">
        <v>426225275</v>
      </c>
      <c r="C8" s="10">
        <v>26158821</v>
      </c>
      <c r="D8" s="10">
        <v>179473771</v>
      </c>
      <c r="E8" s="10">
        <v>0</v>
      </c>
      <c r="F8" s="10">
        <v>63109300</v>
      </c>
      <c r="G8" s="10">
        <v>22799100</v>
      </c>
      <c r="H8" s="10">
        <v>3868900</v>
      </c>
      <c r="I8" s="10">
        <v>786600</v>
      </c>
      <c r="J8" s="10">
        <v>0</v>
      </c>
      <c r="K8" s="10">
        <v>0</v>
      </c>
      <c r="L8" s="10">
        <v>34547625</v>
      </c>
      <c r="M8" s="10">
        <v>0</v>
      </c>
      <c r="N8" s="10">
        <v>2424</v>
      </c>
      <c r="O8" s="10">
        <v>898</v>
      </c>
      <c r="P8" s="10">
        <v>2980900</v>
      </c>
      <c r="Q8" s="10">
        <v>6152800</v>
      </c>
      <c r="R8" s="10">
        <v>115000</v>
      </c>
      <c r="S8" s="10">
        <v>3271800</v>
      </c>
      <c r="T8" s="10">
        <v>20700</v>
      </c>
      <c r="U8" s="10">
        <v>21761100</v>
      </c>
      <c r="V8" s="10">
        <v>2980900</v>
      </c>
      <c r="W8" s="10">
        <v>21533700</v>
      </c>
      <c r="X8" s="10">
        <v>115000</v>
      </c>
      <c r="Y8" s="10">
        <v>3271800</v>
      </c>
      <c r="Z8" s="10">
        <v>42650</v>
      </c>
      <c r="AA8" s="10">
        <v>21761100</v>
      </c>
      <c r="AB8" s="10">
        <v>-5315500</v>
      </c>
      <c r="AC8" s="10">
        <v>-39766</v>
      </c>
      <c r="AD8" s="10">
        <v>160252</v>
      </c>
      <c r="AE8" s="10">
        <v>0</v>
      </c>
      <c r="AF8" s="10">
        <v>0</v>
      </c>
      <c r="AG8" s="10">
        <v>0</v>
      </c>
      <c r="AH8" s="10">
        <v>22401766</v>
      </c>
      <c r="AI8" s="33">
        <v>92076343</v>
      </c>
      <c r="AJ8" s="15">
        <v>39770355</v>
      </c>
      <c r="AK8" s="1">
        <v>103170222</v>
      </c>
      <c r="AL8" s="1">
        <v>1125159</v>
      </c>
      <c r="AM8" s="10">
        <v>0</v>
      </c>
      <c r="AN8" s="10">
        <v>87490899</v>
      </c>
      <c r="AO8" s="10">
        <v>4428025</v>
      </c>
      <c r="AP8" s="10">
        <v>33460691</v>
      </c>
      <c r="AQ8" s="10">
        <v>37250352</v>
      </c>
      <c r="AR8" s="10">
        <v>8703393</v>
      </c>
      <c r="AS8" s="10">
        <v>690468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424393</v>
      </c>
      <c r="AZ8" s="1">
        <v>7964846.2599999998</v>
      </c>
      <c r="BA8" s="1">
        <v>4062072</v>
      </c>
      <c r="BB8" s="19"/>
      <c r="BC8" s="15">
        <v>5982373</v>
      </c>
      <c r="BD8" s="15">
        <v>11730144</v>
      </c>
      <c r="BE8" s="20">
        <v>35381619</v>
      </c>
      <c r="BF8" s="20">
        <v>35381619</v>
      </c>
      <c r="BG8" s="20">
        <v>67965402</v>
      </c>
      <c r="BH8" s="20">
        <v>62377018</v>
      </c>
      <c r="BI8" s="19"/>
      <c r="BJ8" s="19"/>
      <c r="BK8" s="19"/>
      <c r="BL8" s="5">
        <v>1127374070</v>
      </c>
      <c r="BM8" s="5">
        <v>915275607</v>
      </c>
      <c r="BN8" s="15">
        <v>2436300</v>
      </c>
      <c r="BO8" s="3"/>
      <c r="BP8" s="1"/>
      <c r="BQ8" s="5"/>
      <c r="BR8" s="5"/>
      <c r="BS8" s="5"/>
    </row>
    <row r="9" spans="1:71" x14ac:dyDescent="0.25">
      <c r="A9" s="6" t="s">
        <v>63</v>
      </c>
      <c r="B9" s="10">
        <v>5909245929</v>
      </c>
      <c r="C9" s="10">
        <v>257152430</v>
      </c>
      <c r="D9" s="10">
        <v>3957977406</v>
      </c>
      <c r="E9" s="10">
        <v>112726382</v>
      </c>
      <c r="F9" s="10">
        <v>177130570</v>
      </c>
      <c r="G9" s="10">
        <v>18301130</v>
      </c>
      <c r="H9" s="10">
        <v>12277707</v>
      </c>
      <c r="I9" s="10">
        <v>480500</v>
      </c>
      <c r="J9" s="10">
        <v>707700</v>
      </c>
      <c r="K9" s="10">
        <v>101100</v>
      </c>
      <c r="L9" s="10">
        <v>826607275</v>
      </c>
      <c r="M9" s="10">
        <v>207723237</v>
      </c>
      <c r="N9" s="10">
        <v>5771</v>
      </c>
      <c r="O9" s="10">
        <v>589</v>
      </c>
      <c r="P9" s="10">
        <v>146136790</v>
      </c>
      <c r="Q9" s="10">
        <v>6518216</v>
      </c>
      <c r="R9" s="10">
        <v>184596929</v>
      </c>
      <c r="S9" s="10">
        <v>24914341</v>
      </c>
      <c r="T9" s="10">
        <v>1178470</v>
      </c>
      <c r="U9" s="10">
        <v>94146587</v>
      </c>
      <c r="V9" s="10">
        <v>146136790</v>
      </c>
      <c r="W9" s="10">
        <v>12575760</v>
      </c>
      <c r="X9" s="10">
        <v>184596929</v>
      </c>
      <c r="Y9" s="10">
        <v>24914341</v>
      </c>
      <c r="Z9" s="10">
        <v>8914662</v>
      </c>
      <c r="AA9" s="10">
        <v>94146587</v>
      </c>
      <c r="AB9" s="10">
        <v>-61873128</v>
      </c>
      <c r="AC9" s="10">
        <v>-139597859</v>
      </c>
      <c r="AD9" s="10">
        <v>225</v>
      </c>
      <c r="AE9" s="10">
        <v>0</v>
      </c>
      <c r="AF9" s="10">
        <v>0</v>
      </c>
      <c r="AG9" s="10">
        <v>87740</v>
      </c>
      <c r="AH9" s="3"/>
      <c r="AI9" s="33">
        <v>1001581</v>
      </c>
      <c r="AJ9" s="34"/>
      <c r="AK9" s="1">
        <v>777543019</v>
      </c>
      <c r="AL9" s="1">
        <v>16998933</v>
      </c>
      <c r="AM9" s="10">
        <v>197750</v>
      </c>
      <c r="AN9" s="10">
        <v>553240643</v>
      </c>
      <c r="AO9" s="10">
        <v>21735956</v>
      </c>
      <c r="AP9" s="10">
        <v>692707791</v>
      </c>
      <c r="AQ9" s="10">
        <v>641845000</v>
      </c>
      <c r="AR9" s="10">
        <v>336543506</v>
      </c>
      <c r="AS9" s="10">
        <v>1134951570</v>
      </c>
      <c r="AT9" s="10">
        <v>511771608</v>
      </c>
      <c r="AU9" s="10">
        <v>32408409</v>
      </c>
      <c r="AV9" s="10">
        <v>0</v>
      </c>
      <c r="AW9" s="10">
        <v>24481344</v>
      </c>
      <c r="AX9" s="10">
        <v>1437873</v>
      </c>
      <c r="AY9" s="10">
        <v>40179725</v>
      </c>
      <c r="AZ9" s="1">
        <v>61339525.490000002</v>
      </c>
      <c r="BA9" s="1">
        <v>31283158</v>
      </c>
      <c r="BB9" s="19">
        <v>31285915.969999999</v>
      </c>
      <c r="BC9" s="15">
        <v>899399</v>
      </c>
      <c r="BD9" s="15">
        <v>1763527</v>
      </c>
      <c r="BE9" s="20">
        <v>201216502</v>
      </c>
      <c r="BF9" s="20">
        <v>201216502</v>
      </c>
      <c r="BG9" s="20">
        <v>836956905</v>
      </c>
      <c r="BH9" s="20">
        <v>523564152</v>
      </c>
      <c r="BI9" s="19"/>
      <c r="BJ9" s="19"/>
      <c r="BK9" s="19"/>
      <c r="BL9" s="5">
        <v>12893704108</v>
      </c>
      <c r="BM9" s="5">
        <v>11342198945</v>
      </c>
      <c r="BN9" s="15">
        <v>8143500</v>
      </c>
      <c r="BO9" s="3"/>
      <c r="BP9" s="1"/>
      <c r="BQ9" s="5"/>
      <c r="BR9" s="5"/>
      <c r="BS9" s="5"/>
    </row>
    <row r="10" spans="1:71" x14ac:dyDescent="0.25">
      <c r="A10" s="6" t="s">
        <v>64</v>
      </c>
      <c r="B10" s="10">
        <v>554071331</v>
      </c>
      <c r="C10" s="10">
        <v>298679495</v>
      </c>
      <c r="D10" s="10">
        <v>158503055</v>
      </c>
      <c r="E10" s="10">
        <v>0</v>
      </c>
      <c r="F10" s="10">
        <v>41624100</v>
      </c>
      <c r="G10" s="10">
        <v>6498400</v>
      </c>
      <c r="H10" s="10">
        <v>8005500</v>
      </c>
      <c r="I10" s="10">
        <v>707700</v>
      </c>
      <c r="J10" s="10">
        <v>168500</v>
      </c>
      <c r="K10" s="10">
        <v>0</v>
      </c>
      <c r="L10" s="10">
        <v>735849936</v>
      </c>
      <c r="M10" s="10">
        <v>170386200</v>
      </c>
      <c r="N10" s="10">
        <v>1497</v>
      </c>
      <c r="O10" s="10">
        <v>218</v>
      </c>
      <c r="P10" s="10">
        <v>6429500</v>
      </c>
      <c r="Q10" s="10">
        <v>5820708</v>
      </c>
      <c r="R10" s="10">
        <v>4307000</v>
      </c>
      <c r="S10" s="10">
        <v>1434463</v>
      </c>
      <c r="T10" s="10">
        <v>1011600</v>
      </c>
      <c r="U10" s="10">
        <v>1708200</v>
      </c>
      <c r="V10" s="10">
        <v>6429500</v>
      </c>
      <c r="W10" s="10">
        <v>5885708</v>
      </c>
      <c r="X10" s="10">
        <v>4307000</v>
      </c>
      <c r="Y10" s="10">
        <v>1434463</v>
      </c>
      <c r="Z10" s="10">
        <v>505490</v>
      </c>
      <c r="AA10" s="10">
        <v>1708200</v>
      </c>
      <c r="AB10" s="10">
        <v>-5171100</v>
      </c>
      <c r="AC10" s="10">
        <v>-30091087</v>
      </c>
      <c r="AD10" s="10">
        <v>0</v>
      </c>
      <c r="AE10" s="10">
        <v>0</v>
      </c>
      <c r="AF10" s="10">
        <v>0</v>
      </c>
      <c r="AG10" s="10">
        <v>176100</v>
      </c>
      <c r="AH10" s="3"/>
      <c r="AI10" s="33">
        <v>644435</v>
      </c>
      <c r="AJ10" s="34"/>
      <c r="AK10" s="1">
        <v>126780888</v>
      </c>
      <c r="AL10" s="1">
        <v>2666922</v>
      </c>
      <c r="AM10" s="10">
        <v>0</v>
      </c>
      <c r="AN10" s="10">
        <v>37130853</v>
      </c>
      <c r="AO10" s="10">
        <v>13237265</v>
      </c>
      <c r="AP10" s="10">
        <v>175867641</v>
      </c>
      <c r="AQ10" s="10">
        <v>56406571</v>
      </c>
      <c r="AR10" s="10">
        <v>51762303</v>
      </c>
      <c r="AS10" s="10">
        <v>0</v>
      </c>
      <c r="AT10" s="10">
        <v>197935090</v>
      </c>
      <c r="AU10" s="10">
        <v>0</v>
      </c>
      <c r="AV10" s="10">
        <v>27834</v>
      </c>
      <c r="AW10" s="10">
        <v>35000</v>
      </c>
      <c r="AX10" s="10">
        <v>15436</v>
      </c>
      <c r="AY10" s="10">
        <v>16800</v>
      </c>
      <c r="AZ10" s="1">
        <v>9650892.1799999997</v>
      </c>
      <c r="BA10" s="1">
        <v>4921955</v>
      </c>
      <c r="BB10" s="19"/>
      <c r="BC10" s="15">
        <v>1736735</v>
      </c>
      <c r="BD10" s="15">
        <v>3405362</v>
      </c>
      <c r="BE10" s="20">
        <v>10602818</v>
      </c>
      <c r="BF10" s="20">
        <v>10602818</v>
      </c>
      <c r="BG10" s="20">
        <v>37445176</v>
      </c>
      <c r="BH10" s="20">
        <v>34353648</v>
      </c>
      <c r="BI10" s="19"/>
      <c r="BJ10" s="19"/>
      <c r="BK10" s="19"/>
      <c r="BL10" s="5">
        <v>1299735971</v>
      </c>
      <c r="BM10" s="5">
        <v>1118673005</v>
      </c>
      <c r="BN10" s="15">
        <v>1409630</v>
      </c>
      <c r="BO10" s="3"/>
      <c r="BP10" s="1"/>
      <c r="BQ10" s="5"/>
      <c r="BR10" s="5"/>
      <c r="BS10" s="5"/>
    </row>
    <row r="11" spans="1:71" x14ac:dyDescent="0.25">
      <c r="A11" s="6" t="s">
        <v>65</v>
      </c>
      <c r="B11" s="10">
        <v>1057925475</v>
      </c>
      <c r="C11" s="10">
        <v>71615975</v>
      </c>
      <c r="D11" s="10">
        <v>564295669</v>
      </c>
      <c r="E11" s="10">
        <v>0</v>
      </c>
      <c r="F11" s="10">
        <v>132722260</v>
      </c>
      <c r="G11" s="10">
        <v>31915900</v>
      </c>
      <c r="H11" s="10">
        <v>7506600</v>
      </c>
      <c r="I11" s="10">
        <v>1401600</v>
      </c>
      <c r="J11" s="10">
        <v>432200</v>
      </c>
      <c r="K11" s="10">
        <v>48100</v>
      </c>
      <c r="L11" s="10">
        <v>34986495</v>
      </c>
      <c r="M11" s="10">
        <v>62996150</v>
      </c>
      <c r="N11" s="10">
        <v>4498</v>
      </c>
      <c r="O11" s="10">
        <v>1097</v>
      </c>
      <c r="P11" s="10">
        <v>9047800</v>
      </c>
      <c r="Q11" s="10">
        <v>804550</v>
      </c>
      <c r="R11" s="10">
        <v>3758300</v>
      </c>
      <c r="S11" s="10">
        <v>2761155</v>
      </c>
      <c r="T11" s="10">
        <v>0</v>
      </c>
      <c r="U11" s="10">
        <v>4678400</v>
      </c>
      <c r="V11" s="10">
        <v>9047800</v>
      </c>
      <c r="W11" s="10">
        <v>929750</v>
      </c>
      <c r="X11" s="10">
        <v>3758300</v>
      </c>
      <c r="Y11" s="10">
        <v>2761155</v>
      </c>
      <c r="Z11" s="10">
        <v>0</v>
      </c>
      <c r="AA11" s="10">
        <v>4678400</v>
      </c>
      <c r="AB11" s="10">
        <v>-15361073</v>
      </c>
      <c r="AC11" s="10">
        <v>-5550696</v>
      </c>
      <c r="AD11" s="10">
        <v>21470</v>
      </c>
      <c r="AE11" s="10">
        <v>0</v>
      </c>
      <c r="AF11" s="10">
        <v>0</v>
      </c>
      <c r="AG11" s="10">
        <v>583</v>
      </c>
      <c r="AH11" s="10">
        <v>243563</v>
      </c>
      <c r="AI11" s="33">
        <v>7989499</v>
      </c>
      <c r="AJ11" s="15">
        <v>296145</v>
      </c>
      <c r="AK11" s="1">
        <v>285392642</v>
      </c>
      <c r="AL11" s="1">
        <v>7070894</v>
      </c>
      <c r="AM11" s="10">
        <v>0</v>
      </c>
      <c r="AN11" s="10">
        <v>175554669</v>
      </c>
      <c r="AO11" s="10">
        <v>18073428</v>
      </c>
      <c r="AP11" s="10">
        <v>397004037</v>
      </c>
      <c r="AQ11" s="10">
        <v>113616192</v>
      </c>
      <c r="AR11" s="10">
        <v>233427845</v>
      </c>
      <c r="AS11" s="10">
        <v>6345669</v>
      </c>
      <c r="AT11" s="10">
        <v>1133437612</v>
      </c>
      <c r="AU11" s="10">
        <v>0</v>
      </c>
      <c r="AV11" s="10">
        <v>0</v>
      </c>
      <c r="AW11" s="10">
        <v>0</v>
      </c>
      <c r="AX11" s="10">
        <v>0</v>
      </c>
      <c r="AY11" s="10">
        <v>2567085</v>
      </c>
      <c r="AZ11" s="1">
        <v>21071179.399999999</v>
      </c>
      <c r="BA11" s="1">
        <v>10746301</v>
      </c>
      <c r="BB11" s="19">
        <v>17558422.239999998</v>
      </c>
      <c r="BC11" s="15">
        <v>4849203</v>
      </c>
      <c r="BD11" s="15">
        <v>9508242</v>
      </c>
      <c r="BE11" s="20">
        <v>49041361</v>
      </c>
      <c r="BF11" s="20">
        <v>49041361</v>
      </c>
      <c r="BG11" s="20">
        <v>104091831</v>
      </c>
      <c r="BH11" s="20">
        <v>101220489</v>
      </c>
      <c r="BI11" s="19"/>
      <c r="BJ11" s="19"/>
      <c r="BK11" s="19"/>
      <c r="BL11" s="5">
        <v>2467931505</v>
      </c>
      <c r="BM11" s="5">
        <v>2009610615</v>
      </c>
      <c r="BN11" s="15">
        <v>5397500</v>
      </c>
      <c r="BO11" s="3"/>
      <c r="BP11" s="1"/>
      <c r="BQ11" s="5"/>
      <c r="BR11" s="5"/>
      <c r="BS11" s="5"/>
    </row>
    <row r="12" spans="1:71" x14ac:dyDescent="0.25">
      <c r="A12" s="6" t="s">
        <v>66</v>
      </c>
      <c r="B12" s="10">
        <v>969436711</v>
      </c>
      <c r="C12" s="10">
        <v>158722935</v>
      </c>
      <c r="D12" s="10">
        <v>410336450</v>
      </c>
      <c r="E12" s="10">
        <v>0</v>
      </c>
      <c r="F12" s="10">
        <v>74359600</v>
      </c>
      <c r="G12" s="10">
        <v>11264000</v>
      </c>
      <c r="H12" s="10">
        <v>8689100</v>
      </c>
      <c r="I12" s="10">
        <v>1011000</v>
      </c>
      <c r="J12" s="10">
        <v>134800</v>
      </c>
      <c r="K12" s="10">
        <v>0</v>
      </c>
      <c r="L12" s="10">
        <v>265087571</v>
      </c>
      <c r="M12" s="10">
        <v>131742700</v>
      </c>
      <c r="N12" s="10">
        <v>2540</v>
      </c>
      <c r="O12" s="10">
        <v>389</v>
      </c>
      <c r="P12" s="10">
        <v>7979300</v>
      </c>
      <c r="Q12" s="10">
        <v>1863000</v>
      </c>
      <c r="R12" s="10">
        <v>2700000</v>
      </c>
      <c r="S12" s="10">
        <v>24724710</v>
      </c>
      <c r="T12" s="10">
        <v>263000</v>
      </c>
      <c r="U12" s="10">
        <v>1707000</v>
      </c>
      <c r="V12" s="10">
        <v>7979300</v>
      </c>
      <c r="W12" s="10">
        <v>1863000</v>
      </c>
      <c r="X12" s="10">
        <v>2700000</v>
      </c>
      <c r="Y12" s="10">
        <v>24724710</v>
      </c>
      <c r="Z12" s="10">
        <v>284000</v>
      </c>
      <c r="AA12" s="10">
        <v>1707000</v>
      </c>
      <c r="AB12" s="10">
        <v>-1767000</v>
      </c>
      <c r="AC12" s="10">
        <v>-3606915</v>
      </c>
      <c r="AD12" s="10">
        <v>14624</v>
      </c>
      <c r="AE12" s="10">
        <v>0</v>
      </c>
      <c r="AF12" s="10">
        <v>0</v>
      </c>
      <c r="AG12" s="10">
        <v>98650</v>
      </c>
      <c r="AH12" s="3"/>
      <c r="AI12" s="33">
        <v>114718</v>
      </c>
      <c r="AJ12" s="34"/>
      <c r="AK12" s="1">
        <v>137904555</v>
      </c>
      <c r="AL12" s="1">
        <v>4589729</v>
      </c>
      <c r="AM12" s="10">
        <v>0</v>
      </c>
      <c r="AN12" s="10">
        <v>92400856</v>
      </c>
      <c r="AO12" s="10">
        <v>10129221</v>
      </c>
      <c r="AP12" s="10">
        <v>280778522</v>
      </c>
      <c r="AQ12" s="10">
        <v>61503295</v>
      </c>
      <c r="AR12" s="10">
        <v>81722356</v>
      </c>
      <c r="AS12" s="10">
        <v>108803271</v>
      </c>
      <c r="AT12" s="10">
        <v>726859</v>
      </c>
      <c r="AU12" s="10">
        <v>0</v>
      </c>
      <c r="AV12" s="10">
        <v>437489</v>
      </c>
      <c r="AW12" s="10">
        <v>20590</v>
      </c>
      <c r="AX12" s="10">
        <v>19254</v>
      </c>
      <c r="AY12" s="10">
        <v>4446649</v>
      </c>
      <c r="AZ12" s="1">
        <v>10738548.68</v>
      </c>
      <c r="BA12" s="1">
        <v>5476660</v>
      </c>
      <c r="BB12" s="19"/>
      <c r="BC12" s="15">
        <v>2304613</v>
      </c>
      <c r="BD12" s="15">
        <v>4518849</v>
      </c>
      <c r="BE12" s="20">
        <v>31988214</v>
      </c>
      <c r="BF12" s="20">
        <v>31988214</v>
      </c>
      <c r="BG12" s="20">
        <v>50842815</v>
      </c>
      <c r="BH12" s="20">
        <v>46546353</v>
      </c>
      <c r="BI12" s="19"/>
      <c r="BJ12" s="19"/>
      <c r="BK12" s="19"/>
      <c r="BL12" s="5">
        <v>1931454310</v>
      </c>
      <c r="BM12" s="5">
        <v>1702644186</v>
      </c>
      <c r="BN12" s="15">
        <v>2920000</v>
      </c>
      <c r="BO12" s="3"/>
      <c r="BP12" s="1"/>
      <c r="BQ12" s="5"/>
      <c r="BR12" s="5"/>
      <c r="BS12" s="5"/>
    </row>
    <row r="13" spans="1:71" x14ac:dyDescent="0.25">
      <c r="A13" s="6" t="s">
        <v>67</v>
      </c>
      <c r="B13" s="10">
        <v>136574369</v>
      </c>
      <c r="C13" s="10">
        <v>99207049</v>
      </c>
      <c r="D13" s="10">
        <v>24370243</v>
      </c>
      <c r="E13" s="10">
        <v>0</v>
      </c>
      <c r="F13" s="10">
        <v>14505400</v>
      </c>
      <c r="G13" s="10">
        <v>3507150</v>
      </c>
      <c r="H13" s="10">
        <v>6819500</v>
      </c>
      <c r="I13" s="10">
        <v>785000</v>
      </c>
      <c r="J13" s="10">
        <v>33700</v>
      </c>
      <c r="K13" s="10">
        <v>0</v>
      </c>
      <c r="L13" s="10">
        <v>67846968</v>
      </c>
      <c r="M13" s="10">
        <v>51103025</v>
      </c>
      <c r="N13" s="10">
        <v>691</v>
      </c>
      <c r="O13" s="10">
        <v>147</v>
      </c>
      <c r="P13" s="10">
        <v>2757328</v>
      </c>
      <c r="Q13" s="10">
        <v>4383950</v>
      </c>
      <c r="R13" s="10">
        <v>81000</v>
      </c>
      <c r="S13" s="10">
        <v>1343945</v>
      </c>
      <c r="T13" s="10">
        <v>400602</v>
      </c>
      <c r="U13" s="10">
        <v>249300</v>
      </c>
      <c r="V13" s="10">
        <v>2757328</v>
      </c>
      <c r="W13" s="10">
        <v>4532000</v>
      </c>
      <c r="X13" s="10">
        <v>81000</v>
      </c>
      <c r="Y13" s="10">
        <v>1343945</v>
      </c>
      <c r="Z13" s="10">
        <v>239705</v>
      </c>
      <c r="AA13" s="10">
        <v>249300</v>
      </c>
      <c r="AB13" s="10">
        <v>-1197800</v>
      </c>
      <c r="AC13" s="10">
        <v>0</v>
      </c>
      <c r="AD13" s="10">
        <v>0</v>
      </c>
      <c r="AE13" s="10">
        <v>0</v>
      </c>
      <c r="AF13" s="10">
        <v>0</v>
      </c>
      <c r="AG13" s="10">
        <v>116911</v>
      </c>
      <c r="AH13" s="3"/>
      <c r="AI13" s="3"/>
      <c r="AJ13" s="35"/>
      <c r="AK13" s="1">
        <v>41297749</v>
      </c>
      <c r="AL13" s="1">
        <v>871111</v>
      </c>
      <c r="AM13" s="10">
        <v>0</v>
      </c>
      <c r="AN13" s="10">
        <v>3557357</v>
      </c>
      <c r="AO13" s="10">
        <v>8680</v>
      </c>
      <c r="AP13" s="10">
        <v>25468659</v>
      </c>
      <c r="AQ13" s="10">
        <v>3577004</v>
      </c>
      <c r="AR13" s="10">
        <v>5648728</v>
      </c>
      <c r="AS13" s="10">
        <v>2794299</v>
      </c>
      <c r="AT13" s="10">
        <v>200685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">
        <v>3243544.08</v>
      </c>
      <c r="BA13" s="1">
        <v>1654207</v>
      </c>
      <c r="BB13" s="19">
        <v>15403524.939999999</v>
      </c>
      <c r="BC13" s="15">
        <v>1127481</v>
      </c>
      <c r="BD13" s="15">
        <v>2210747</v>
      </c>
      <c r="BE13" s="20">
        <v>10211191</v>
      </c>
      <c r="BF13" s="20">
        <v>10211191</v>
      </c>
      <c r="BG13" s="20">
        <v>26067855</v>
      </c>
      <c r="BH13" s="20">
        <v>22154782</v>
      </c>
      <c r="BI13" s="19"/>
      <c r="BJ13" s="19"/>
      <c r="BK13" s="19"/>
      <c r="BL13" s="5">
        <v>344611223</v>
      </c>
      <c r="BM13" s="5">
        <v>267294702</v>
      </c>
      <c r="BN13" s="15">
        <v>259740</v>
      </c>
      <c r="BO13" s="3"/>
      <c r="BP13" s="1"/>
      <c r="BQ13" s="5"/>
      <c r="BR13" s="5"/>
      <c r="BS13" s="5"/>
    </row>
    <row r="14" spans="1:71" x14ac:dyDescent="0.25">
      <c r="A14" s="6" t="s">
        <v>68</v>
      </c>
      <c r="B14" s="10">
        <v>141709024</v>
      </c>
      <c r="C14" s="10">
        <v>79837671</v>
      </c>
      <c r="D14" s="10">
        <v>55036901</v>
      </c>
      <c r="E14" s="10">
        <v>0</v>
      </c>
      <c r="F14" s="10">
        <v>18235380</v>
      </c>
      <c r="G14" s="10">
        <v>30438390</v>
      </c>
      <c r="H14" s="10">
        <v>10039005</v>
      </c>
      <c r="I14" s="10">
        <v>9833912</v>
      </c>
      <c r="J14" s="10">
        <v>101100</v>
      </c>
      <c r="K14" s="10">
        <v>168500</v>
      </c>
      <c r="L14" s="10">
        <v>34144676</v>
      </c>
      <c r="M14" s="10">
        <v>0</v>
      </c>
      <c r="N14" s="10">
        <v>954</v>
      </c>
      <c r="O14" s="10">
        <v>1441</v>
      </c>
      <c r="P14" s="10">
        <v>1804725</v>
      </c>
      <c r="Q14" s="10">
        <v>155000</v>
      </c>
      <c r="R14" s="10">
        <v>780000</v>
      </c>
      <c r="S14" s="10">
        <v>489760</v>
      </c>
      <c r="T14" s="10">
        <v>154800</v>
      </c>
      <c r="U14" s="10">
        <v>75800</v>
      </c>
      <c r="V14" s="10">
        <v>1804725</v>
      </c>
      <c r="W14" s="10">
        <v>155000</v>
      </c>
      <c r="X14" s="10">
        <v>780000</v>
      </c>
      <c r="Y14" s="10">
        <v>489760</v>
      </c>
      <c r="Z14" s="10">
        <v>154800</v>
      </c>
      <c r="AA14" s="10">
        <v>75800</v>
      </c>
      <c r="AB14" s="10">
        <v>-7227808</v>
      </c>
      <c r="AC14" s="10">
        <v>-16798</v>
      </c>
      <c r="AD14" s="10">
        <v>240990</v>
      </c>
      <c r="AE14" s="10">
        <v>0</v>
      </c>
      <c r="AF14" s="10">
        <v>0</v>
      </c>
      <c r="AG14" s="10">
        <v>259326</v>
      </c>
      <c r="AH14" s="10">
        <v>1755381</v>
      </c>
      <c r="AI14" s="10">
        <v>9803331</v>
      </c>
      <c r="AJ14" s="15">
        <v>79423945</v>
      </c>
      <c r="AK14" s="1">
        <v>57480284</v>
      </c>
      <c r="AL14" s="1">
        <v>1141683</v>
      </c>
      <c r="AM14" s="10">
        <v>0</v>
      </c>
      <c r="AN14" s="10">
        <v>50000834</v>
      </c>
      <c r="AO14" s="10">
        <v>939996</v>
      </c>
      <c r="AP14" s="10">
        <v>14736515</v>
      </c>
      <c r="AQ14" s="10">
        <v>10764017</v>
      </c>
      <c r="AR14" s="10">
        <v>3344626</v>
      </c>
      <c r="AS14" s="10">
        <v>0</v>
      </c>
      <c r="AT14" s="10">
        <v>153363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">
        <v>4326110.67</v>
      </c>
      <c r="BA14" s="1">
        <v>2206316</v>
      </c>
      <c r="BB14" s="19"/>
      <c r="BC14" s="15">
        <v>1879997</v>
      </c>
      <c r="BD14" s="15">
        <v>3686269</v>
      </c>
      <c r="BE14" s="20">
        <v>6416544</v>
      </c>
      <c r="BF14" s="20">
        <v>6398802</v>
      </c>
      <c r="BG14" s="20">
        <v>39010406</v>
      </c>
      <c r="BH14" s="20">
        <v>33967365</v>
      </c>
      <c r="BI14" s="19"/>
      <c r="BJ14" s="19"/>
      <c r="BK14" s="19"/>
      <c r="BL14" s="5">
        <v>532345547</v>
      </c>
      <c r="BM14" s="5">
        <v>429271100</v>
      </c>
      <c r="BN14" s="15">
        <v>1291217</v>
      </c>
      <c r="BO14" s="3"/>
      <c r="BP14" s="1"/>
      <c r="BQ14" s="5"/>
      <c r="BR14" s="5"/>
      <c r="BS14" s="5"/>
    </row>
    <row r="15" spans="1:71" x14ac:dyDescent="0.25">
      <c r="A15" s="6" t="s">
        <v>69</v>
      </c>
      <c r="B15" s="10">
        <v>449869457</v>
      </c>
      <c r="C15" s="10">
        <v>194261408</v>
      </c>
      <c r="D15" s="10">
        <v>62267619</v>
      </c>
      <c r="E15" s="10">
        <v>0</v>
      </c>
      <c r="F15" s="10">
        <v>39731300</v>
      </c>
      <c r="G15" s="10">
        <v>10360430</v>
      </c>
      <c r="H15" s="10">
        <v>15606080</v>
      </c>
      <c r="I15" s="10">
        <v>2451250</v>
      </c>
      <c r="J15" s="10">
        <v>0</v>
      </c>
      <c r="K15" s="10">
        <v>0</v>
      </c>
      <c r="L15" s="10">
        <v>288040832</v>
      </c>
      <c r="M15" s="10">
        <v>101679050</v>
      </c>
      <c r="N15" s="10">
        <v>1767</v>
      </c>
      <c r="O15" s="10">
        <v>440</v>
      </c>
      <c r="P15" s="10">
        <v>11365120</v>
      </c>
      <c r="Q15" s="10">
        <v>4145454</v>
      </c>
      <c r="R15" s="10">
        <v>1134200</v>
      </c>
      <c r="S15" s="10">
        <v>2640970</v>
      </c>
      <c r="T15" s="10">
        <v>743100</v>
      </c>
      <c r="U15" s="10">
        <v>790000</v>
      </c>
      <c r="V15" s="10">
        <v>11395120</v>
      </c>
      <c r="W15" s="10">
        <v>4197304</v>
      </c>
      <c r="X15" s="10">
        <v>1134200</v>
      </c>
      <c r="Y15" s="10">
        <v>2635970</v>
      </c>
      <c r="Z15" s="10">
        <v>1646250</v>
      </c>
      <c r="AA15" s="10">
        <v>790000</v>
      </c>
      <c r="AB15" s="10">
        <v>-1900950</v>
      </c>
      <c r="AC15" s="10">
        <v>0</v>
      </c>
      <c r="AD15" s="10">
        <v>145199</v>
      </c>
      <c r="AE15" s="10">
        <v>0</v>
      </c>
      <c r="AF15" s="10">
        <v>0</v>
      </c>
      <c r="AG15" s="10">
        <v>351958</v>
      </c>
      <c r="AH15" s="10">
        <v>157817</v>
      </c>
      <c r="AI15" s="10">
        <v>685710</v>
      </c>
      <c r="AJ15" s="35"/>
      <c r="AK15" s="1">
        <v>92118399</v>
      </c>
      <c r="AL15" s="1">
        <v>11434872</v>
      </c>
      <c r="AM15" s="10">
        <v>833962</v>
      </c>
      <c r="AN15" s="10">
        <v>18848475</v>
      </c>
      <c r="AO15" s="10">
        <v>121018</v>
      </c>
      <c r="AP15" s="10">
        <v>7635349</v>
      </c>
      <c r="AQ15" s="10">
        <v>13245555</v>
      </c>
      <c r="AR15" s="10">
        <v>11783883</v>
      </c>
      <c r="AS15" s="10">
        <v>0</v>
      </c>
      <c r="AT15" s="10">
        <v>1302608</v>
      </c>
      <c r="AU15" s="10">
        <v>0</v>
      </c>
      <c r="AV15" s="10">
        <v>0</v>
      </c>
      <c r="AW15" s="10">
        <v>997469</v>
      </c>
      <c r="AX15" s="10">
        <v>60</v>
      </c>
      <c r="AY15" s="10">
        <v>264680</v>
      </c>
      <c r="AZ15" s="1">
        <v>7229590.0099999998</v>
      </c>
      <c r="BA15" s="1">
        <v>3687091</v>
      </c>
      <c r="BB15" s="19">
        <v>18037288.260000002</v>
      </c>
      <c r="BC15" s="15">
        <v>1535547</v>
      </c>
      <c r="BD15" s="15">
        <v>3010876</v>
      </c>
      <c r="BE15" s="20">
        <v>19516504</v>
      </c>
      <c r="BF15" s="20">
        <v>19516504</v>
      </c>
      <c r="BG15" s="20">
        <v>55080143</v>
      </c>
      <c r="BH15" s="20">
        <v>53183267</v>
      </c>
      <c r="BI15" s="19"/>
      <c r="BJ15" s="19"/>
      <c r="BK15" s="19"/>
      <c r="BL15" s="5">
        <v>920932739</v>
      </c>
      <c r="BM15" s="5">
        <v>739457059</v>
      </c>
      <c r="BN15" s="15">
        <v>2337029</v>
      </c>
      <c r="BO15" s="3"/>
      <c r="BP15" s="1"/>
      <c r="BQ15" s="5"/>
      <c r="BR15" s="5"/>
      <c r="BS15" s="5"/>
    </row>
    <row r="16" spans="1:71" x14ac:dyDescent="0.25">
      <c r="A16" s="6" t="s">
        <v>70</v>
      </c>
      <c r="B16" s="10">
        <v>3370997003</v>
      </c>
      <c r="C16" s="10">
        <v>230796759</v>
      </c>
      <c r="D16" s="10">
        <v>857228523</v>
      </c>
      <c r="E16" s="10">
        <v>23841565</v>
      </c>
      <c r="F16" s="10">
        <v>137986539</v>
      </c>
      <c r="G16" s="10">
        <v>29973730</v>
      </c>
      <c r="H16" s="10">
        <v>13883722</v>
      </c>
      <c r="I16" s="10">
        <v>2224200</v>
      </c>
      <c r="J16" s="10">
        <v>134800</v>
      </c>
      <c r="K16" s="10">
        <v>33700</v>
      </c>
      <c r="L16" s="10">
        <v>343067432</v>
      </c>
      <c r="M16" s="10">
        <v>155902874</v>
      </c>
      <c r="N16" s="10">
        <v>4601</v>
      </c>
      <c r="O16" s="10">
        <v>991</v>
      </c>
      <c r="P16" s="10">
        <v>60266537</v>
      </c>
      <c r="Q16" s="10">
        <v>4047498</v>
      </c>
      <c r="R16" s="10">
        <v>81502624</v>
      </c>
      <c r="S16" s="10">
        <v>13261312</v>
      </c>
      <c r="T16" s="10">
        <v>2342334</v>
      </c>
      <c r="U16" s="10">
        <v>414293</v>
      </c>
      <c r="V16" s="10">
        <v>60266537</v>
      </c>
      <c r="W16" s="10">
        <v>4484077</v>
      </c>
      <c r="X16" s="10">
        <v>81502624</v>
      </c>
      <c r="Y16" s="10">
        <v>13261312</v>
      </c>
      <c r="Z16" s="10">
        <v>7356988</v>
      </c>
      <c r="AA16" s="10">
        <v>414293</v>
      </c>
      <c r="AB16" s="10">
        <v>-8160077</v>
      </c>
      <c r="AC16" s="10">
        <v>-2075967</v>
      </c>
      <c r="AD16" s="10">
        <v>26508</v>
      </c>
      <c r="AE16" s="10">
        <v>1096</v>
      </c>
      <c r="AF16" s="10">
        <v>26819802</v>
      </c>
      <c r="AG16" s="10">
        <v>89993</v>
      </c>
      <c r="AH16" s="3"/>
      <c r="AI16" s="10">
        <v>1326895</v>
      </c>
      <c r="AJ16" s="35"/>
      <c r="AK16" s="1">
        <v>407716024</v>
      </c>
      <c r="AL16" s="1">
        <v>17185840</v>
      </c>
      <c r="AM16" s="10">
        <v>83756</v>
      </c>
      <c r="AN16" s="10">
        <v>100729628</v>
      </c>
      <c r="AO16" s="10">
        <v>1647076</v>
      </c>
      <c r="AP16" s="10">
        <v>133109250</v>
      </c>
      <c r="AQ16" s="10">
        <v>90401617</v>
      </c>
      <c r="AR16" s="10">
        <v>31380126</v>
      </c>
      <c r="AS16" s="10">
        <v>368421158</v>
      </c>
      <c r="AT16" s="10">
        <v>227419472</v>
      </c>
      <c r="AU16" s="10">
        <v>0</v>
      </c>
      <c r="AV16" s="10">
        <v>0</v>
      </c>
      <c r="AW16" s="10">
        <v>7181593</v>
      </c>
      <c r="AX16" s="10">
        <v>2788144</v>
      </c>
      <c r="AY16" s="10">
        <v>271100</v>
      </c>
      <c r="AZ16" s="1">
        <v>31234872.59</v>
      </c>
      <c r="BA16" s="1">
        <v>15929785</v>
      </c>
      <c r="BB16" s="19"/>
      <c r="BC16" s="15">
        <v>2161867</v>
      </c>
      <c r="BD16" s="15">
        <v>4238956</v>
      </c>
      <c r="BE16" s="20">
        <v>24837290</v>
      </c>
      <c r="BF16" s="20">
        <v>24708716</v>
      </c>
      <c r="BG16" s="20">
        <v>87739229</v>
      </c>
      <c r="BH16" s="20">
        <v>84612817</v>
      </c>
      <c r="BI16" s="20">
        <v>200107085</v>
      </c>
      <c r="BJ16" s="19"/>
      <c r="BK16" s="19"/>
      <c r="BL16" s="5">
        <v>5405549635</v>
      </c>
      <c r="BM16" s="5">
        <v>4653127501</v>
      </c>
      <c r="BN16" s="15">
        <v>2841769</v>
      </c>
      <c r="BO16" s="3"/>
      <c r="BP16" s="1"/>
      <c r="BQ16" s="5"/>
      <c r="BR16" s="5"/>
      <c r="BS16" s="5"/>
    </row>
    <row r="17" spans="1:71" x14ac:dyDescent="0.25">
      <c r="A17" s="6" t="s">
        <v>71</v>
      </c>
      <c r="B17" s="10">
        <v>161757638</v>
      </c>
      <c r="C17" s="10">
        <v>104862481</v>
      </c>
      <c r="D17" s="10">
        <v>60865735</v>
      </c>
      <c r="E17" s="10">
        <v>0</v>
      </c>
      <c r="F17" s="10">
        <v>19151500</v>
      </c>
      <c r="G17" s="10">
        <v>7263640</v>
      </c>
      <c r="H17" s="10">
        <v>11357680</v>
      </c>
      <c r="I17" s="10">
        <v>2490300</v>
      </c>
      <c r="J17" s="10">
        <v>0</v>
      </c>
      <c r="K17" s="10">
        <v>0</v>
      </c>
      <c r="L17" s="10">
        <v>216945009</v>
      </c>
      <c r="M17" s="10">
        <v>62430336</v>
      </c>
      <c r="N17" s="10">
        <v>1013</v>
      </c>
      <c r="O17" s="10">
        <v>349</v>
      </c>
      <c r="P17" s="10">
        <v>5669851</v>
      </c>
      <c r="Q17" s="10">
        <v>1893250</v>
      </c>
      <c r="R17" s="10">
        <v>1510700</v>
      </c>
      <c r="S17" s="10">
        <v>633500</v>
      </c>
      <c r="T17" s="10">
        <v>181000</v>
      </c>
      <c r="U17" s="10">
        <v>15000</v>
      </c>
      <c r="V17" s="10">
        <v>5669851</v>
      </c>
      <c r="W17" s="10">
        <v>3224980</v>
      </c>
      <c r="X17" s="10">
        <v>1510700</v>
      </c>
      <c r="Y17" s="10">
        <v>633500</v>
      </c>
      <c r="Z17" s="10">
        <v>368250</v>
      </c>
      <c r="AA17" s="10">
        <v>15000</v>
      </c>
      <c r="AB17" s="10">
        <v>-2195389</v>
      </c>
      <c r="AC17" s="10">
        <v>-16328</v>
      </c>
      <c r="AD17" s="10">
        <v>148255</v>
      </c>
      <c r="AE17" s="10">
        <v>72804</v>
      </c>
      <c r="AF17" s="10">
        <v>21136835</v>
      </c>
      <c r="AG17" s="10">
        <v>253212</v>
      </c>
      <c r="AH17" s="10">
        <v>918716</v>
      </c>
      <c r="AI17" s="10">
        <v>140935</v>
      </c>
      <c r="AJ17" s="35"/>
      <c r="AK17" s="1">
        <v>61463445</v>
      </c>
      <c r="AL17" s="1">
        <v>1792306</v>
      </c>
      <c r="AM17" s="3"/>
      <c r="AN17" s="10">
        <v>8715975</v>
      </c>
      <c r="AO17" s="10">
        <v>545838</v>
      </c>
      <c r="AP17" s="10">
        <v>28955718</v>
      </c>
      <c r="AQ17" s="10">
        <v>4935351</v>
      </c>
      <c r="AR17" s="10">
        <v>9656476</v>
      </c>
      <c r="AS17" s="3"/>
      <c r="AT17" s="10">
        <v>159859</v>
      </c>
      <c r="AU17" s="3"/>
      <c r="AV17" s="3"/>
      <c r="AW17" s="3"/>
      <c r="AX17" s="10">
        <v>19318</v>
      </c>
      <c r="AY17" s="10">
        <v>16000</v>
      </c>
      <c r="AZ17" s="1">
        <v>4832217.58</v>
      </c>
      <c r="BA17" s="1">
        <v>2464431</v>
      </c>
      <c r="BB17" s="19"/>
      <c r="BC17" s="15">
        <v>0</v>
      </c>
      <c r="BD17" s="15">
        <v>0</v>
      </c>
      <c r="BE17" s="20">
        <v>3804114</v>
      </c>
      <c r="BF17" s="20">
        <v>3804114</v>
      </c>
      <c r="BG17" s="20">
        <v>20054472</v>
      </c>
      <c r="BH17" s="20">
        <v>20054472</v>
      </c>
      <c r="BI17" s="19"/>
      <c r="BJ17" s="19"/>
      <c r="BK17" s="19"/>
      <c r="BL17" s="5">
        <v>425267314</v>
      </c>
      <c r="BM17" s="5">
        <v>335688546</v>
      </c>
      <c r="BN17" s="15">
        <v>918600</v>
      </c>
      <c r="BO17" s="3"/>
      <c r="BP17" s="1"/>
      <c r="BQ17" s="5"/>
      <c r="BR17" s="5"/>
      <c r="BS17" s="5"/>
    </row>
    <row r="18" spans="1:71" x14ac:dyDescent="0.25">
      <c r="A18" s="6" t="s">
        <v>72</v>
      </c>
      <c r="B18" s="10">
        <v>197289921</v>
      </c>
      <c r="C18" s="10">
        <v>95789775</v>
      </c>
      <c r="D18" s="10">
        <v>63340702</v>
      </c>
      <c r="E18" s="10">
        <v>8205951</v>
      </c>
      <c r="F18" s="10">
        <v>33743196</v>
      </c>
      <c r="G18" s="10">
        <v>5873150</v>
      </c>
      <c r="H18" s="10">
        <v>8724022</v>
      </c>
      <c r="I18" s="10">
        <v>1465926</v>
      </c>
      <c r="J18" s="10">
        <v>33700</v>
      </c>
      <c r="K18" s="10">
        <v>34000</v>
      </c>
      <c r="L18" s="10">
        <v>151431840</v>
      </c>
      <c r="M18" s="10">
        <v>51809716</v>
      </c>
      <c r="N18" s="10">
        <v>1398</v>
      </c>
      <c r="O18" s="10">
        <v>265</v>
      </c>
      <c r="P18" s="10">
        <v>4164680</v>
      </c>
      <c r="Q18" s="10">
        <v>1362097</v>
      </c>
      <c r="R18" s="10">
        <v>908180</v>
      </c>
      <c r="S18" s="10">
        <v>1391545</v>
      </c>
      <c r="T18" s="10">
        <v>155501</v>
      </c>
      <c r="U18" s="10">
        <v>659400</v>
      </c>
      <c r="V18" s="10">
        <v>4164680</v>
      </c>
      <c r="W18" s="10">
        <v>1600477</v>
      </c>
      <c r="X18" s="10">
        <v>908180</v>
      </c>
      <c r="Y18" s="10">
        <v>1391545</v>
      </c>
      <c r="Z18" s="10">
        <v>120100</v>
      </c>
      <c r="AA18" s="10">
        <v>659400</v>
      </c>
      <c r="AB18" s="10">
        <v>-331386</v>
      </c>
      <c r="AC18" s="10">
        <v>0</v>
      </c>
      <c r="AD18" s="10">
        <v>25410</v>
      </c>
      <c r="AE18" s="10">
        <v>47176</v>
      </c>
      <c r="AF18" s="10">
        <v>26726765</v>
      </c>
      <c r="AG18" s="10">
        <v>199673</v>
      </c>
      <c r="AH18" s="10">
        <v>15858</v>
      </c>
      <c r="AI18" s="10">
        <v>2471806</v>
      </c>
      <c r="AJ18" s="36"/>
      <c r="AK18" s="1">
        <v>68541724</v>
      </c>
      <c r="AL18" s="1">
        <v>2015479</v>
      </c>
      <c r="AM18" s="10">
        <v>0</v>
      </c>
      <c r="AN18" s="10">
        <v>19114733</v>
      </c>
      <c r="AO18" s="10">
        <v>2831682</v>
      </c>
      <c r="AP18" s="10">
        <v>47731109</v>
      </c>
      <c r="AQ18" s="10">
        <v>27206798</v>
      </c>
      <c r="AR18" s="10">
        <v>11415453</v>
      </c>
      <c r="AS18" s="10">
        <v>720211</v>
      </c>
      <c r="AT18" s="10">
        <v>375319</v>
      </c>
      <c r="AU18" s="10">
        <v>0</v>
      </c>
      <c r="AV18" s="10">
        <v>3439350</v>
      </c>
      <c r="AW18" s="10">
        <v>0</v>
      </c>
      <c r="AX18" s="10">
        <v>6555</v>
      </c>
      <c r="AY18" s="10">
        <v>543500</v>
      </c>
      <c r="AZ18" s="1">
        <v>5175410.51</v>
      </c>
      <c r="BA18" s="1">
        <v>2639459</v>
      </c>
      <c r="BB18" s="19"/>
      <c r="BC18" s="15">
        <v>1141963</v>
      </c>
      <c r="BD18" s="15">
        <v>2239142</v>
      </c>
      <c r="BE18" s="20">
        <v>14196924</v>
      </c>
      <c r="BF18" s="20">
        <v>10619605</v>
      </c>
      <c r="BG18" s="20">
        <v>22181050</v>
      </c>
      <c r="BH18" s="20">
        <v>20834402</v>
      </c>
      <c r="BI18" s="19"/>
      <c r="BJ18" s="19">
        <v>6087607</v>
      </c>
      <c r="BK18" s="19"/>
      <c r="BL18" s="5">
        <v>519941514</v>
      </c>
      <c r="BM18" s="5">
        <v>408061275</v>
      </c>
      <c r="BN18" s="15">
        <v>389000</v>
      </c>
      <c r="BO18" s="3"/>
      <c r="BP18" s="1"/>
      <c r="BQ18" s="5"/>
      <c r="BR18" s="5"/>
      <c r="BS18" s="5"/>
    </row>
    <row r="19" spans="1:71" x14ac:dyDescent="0.25">
      <c r="A19" s="6" t="s">
        <v>73</v>
      </c>
      <c r="B19" s="10">
        <v>1079825221</v>
      </c>
      <c r="C19" s="10">
        <v>199330409</v>
      </c>
      <c r="D19" s="10">
        <v>280469694</v>
      </c>
      <c r="E19" s="10">
        <v>0</v>
      </c>
      <c r="F19" s="10">
        <v>83661413</v>
      </c>
      <c r="G19" s="10">
        <v>10343548</v>
      </c>
      <c r="H19" s="10">
        <v>15657200</v>
      </c>
      <c r="I19" s="10">
        <v>1016600</v>
      </c>
      <c r="J19" s="10">
        <v>134800</v>
      </c>
      <c r="K19" s="10">
        <v>0</v>
      </c>
      <c r="L19" s="10">
        <v>338433669</v>
      </c>
      <c r="M19" s="10">
        <v>126586197</v>
      </c>
      <c r="N19" s="10">
        <v>3091</v>
      </c>
      <c r="O19" s="10">
        <v>382</v>
      </c>
      <c r="P19" s="10">
        <v>17689617</v>
      </c>
      <c r="Q19" s="10">
        <v>2705000</v>
      </c>
      <c r="R19" s="10">
        <v>11428400</v>
      </c>
      <c r="S19" s="10">
        <v>4355083</v>
      </c>
      <c r="T19" s="10">
        <v>172200</v>
      </c>
      <c r="U19" s="10">
        <v>1002250</v>
      </c>
      <c r="V19" s="10">
        <v>17689617</v>
      </c>
      <c r="W19" s="10">
        <v>3814068</v>
      </c>
      <c r="X19" s="10">
        <v>11428400</v>
      </c>
      <c r="Y19" s="10">
        <v>4355083</v>
      </c>
      <c r="Z19" s="10">
        <v>482500</v>
      </c>
      <c r="AA19" s="10">
        <v>1002250</v>
      </c>
      <c r="AB19" s="10">
        <v>-4907197</v>
      </c>
      <c r="AC19" s="10">
        <v>-3458052</v>
      </c>
      <c r="AD19" s="10">
        <v>63256</v>
      </c>
      <c r="AE19" s="10">
        <v>4681</v>
      </c>
      <c r="AF19" s="10">
        <v>2340250</v>
      </c>
      <c r="AG19" s="10">
        <v>368311</v>
      </c>
      <c r="AH19" s="3"/>
      <c r="AI19" s="10">
        <v>43726</v>
      </c>
      <c r="AJ19" s="36"/>
      <c r="AK19" s="1">
        <v>180276760</v>
      </c>
      <c r="AL19" s="1">
        <v>9659317</v>
      </c>
      <c r="AM19" s="10">
        <v>79733</v>
      </c>
      <c r="AN19" s="10">
        <v>59461789</v>
      </c>
      <c r="AO19" s="10">
        <v>5284675</v>
      </c>
      <c r="AP19" s="10">
        <v>123786918</v>
      </c>
      <c r="AQ19" s="10">
        <v>68199245</v>
      </c>
      <c r="AR19" s="10">
        <v>56989326</v>
      </c>
      <c r="AS19" s="10">
        <v>47158766</v>
      </c>
      <c r="AT19" s="10">
        <v>2200732</v>
      </c>
      <c r="AU19" s="10">
        <v>0</v>
      </c>
      <c r="AV19" s="10">
        <v>965529</v>
      </c>
      <c r="AW19" s="10">
        <v>0</v>
      </c>
      <c r="AX19" s="10">
        <v>0</v>
      </c>
      <c r="AY19" s="10">
        <v>1176163</v>
      </c>
      <c r="AZ19" s="1">
        <v>13532423.16</v>
      </c>
      <c r="BA19" s="1">
        <v>6901536</v>
      </c>
      <c r="BB19" s="19">
        <v>7462329.46</v>
      </c>
      <c r="BC19" s="15">
        <v>628390</v>
      </c>
      <c r="BD19" s="15">
        <v>1232137</v>
      </c>
      <c r="BE19" s="20">
        <v>2600549</v>
      </c>
      <c r="BF19" s="20">
        <v>2600549</v>
      </c>
      <c r="BG19" s="20">
        <v>48299584</v>
      </c>
      <c r="BH19" s="20">
        <v>48202069</v>
      </c>
      <c r="BI19" s="19"/>
      <c r="BJ19" s="19">
        <v>10896946</v>
      </c>
      <c r="BK19" s="19"/>
      <c r="BL19" s="5">
        <v>1951780326</v>
      </c>
      <c r="BM19" s="5">
        <v>1692614759</v>
      </c>
      <c r="BN19" s="15">
        <v>3032636</v>
      </c>
      <c r="BO19" s="3"/>
      <c r="BP19" s="1"/>
      <c r="BQ19" s="5"/>
      <c r="BR19" s="5"/>
      <c r="BS19" s="5"/>
    </row>
    <row r="20" spans="1:71" x14ac:dyDescent="0.25">
      <c r="A20" s="6" t="s">
        <v>74</v>
      </c>
      <c r="B20" s="10">
        <v>3982114222</v>
      </c>
      <c r="C20" s="10">
        <v>168834398</v>
      </c>
      <c r="D20" s="10">
        <v>1009178806</v>
      </c>
      <c r="E20" s="10">
        <v>0</v>
      </c>
      <c r="F20" s="10">
        <v>199768983</v>
      </c>
      <c r="G20" s="10">
        <v>15606300</v>
      </c>
      <c r="H20" s="10">
        <v>12447800</v>
      </c>
      <c r="I20" s="10">
        <v>674000</v>
      </c>
      <c r="J20" s="10">
        <v>769000</v>
      </c>
      <c r="K20" s="10">
        <v>101100</v>
      </c>
      <c r="L20" s="10">
        <v>281457486</v>
      </c>
      <c r="M20" s="10">
        <v>450291884</v>
      </c>
      <c r="N20" s="10">
        <v>6374</v>
      </c>
      <c r="O20" s="10">
        <v>504</v>
      </c>
      <c r="P20" s="10">
        <v>43216785</v>
      </c>
      <c r="Q20" s="10">
        <v>5206389</v>
      </c>
      <c r="R20" s="10">
        <v>15678518</v>
      </c>
      <c r="S20" s="10">
        <v>13439921</v>
      </c>
      <c r="T20" s="10">
        <v>8639004</v>
      </c>
      <c r="U20" s="10">
        <v>5361312</v>
      </c>
      <c r="V20" s="10">
        <v>43216785</v>
      </c>
      <c r="W20" s="10">
        <v>5206389</v>
      </c>
      <c r="X20" s="10">
        <v>15678518</v>
      </c>
      <c r="Y20" s="10">
        <v>13439921</v>
      </c>
      <c r="Z20" s="10">
        <v>8639004</v>
      </c>
      <c r="AA20" s="10">
        <v>5361312</v>
      </c>
      <c r="AB20" s="10">
        <v>-9306412</v>
      </c>
      <c r="AC20" s="10">
        <v>-7102874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3"/>
      <c r="AJ20" s="36"/>
      <c r="AK20" s="1">
        <v>443738478</v>
      </c>
      <c r="AL20" s="1">
        <v>9301828</v>
      </c>
      <c r="AM20" s="10">
        <v>1145331</v>
      </c>
      <c r="AN20" s="10">
        <v>151941194</v>
      </c>
      <c r="AO20" s="10">
        <v>3031253</v>
      </c>
      <c r="AP20" s="10">
        <v>103922442</v>
      </c>
      <c r="AQ20" s="10">
        <v>88064072</v>
      </c>
      <c r="AR20" s="10">
        <v>73707179</v>
      </c>
      <c r="AS20" s="10">
        <v>9515775</v>
      </c>
      <c r="AT20" s="10">
        <v>277729</v>
      </c>
      <c r="AU20" s="3"/>
      <c r="AV20" s="3"/>
      <c r="AW20" s="10">
        <v>62649</v>
      </c>
      <c r="AX20" s="10">
        <v>4043060</v>
      </c>
      <c r="AY20" s="10">
        <v>9344</v>
      </c>
      <c r="AZ20" s="1">
        <v>33427763.079999998</v>
      </c>
      <c r="BA20" s="1">
        <v>17048159</v>
      </c>
      <c r="BB20" s="19">
        <v>26656877.309999999</v>
      </c>
      <c r="BC20" s="15">
        <v>1591921</v>
      </c>
      <c r="BD20" s="15">
        <v>3121413</v>
      </c>
      <c r="BE20" s="20">
        <v>59038230</v>
      </c>
      <c r="BF20" s="20">
        <v>59038230</v>
      </c>
      <c r="BG20" s="20">
        <v>127991395</v>
      </c>
      <c r="BH20" s="20">
        <v>122796392</v>
      </c>
      <c r="BI20" s="19"/>
      <c r="BJ20" s="19"/>
      <c r="BK20" s="19"/>
      <c r="BL20" s="5">
        <v>6056678953</v>
      </c>
      <c r="BM20" s="5">
        <v>5403163945</v>
      </c>
      <c r="BN20" s="15">
        <v>7447721</v>
      </c>
      <c r="BO20" s="3"/>
      <c r="BP20" s="1"/>
      <c r="BQ20" s="5"/>
      <c r="BR20" s="5"/>
      <c r="BS20" s="5"/>
    </row>
    <row r="21" spans="1:71" x14ac:dyDescent="0.25">
      <c r="A21" s="6" t="s">
        <v>75</v>
      </c>
      <c r="B21" s="10">
        <v>66947822</v>
      </c>
      <c r="C21" s="10">
        <v>53802600</v>
      </c>
      <c r="D21" s="10">
        <v>15200150</v>
      </c>
      <c r="E21" s="10">
        <v>0</v>
      </c>
      <c r="F21" s="10">
        <v>11500115</v>
      </c>
      <c r="G21" s="10">
        <v>3665200</v>
      </c>
      <c r="H21" s="10">
        <v>5210950</v>
      </c>
      <c r="I21" s="10">
        <v>630400</v>
      </c>
      <c r="J21" s="10">
        <v>0</v>
      </c>
      <c r="K21" s="10">
        <v>0</v>
      </c>
      <c r="L21" s="10">
        <v>81030773</v>
      </c>
      <c r="M21" s="10">
        <v>25261329</v>
      </c>
      <c r="N21" s="10">
        <v>572</v>
      </c>
      <c r="O21" s="10">
        <v>157</v>
      </c>
      <c r="P21" s="10">
        <v>2171300</v>
      </c>
      <c r="Q21" s="10">
        <v>81800</v>
      </c>
      <c r="R21" s="10">
        <v>185000</v>
      </c>
      <c r="S21" s="10">
        <v>542209</v>
      </c>
      <c r="T21" s="10">
        <v>58000</v>
      </c>
      <c r="U21" s="10">
        <v>41000</v>
      </c>
      <c r="V21" s="10">
        <v>2171300</v>
      </c>
      <c r="W21" s="10">
        <v>81800</v>
      </c>
      <c r="X21" s="10">
        <v>185000</v>
      </c>
      <c r="Y21" s="10">
        <v>542209</v>
      </c>
      <c r="Z21" s="10">
        <v>439349</v>
      </c>
      <c r="AA21" s="10">
        <v>41000</v>
      </c>
      <c r="AB21" s="10">
        <v>-2089333</v>
      </c>
      <c r="AC21" s="10">
        <v>0</v>
      </c>
      <c r="AD21" s="10">
        <v>3</v>
      </c>
      <c r="AE21" s="10">
        <v>0</v>
      </c>
      <c r="AF21" s="10">
        <v>0</v>
      </c>
      <c r="AG21" s="10">
        <v>0</v>
      </c>
      <c r="AH21" s="3"/>
      <c r="AI21" s="10">
        <v>71298</v>
      </c>
      <c r="AJ21" s="3"/>
      <c r="AK21" s="1">
        <v>31505762</v>
      </c>
      <c r="AL21" s="1">
        <v>977094</v>
      </c>
      <c r="AM21" s="10">
        <v>0</v>
      </c>
      <c r="AN21" s="10">
        <v>4929506</v>
      </c>
      <c r="AO21" s="10">
        <v>16884</v>
      </c>
      <c r="AP21" s="10">
        <v>392402</v>
      </c>
      <c r="AQ21" s="10">
        <v>1570615</v>
      </c>
      <c r="AR21" s="10">
        <v>378945</v>
      </c>
      <c r="AS21" s="10">
        <v>0</v>
      </c>
      <c r="AT21" s="10">
        <v>297577</v>
      </c>
      <c r="AU21" s="10">
        <v>0</v>
      </c>
      <c r="AV21" s="10">
        <v>0</v>
      </c>
      <c r="AW21" s="10">
        <v>0</v>
      </c>
      <c r="AX21" s="10">
        <v>400</v>
      </c>
      <c r="AY21" s="10">
        <v>13500</v>
      </c>
      <c r="AZ21" s="1">
        <v>2608231.7200000002</v>
      </c>
      <c r="BA21" s="1">
        <v>1330198</v>
      </c>
      <c r="BB21" s="19">
        <v>9976376.2799999993</v>
      </c>
      <c r="BC21" s="15">
        <v>636148</v>
      </c>
      <c r="BD21" s="15">
        <v>1247348</v>
      </c>
      <c r="BE21" s="20">
        <v>5781834</v>
      </c>
      <c r="BF21" s="20">
        <v>5781834</v>
      </c>
      <c r="BG21" s="20">
        <v>23555641</v>
      </c>
      <c r="BH21" s="20">
        <v>19047322</v>
      </c>
      <c r="BI21" s="19"/>
      <c r="BJ21" s="19"/>
      <c r="BK21" s="19"/>
      <c r="BL21" s="5">
        <v>201817233</v>
      </c>
      <c r="BM21" s="5">
        <v>142538875</v>
      </c>
      <c r="BN21" s="15">
        <v>277450</v>
      </c>
      <c r="BO21" s="3"/>
      <c r="BP21" s="1"/>
      <c r="BQ21" s="5"/>
      <c r="BR21" s="5"/>
      <c r="BS21" s="5"/>
    </row>
    <row r="22" spans="1:71" x14ac:dyDescent="0.25">
      <c r="A22" s="6" t="s">
        <v>76</v>
      </c>
      <c r="B22" s="10">
        <v>227120090</v>
      </c>
      <c r="C22" s="10">
        <v>57146750</v>
      </c>
      <c r="D22" s="10">
        <v>183489699</v>
      </c>
      <c r="E22" s="10">
        <v>767555931</v>
      </c>
      <c r="F22" s="10">
        <v>19105100</v>
      </c>
      <c r="G22" s="10">
        <v>2972400</v>
      </c>
      <c r="H22" s="10">
        <v>4151300</v>
      </c>
      <c r="I22" s="10">
        <v>572900</v>
      </c>
      <c r="J22" s="10">
        <v>130600</v>
      </c>
      <c r="K22" s="10">
        <v>0</v>
      </c>
      <c r="L22" s="10">
        <v>123743690</v>
      </c>
      <c r="M22" s="10">
        <v>40131000</v>
      </c>
      <c r="N22" s="10">
        <v>727</v>
      </c>
      <c r="O22" s="10">
        <v>118</v>
      </c>
      <c r="P22" s="10">
        <v>2879300</v>
      </c>
      <c r="Q22" s="10">
        <v>804100</v>
      </c>
      <c r="R22" s="10">
        <v>4552600</v>
      </c>
      <c r="S22" s="10">
        <v>1738850</v>
      </c>
      <c r="T22" s="10">
        <v>355500</v>
      </c>
      <c r="U22" s="10">
        <v>892000</v>
      </c>
      <c r="V22" s="10">
        <v>2879300</v>
      </c>
      <c r="W22" s="10">
        <v>808000</v>
      </c>
      <c r="X22" s="10">
        <v>4552622</v>
      </c>
      <c r="Y22" s="10">
        <v>1738850</v>
      </c>
      <c r="Z22" s="10">
        <v>531800</v>
      </c>
      <c r="AA22" s="10">
        <v>892000</v>
      </c>
      <c r="AB22" s="10">
        <v>-1036200</v>
      </c>
      <c r="AC22" s="10">
        <v>-15141050</v>
      </c>
      <c r="AD22" s="10">
        <v>22979</v>
      </c>
      <c r="AE22" s="10">
        <v>0</v>
      </c>
      <c r="AF22" s="10">
        <v>0</v>
      </c>
      <c r="AG22" s="10">
        <v>65643</v>
      </c>
      <c r="AH22" s="3"/>
      <c r="AI22" s="10">
        <v>887919</v>
      </c>
      <c r="AJ22" s="3"/>
      <c r="AK22" s="1">
        <v>53282380</v>
      </c>
      <c r="AL22" s="1">
        <v>1950268</v>
      </c>
      <c r="AM22" s="10">
        <v>0</v>
      </c>
      <c r="AN22" s="10">
        <v>42276424</v>
      </c>
      <c r="AO22" s="10">
        <v>80406013</v>
      </c>
      <c r="AP22" s="10">
        <v>341183612</v>
      </c>
      <c r="AQ22" s="10">
        <v>48274907</v>
      </c>
      <c r="AR22" s="10">
        <v>282438203</v>
      </c>
      <c r="AS22" s="10">
        <v>31639648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">
        <v>4202556.38</v>
      </c>
      <c r="BA22" s="1">
        <v>2143304</v>
      </c>
      <c r="BB22" s="19">
        <v>18176957.559999999</v>
      </c>
      <c r="BC22" s="15">
        <v>1648812</v>
      </c>
      <c r="BD22" s="15">
        <v>3232964</v>
      </c>
      <c r="BE22" s="20">
        <v>47810805</v>
      </c>
      <c r="BF22" s="20">
        <v>47810805</v>
      </c>
      <c r="BG22" s="20">
        <v>54013253</v>
      </c>
      <c r="BH22" s="20">
        <v>52421792</v>
      </c>
      <c r="BI22" s="19"/>
      <c r="BJ22" s="19"/>
      <c r="BK22" s="19"/>
      <c r="BL22" s="5">
        <v>798859163</v>
      </c>
      <c r="BM22" s="5">
        <v>639601802</v>
      </c>
      <c r="BN22" s="15">
        <v>778777</v>
      </c>
      <c r="BO22" s="3"/>
      <c r="BP22" s="1"/>
      <c r="BQ22" s="5"/>
      <c r="BR22" s="5"/>
      <c r="BS22" s="5"/>
    </row>
    <row r="23" spans="1:71" x14ac:dyDescent="0.25">
      <c r="A23" s="6" t="s">
        <v>77</v>
      </c>
      <c r="B23" s="10">
        <v>359300177</v>
      </c>
      <c r="C23" s="10">
        <v>121362651</v>
      </c>
      <c r="D23" s="10">
        <v>137920397</v>
      </c>
      <c r="E23" s="10">
        <v>0</v>
      </c>
      <c r="F23" s="10">
        <v>40189120</v>
      </c>
      <c r="G23" s="10">
        <v>23738450</v>
      </c>
      <c r="H23" s="10">
        <v>18442400</v>
      </c>
      <c r="I23" s="10">
        <v>6593350</v>
      </c>
      <c r="J23" s="10">
        <v>101100</v>
      </c>
      <c r="K23" s="10">
        <v>63700</v>
      </c>
      <c r="L23" s="10">
        <v>53636437</v>
      </c>
      <c r="M23" s="10">
        <v>28935100</v>
      </c>
      <c r="N23" s="10">
        <v>2105</v>
      </c>
      <c r="O23" s="10">
        <v>1159</v>
      </c>
      <c r="P23" s="10">
        <v>6485500</v>
      </c>
      <c r="Q23" s="10">
        <v>765000</v>
      </c>
      <c r="R23" s="10">
        <v>577000</v>
      </c>
      <c r="S23" s="10">
        <v>1657984</v>
      </c>
      <c r="T23" s="10">
        <v>155600</v>
      </c>
      <c r="U23" s="10">
        <v>756700</v>
      </c>
      <c r="V23" s="10">
        <v>6485500</v>
      </c>
      <c r="W23" s="10">
        <v>160000</v>
      </c>
      <c r="X23" s="10">
        <v>577000</v>
      </c>
      <c r="Y23" s="10">
        <v>1657984</v>
      </c>
      <c r="Z23" s="10">
        <v>157550</v>
      </c>
      <c r="AA23" s="10">
        <v>756700</v>
      </c>
      <c r="AB23" s="10">
        <v>-15635258</v>
      </c>
      <c r="AC23" s="10">
        <v>0</v>
      </c>
      <c r="AD23" s="10">
        <v>145105</v>
      </c>
      <c r="AE23" s="10">
        <v>0</v>
      </c>
      <c r="AF23" s="10">
        <v>0</v>
      </c>
      <c r="AG23" s="10">
        <v>221590</v>
      </c>
      <c r="AH23" s="3"/>
      <c r="AI23" s="10">
        <v>1666274</v>
      </c>
      <c r="AJ23" s="10">
        <v>55097</v>
      </c>
      <c r="AK23" s="1">
        <v>131381424</v>
      </c>
      <c r="AL23" s="1">
        <v>4324327</v>
      </c>
      <c r="AM23" s="3"/>
      <c r="AN23" s="10">
        <v>19567714</v>
      </c>
      <c r="AO23" s="10">
        <v>2102351</v>
      </c>
      <c r="AP23" s="10">
        <v>26025028</v>
      </c>
      <c r="AQ23" s="10">
        <v>24297142</v>
      </c>
      <c r="AR23" s="10">
        <v>11343362</v>
      </c>
      <c r="AS23" s="10">
        <v>8578</v>
      </c>
      <c r="AT23" s="10">
        <v>461007</v>
      </c>
      <c r="AU23" s="3"/>
      <c r="AV23" s="3"/>
      <c r="AW23" s="3"/>
      <c r="AX23" s="10">
        <v>287989</v>
      </c>
      <c r="AY23" s="10">
        <v>82900</v>
      </c>
      <c r="AZ23" s="1">
        <v>10475937.220000001</v>
      </c>
      <c r="BA23" s="1">
        <v>5342728</v>
      </c>
      <c r="BB23" s="19"/>
      <c r="BC23" s="15">
        <v>0</v>
      </c>
      <c r="BD23" s="15">
        <v>0</v>
      </c>
      <c r="BE23" s="20">
        <v>15601579</v>
      </c>
      <c r="BF23" s="20">
        <v>15601579</v>
      </c>
      <c r="BG23" s="20">
        <v>39407623</v>
      </c>
      <c r="BH23" s="20">
        <v>39407623</v>
      </c>
      <c r="BI23" s="19"/>
      <c r="BJ23" s="19"/>
      <c r="BK23" s="19"/>
      <c r="BL23" s="5">
        <v>862329484</v>
      </c>
      <c r="BM23" s="5">
        <v>666271803</v>
      </c>
      <c r="BN23" s="15">
        <v>14825291</v>
      </c>
      <c r="BO23" s="3"/>
      <c r="BP23" s="1"/>
      <c r="BQ23" s="5"/>
      <c r="BR23" s="5"/>
      <c r="BS23" s="5"/>
    </row>
    <row r="24" spans="1:71" x14ac:dyDescent="0.25">
      <c r="A24" s="6" t="s">
        <v>78</v>
      </c>
      <c r="B24" s="10">
        <v>205673869</v>
      </c>
      <c r="C24" s="10">
        <v>158023700</v>
      </c>
      <c r="D24" s="10">
        <v>57139700</v>
      </c>
      <c r="E24" s="10">
        <v>0</v>
      </c>
      <c r="F24" s="10">
        <v>31828700</v>
      </c>
      <c r="G24" s="10">
        <v>10051900</v>
      </c>
      <c r="H24" s="10">
        <v>18955300</v>
      </c>
      <c r="I24" s="10">
        <v>2949300</v>
      </c>
      <c r="J24" s="10">
        <v>0</v>
      </c>
      <c r="K24" s="10">
        <v>0</v>
      </c>
      <c r="L24" s="10">
        <v>276408620</v>
      </c>
      <c r="M24" s="10">
        <v>92191900</v>
      </c>
      <c r="N24" s="10">
        <v>1507</v>
      </c>
      <c r="O24" s="10">
        <v>520</v>
      </c>
      <c r="P24" s="10">
        <v>3571000</v>
      </c>
      <c r="Q24" s="10">
        <v>2694000</v>
      </c>
      <c r="R24" s="10">
        <v>95000</v>
      </c>
      <c r="S24" s="10">
        <v>879500</v>
      </c>
      <c r="T24" s="10">
        <v>229000</v>
      </c>
      <c r="U24" s="10">
        <v>250000</v>
      </c>
      <c r="V24" s="10">
        <v>3571000</v>
      </c>
      <c r="W24" s="10">
        <v>2241000</v>
      </c>
      <c r="X24" s="10">
        <v>95000</v>
      </c>
      <c r="Y24" s="10">
        <v>879500</v>
      </c>
      <c r="Z24" s="10">
        <v>224000</v>
      </c>
      <c r="AA24" s="10">
        <v>250000</v>
      </c>
      <c r="AB24" s="10">
        <v>-2198100</v>
      </c>
      <c r="AC24" s="10">
        <v>-340539</v>
      </c>
      <c r="AD24" s="10">
        <v>147675</v>
      </c>
      <c r="AE24" s="10">
        <v>0</v>
      </c>
      <c r="AF24" s="10">
        <v>0</v>
      </c>
      <c r="AG24" s="10">
        <v>261472</v>
      </c>
      <c r="AH24" s="10">
        <v>36204</v>
      </c>
      <c r="AI24" s="10">
        <v>129702</v>
      </c>
      <c r="AJ24" s="3"/>
      <c r="AK24" s="1">
        <v>67253613</v>
      </c>
      <c r="AL24" s="1">
        <v>1819958</v>
      </c>
      <c r="AM24" s="10">
        <v>0</v>
      </c>
      <c r="AN24" s="10">
        <v>10662898</v>
      </c>
      <c r="AO24" s="10">
        <v>40123</v>
      </c>
      <c r="AP24" s="10">
        <v>12942049</v>
      </c>
      <c r="AQ24" s="10">
        <v>10721781</v>
      </c>
      <c r="AR24" s="10">
        <v>11625338</v>
      </c>
      <c r="AS24" s="10">
        <v>0</v>
      </c>
      <c r="AT24" s="10">
        <v>129106</v>
      </c>
      <c r="AU24" s="10">
        <v>0</v>
      </c>
      <c r="AV24" s="10">
        <v>0</v>
      </c>
      <c r="AW24" s="10">
        <v>36226</v>
      </c>
      <c r="AX24" s="10">
        <v>0</v>
      </c>
      <c r="AY24" s="10">
        <v>0</v>
      </c>
      <c r="AZ24" s="1">
        <v>5266921.6399999997</v>
      </c>
      <c r="BA24" s="1">
        <v>2686130</v>
      </c>
      <c r="BB24" s="19"/>
      <c r="BC24" s="15">
        <v>0</v>
      </c>
      <c r="BD24" s="15">
        <v>0</v>
      </c>
      <c r="BE24" s="20">
        <v>17113376</v>
      </c>
      <c r="BF24" s="20">
        <v>17113376</v>
      </c>
      <c r="BG24" s="20">
        <v>33576415</v>
      </c>
      <c r="BH24" s="20">
        <v>33576415</v>
      </c>
      <c r="BI24" s="19"/>
      <c r="BJ24" s="19"/>
      <c r="BK24" s="19"/>
      <c r="BL24" s="5">
        <v>564877469</v>
      </c>
      <c r="BM24" s="5">
        <v>442427977</v>
      </c>
      <c r="BN24" s="15">
        <v>658000</v>
      </c>
      <c r="BO24" s="3"/>
      <c r="BP24" s="1"/>
      <c r="BQ24" s="5"/>
      <c r="BR24" s="5"/>
      <c r="BS24" s="5"/>
    </row>
    <row r="25" spans="1:71" x14ac:dyDescent="0.25">
      <c r="A25" s="6" t="s">
        <v>79</v>
      </c>
      <c r="B25" s="10">
        <v>1500146717</v>
      </c>
      <c r="C25" s="10">
        <v>256592418</v>
      </c>
      <c r="D25" s="10">
        <v>605404067</v>
      </c>
      <c r="E25" s="10">
        <v>26006450</v>
      </c>
      <c r="F25" s="10">
        <v>96300240</v>
      </c>
      <c r="G25" s="10">
        <v>13585367</v>
      </c>
      <c r="H25" s="10">
        <v>14559235</v>
      </c>
      <c r="I25" s="10">
        <v>1462332</v>
      </c>
      <c r="J25" s="10">
        <v>67400</v>
      </c>
      <c r="K25" s="10">
        <v>0</v>
      </c>
      <c r="L25" s="10">
        <v>588719976</v>
      </c>
      <c r="M25" s="10">
        <v>141405940</v>
      </c>
      <c r="N25" s="10">
        <v>3477</v>
      </c>
      <c r="O25" s="10">
        <v>493</v>
      </c>
      <c r="P25" s="10">
        <v>27594819</v>
      </c>
      <c r="Q25" s="10">
        <v>5378137</v>
      </c>
      <c r="R25" s="10">
        <v>22717369</v>
      </c>
      <c r="S25" s="10">
        <v>8202382</v>
      </c>
      <c r="T25" s="10">
        <v>1908114</v>
      </c>
      <c r="U25" s="10">
        <v>6018615</v>
      </c>
      <c r="V25" s="10">
        <v>27594819</v>
      </c>
      <c r="W25" s="10">
        <v>5661678</v>
      </c>
      <c r="X25" s="10">
        <v>22717369</v>
      </c>
      <c r="Y25" s="10">
        <v>8202382</v>
      </c>
      <c r="Z25" s="10">
        <v>2383175</v>
      </c>
      <c r="AA25" s="10">
        <v>6018615</v>
      </c>
      <c r="AB25" s="10">
        <v>-7077161</v>
      </c>
      <c r="AC25" s="10">
        <v>-204443</v>
      </c>
      <c r="AD25" s="10">
        <v>48631</v>
      </c>
      <c r="AE25" s="10">
        <v>2837</v>
      </c>
      <c r="AF25" s="10">
        <v>163691452</v>
      </c>
      <c r="AG25" s="10">
        <v>407990</v>
      </c>
      <c r="AH25" s="10">
        <v>2795299</v>
      </c>
      <c r="AI25" s="10">
        <v>2335804</v>
      </c>
      <c r="AJ25" s="3"/>
      <c r="AK25" s="1">
        <v>252435597</v>
      </c>
      <c r="AL25" s="1">
        <v>7418360</v>
      </c>
      <c r="AM25" s="10">
        <v>20000</v>
      </c>
      <c r="AN25" s="10">
        <v>124524552</v>
      </c>
      <c r="AO25" s="10">
        <v>11941091</v>
      </c>
      <c r="AP25" s="10">
        <v>384850476</v>
      </c>
      <c r="AQ25" s="10">
        <v>153600865</v>
      </c>
      <c r="AR25" s="10">
        <v>128466523</v>
      </c>
      <c r="AS25" s="10">
        <v>36160622</v>
      </c>
      <c r="AT25" s="10">
        <v>3557007</v>
      </c>
      <c r="AU25" s="10">
        <v>15136843</v>
      </c>
      <c r="AV25" s="10">
        <v>1991318</v>
      </c>
      <c r="AW25" s="10">
        <v>144142435</v>
      </c>
      <c r="AX25" s="10">
        <v>97492</v>
      </c>
      <c r="AY25" s="10">
        <v>421000</v>
      </c>
      <c r="AZ25" s="1">
        <v>19915274.23</v>
      </c>
      <c r="BA25" s="1">
        <v>10156790</v>
      </c>
      <c r="BB25" s="19"/>
      <c r="BC25" s="15">
        <v>1741907</v>
      </c>
      <c r="BD25" s="15">
        <v>3415503</v>
      </c>
      <c r="BE25" s="20">
        <v>17491182</v>
      </c>
      <c r="BF25" s="20">
        <v>17491182</v>
      </c>
      <c r="BG25" s="20">
        <v>72652776</v>
      </c>
      <c r="BH25" s="20">
        <v>67095241</v>
      </c>
      <c r="BI25" s="19"/>
      <c r="BJ25" s="19">
        <v>17605249</v>
      </c>
      <c r="BK25" s="19"/>
      <c r="BL25" s="5">
        <v>3031285139</v>
      </c>
      <c r="BM25" s="5">
        <v>2657340813</v>
      </c>
      <c r="BN25" s="15">
        <v>4808463</v>
      </c>
      <c r="BO25" s="3"/>
      <c r="BP25" s="1"/>
      <c r="BQ25" s="5"/>
      <c r="BR25" s="5"/>
      <c r="BS25" s="5"/>
    </row>
    <row r="26" spans="1:71" x14ac:dyDescent="0.25">
      <c r="A26" s="6" t="s">
        <v>80</v>
      </c>
      <c r="B26" s="10">
        <v>1376527643</v>
      </c>
      <c r="C26" s="10">
        <v>230116985</v>
      </c>
      <c r="D26" s="10">
        <v>451666580</v>
      </c>
      <c r="E26" s="10">
        <v>0</v>
      </c>
      <c r="F26" s="10">
        <v>74375180</v>
      </c>
      <c r="G26" s="10">
        <v>12878600</v>
      </c>
      <c r="H26" s="10">
        <v>10897500</v>
      </c>
      <c r="I26" s="10">
        <v>2112400</v>
      </c>
      <c r="J26" s="10">
        <v>67400</v>
      </c>
      <c r="K26" s="10">
        <v>33700</v>
      </c>
      <c r="L26" s="10">
        <v>401364994</v>
      </c>
      <c r="M26" s="10">
        <v>0</v>
      </c>
      <c r="N26" s="10">
        <v>2602</v>
      </c>
      <c r="O26" s="10">
        <v>467</v>
      </c>
      <c r="P26" s="10">
        <v>8770590</v>
      </c>
      <c r="Q26" s="10">
        <v>235400</v>
      </c>
      <c r="R26" s="10">
        <v>8186083</v>
      </c>
      <c r="S26" s="10">
        <v>3188748</v>
      </c>
      <c r="T26" s="10">
        <v>795600</v>
      </c>
      <c r="U26" s="10">
        <v>1832000</v>
      </c>
      <c r="V26" s="10">
        <v>8770590</v>
      </c>
      <c r="W26" s="10">
        <v>421900</v>
      </c>
      <c r="X26" s="10">
        <v>8186083</v>
      </c>
      <c r="Y26" s="10">
        <v>3188748</v>
      </c>
      <c r="Z26" s="10">
        <v>1226900</v>
      </c>
      <c r="AA26" s="10">
        <v>1832000</v>
      </c>
      <c r="AB26" s="10">
        <v>-4474000</v>
      </c>
      <c r="AC26" s="10">
        <v>-21625485</v>
      </c>
      <c r="AD26" s="10">
        <v>0</v>
      </c>
      <c r="AE26" s="10">
        <v>0</v>
      </c>
      <c r="AF26" s="10">
        <v>0</v>
      </c>
      <c r="AG26" s="10">
        <v>78001</v>
      </c>
      <c r="AH26" s="3"/>
      <c r="AI26" s="3"/>
      <c r="AJ26" s="3"/>
      <c r="AK26" s="1">
        <v>211900452</v>
      </c>
      <c r="AL26" s="1">
        <v>4636810</v>
      </c>
      <c r="AM26" s="10">
        <v>117400</v>
      </c>
      <c r="AN26" s="10">
        <v>64135157</v>
      </c>
      <c r="AO26" s="10">
        <v>10424624</v>
      </c>
      <c r="AP26" s="10">
        <v>273718081</v>
      </c>
      <c r="AQ26" s="10">
        <v>109225072</v>
      </c>
      <c r="AR26" s="10">
        <v>83169749</v>
      </c>
      <c r="AS26" s="10">
        <v>61990370</v>
      </c>
      <c r="AT26" s="10">
        <v>352926</v>
      </c>
      <c r="AU26" s="10">
        <v>0</v>
      </c>
      <c r="AV26" s="10">
        <v>14780</v>
      </c>
      <c r="AW26" s="10">
        <v>0</v>
      </c>
      <c r="AX26" s="10">
        <v>121908</v>
      </c>
      <c r="AY26" s="10">
        <v>0</v>
      </c>
      <c r="AZ26" s="1">
        <v>15878126.449999999</v>
      </c>
      <c r="BA26" s="1">
        <v>8097844</v>
      </c>
      <c r="BB26" s="19"/>
      <c r="BC26" s="15">
        <v>2646477</v>
      </c>
      <c r="BD26" s="15">
        <v>5189172</v>
      </c>
      <c r="BE26" s="20">
        <v>59224265</v>
      </c>
      <c r="BF26" s="20">
        <v>59047775</v>
      </c>
      <c r="BG26" s="20">
        <v>116060625</v>
      </c>
      <c r="BH26" s="20">
        <v>112172256</v>
      </c>
      <c r="BI26" s="19"/>
      <c r="BJ26" s="19"/>
      <c r="BK26" s="19"/>
      <c r="BL26" s="5">
        <v>2640597675</v>
      </c>
      <c r="BM26" s="5">
        <v>2242096061</v>
      </c>
      <c r="BN26" s="15">
        <v>1976500</v>
      </c>
      <c r="BO26" s="3"/>
      <c r="BP26" s="1"/>
      <c r="BQ26" s="5"/>
      <c r="BR26" s="5"/>
      <c r="BS26" s="5"/>
    </row>
    <row r="27" spans="1:71" x14ac:dyDescent="0.25">
      <c r="A27" s="6" t="s">
        <v>81</v>
      </c>
      <c r="B27" s="10">
        <v>183524600</v>
      </c>
      <c r="C27" s="10">
        <v>66160200</v>
      </c>
      <c r="D27" s="10">
        <v>71032000</v>
      </c>
      <c r="E27" s="10">
        <v>0</v>
      </c>
      <c r="F27" s="10">
        <v>37066000</v>
      </c>
      <c r="G27" s="10">
        <v>28681400</v>
      </c>
      <c r="H27" s="10">
        <v>12298700</v>
      </c>
      <c r="I27" s="10">
        <v>4769200</v>
      </c>
      <c r="J27" s="10">
        <v>0</v>
      </c>
      <c r="K27" s="10">
        <v>33700</v>
      </c>
      <c r="L27" s="10">
        <v>64973300</v>
      </c>
      <c r="M27" s="10">
        <v>45093700</v>
      </c>
      <c r="N27" s="10">
        <v>1524</v>
      </c>
      <c r="O27" s="10">
        <v>1199</v>
      </c>
      <c r="P27" s="10">
        <v>3348600</v>
      </c>
      <c r="Q27" s="10">
        <v>964500</v>
      </c>
      <c r="R27" s="10">
        <v>640000</v>
      </c>
      <c r="S27" s="10">
        <v>3594500</v>
      </c>
      <c r="T27" s="10">
        <v>445970</v>
      </c>
      <c r="U27" s="10">
        <v>1469000</v>
      </c>
      <c r="V27" s="10">
        <v>3348600</v>
      </c>
      <c r="W27" s="10">
        <v>964500</v>
      </c>
      <c r="X27" s="10">
        <v>640000</v>
      </c>
      <c r="Y27" s="10">
        <v>3594500</v>
      </c>
      <c r="Z27" s="10">
        <v>445970</v>
      </c>
      <c r="AA27" s="10">
        <v>1469000</v>
      </c>
      <c r="AB27" s="10">
        <v>-3467100</v>
      </c>
      <c r="AC27" s="10">
        <v>-139563</v>
      </c>
      <c r="AD27" s="10">
        <v>184841</v>
      </c>
      <c r="AE27" s="10">
        <v>0</v>
      </c>
      <c r="AF27" s="10">
        <v>0</v>
      </c>
      <c r="AG27" s="10">
        <v>202003</v>
      </c>
      <c r="AH27" s="10">
        <v>3995907</v>
      </c>
      <c r="AI27" s="10">
        <v>67689869</v>
      </c>
      <c r="AJ27" s="10">
        <v>3503446</v>
      </c>
      <c r="AK27" s="1">
        <v>83959655</v>
      </c>
      <c r="AL27" s="1">
        <v>2259567</v>
      </c>
      <c r="AM27" s="10">
        <v>0</v>
      </c>
      <c r="AN27" s="10">
        <v>17257011</v>
      </c>
      <c r="AO27" s="10">
        <v>56814</v>
      </c>
      <c r="AP27" s="10">
        <v>486126</v>
      </c>
      <c r="AQ27" s="10">
        <v>11317352</v>
      </c>
      <c r="AR27" s="10">
        <v>4609040</v>
      </c>
      <c r="AS27" s="10">
        <v>0</v>
      </c>
      <c r="AT27" s="10">
        <v>283006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">
        <v>6406214.0199999996</v>
      </c>
      <c r="BA27" s="1">
        <v>3267169</v>
      </c>
      <c r="BB27" s="19"/>
      <c r="BC27" s="15">
        <v>704417</v>
      </c>
      <c r="BD27" s="15">
        <v>1381210</v>
      </c>
      <c r="BE27" s="20">
        <v>10810651</v>
      </c>
      <c r="BF27" s="20">
        <v>10810651</v>
      </c>
      <c r="BG27" s="20">
        <v>32993456</v>
      </c>
      <c r="BH27" s="20">
        <v>32699381</v>
      </c>
      <c r="BI27" s="19"/>
      <c r="BJ27" s="19"/>
      <c r="BK27" s="19"/>
      <c r="BL27" s="5">
        <v>558238039</v>
      </c>
      <c r="BM27" s="5">
        <v>424537199</v>
      </c>
      <c r="BN27" s="15">
        <v>504700</v>
      </c>
      <c r="BO27" s="3"/>
      <c r="BP27" s="1"/>
      <c r="BQ27" s="5"/>
      <c r="BR27" s="5"/>
      <c r="BS27" s="5"/>
    </row>
    <row r="28" spans="1:71" x14ac:dyDescent="0.25">
      <c r="A28" s="6" t="s">
        <v>82</v>
      </c>
      <c r="B28" s="10">
        <v>187353629</v>
      </c>
      <c r="C28" s="10">
        <v>69140103</v>
      </c>
      <c r="D28" s="10">
        <v>100425461</v>
      </c>
      <c r="E28" s="10">
        <v>0</v>
      </c>
      <c r="F28" s="10">
        <v>22327300</v>
      </c>
      <c r="G28" s="10">
        <v>8892800</v>
      </c>
      <c r="H28" s="10">
        <v>8888200</v>
      </c>
      <c r="I28" s="10">
        <v>859900</v>
      </c>
      <c r="J28" s="10">
        <v>33700</v>
      </c>
      <c r="K28" s="10">
        <v>0</v>
      </c>
      <c r="L28" s="10">
        <v>111234451</v>
      </c>
      <c r="M28" s="10">
        <v>43822100</v>
      </c>
      <c r="N28" s="10">
        <v>1020</v>
      </c>
      <c r="O28" s="10">
        <v>347</v>
      </c>
      <c r="P28" s="10">
        <v>9887900</v>
      </c>
      <c r="Q28" s="10">
        <v>519500</v>
      </c>
      <c r="R28" s="10">
        <v>142000</v>
      </c>
      <c r="S28" s="10">
        <v>670800</v>
      </c>
      <c r="T28" s="10">
        <v>61200</v>
      </c>
      <c r="U28" s="10">
        <v>30000</v>
      </c>
      <c r="V28" s="10">
        <v>9887900</v>
      </c>
      <c r="W28" s="10">
        <v>579600</v>
      </c>
      <c r="X28" s="10">
        <v>142000</v>
      </c>
      <c r="Y28" s="10">
        <v>670800</v>
      </c>
      <c r="Z28" s="10">
        <v>146200</v>
      </c>
      <c r="AA28" s="10">
        <v>30000</v>
      </c>
      <c r="AB28" s="10">
        <v>-3173241</v>
      </c>
      <c r="AC28" s="10">
        <v>-16148</v>
      </c>
      <c r="AD28" s="10">
        <v>48069</v>
      </c>
      <c r="AE28" s="10">
        <v>0</v>
      </c>
      <c r="AF28" s="10">
        <v>0</v>
      </c>
      <c r="AG28" s="10">
        <v>96708</v>
      </c>
      <c r="AH28" s="10">
        <v>6244334</v>
      </c>
      <c r="AI28" s="10">
        <v>107669</v>
      </c>
      <c r="AJ28" s="3"/>
      <c r="AK28" s="1">
        <v>40676608</v>
      </c>
      <c r="AL28" s="1">
        <v>7988782</v>
      </c>
      <c r="AM28" s="10">
        <v>6189551</v>
      </c>
      <c r="AN28" s="10">
        <v>7686314</v>
      </c>
      <c r="AO28" s="10">
        <v>3005396</v>
      </c>
      <c r="AP28" s="10">
        <v>219253595</v>
      </c>
      <c r="AQ28" s="10">
        <v>8301094</v>
      </c>
      <c r="AR28" s="10">
        <v>3187771</v>
      </c>
      <c r="AS28" s="10">
        <v>4178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0">
        <v>26000</v>
      </c>
      <c r="AZ28" s="1">
        <v>3178989.44</v>
      </c>
      <c r="BA28" s="1">
        <v>1621285</v>
      </c>
      <c r="BB28" s="19"/>
      <c r="BC28" s="15">
        <v>0</v>
      </c>
      <c r="BD28" s="15">
        <v>0</v>
      </c>
      <c r="BE28" s="20">
        <v>681519</v>
      </c>
      <c r="BF28" s="20">
        <v>681519</v>
      </c>
      <c r="BG28" s="20">
        <v>18039095</v>
      </c>
      <c r="BH28" s="20">
        <v>18039095</v>
      </c>
      <c r="BI28" s="19"/>
      <c r="BJ28" s="19"/>
      <c r="BK28" s="19"/>
      <c r="BL28" s="5">
        <v>451271289</v>
      </c>
      <c r="BM28" s="5">
        <v>382264000</v>
      </c>
      <c r="BN28" s="15">
        <v>402056</v>
      </c>
      <c r="BO28" s="3"/>
      <c r="BP28" s="1"/>
      <c r="BQ28" s="5"/>
      <c r="BR28" s="5"/>
      <c r="BS28" s="5"/>
    </row>
    <row r="29" spans="1:71" x14ac:dyDescent="0.25">
      <c r="A29" s="6" t="s">
        <v>83</v>
      </c>
      <c r="B29" s="10">
        <v>132512322</v>
      </c>
      <c r="C29" s="10">
        <v>115576625</v>
      </c>
      <c r="D29" s="10">
        <v>33105379</v>
      </c>
      <c r="E29" s="10">
        <v>1200000</v>
      </c>
      <c r="F29" s="10">
        <v>22075483</v>
      </c>
      <c r="G29" s="10">
        <v>5843415</v>
      </c>
      <c r="H29" s="10">
        <v>7759695</v>
      </c>
      <c r="I29" s="10">
        <v>1427000</v>
      </c>
      <c r="J29" s="10">
        <v>17500</v>
      </c>
      <c r="K29" s="10">
        <v>10000</v>
      </c>
      <c r="L29" s="10">
        <v>132999437</v>
      </c>
      <c r="M29" s="10">
        <v>54050483</v>
      </c>
      <c r="N29" s="10">
        <v>983</v>
      </c>
      <c r="O29" s="10">
        <v>258</v>
      </c>
      <c r="P29" s="10">
        <v>1549486</v>
      </c>
      <c r="Q29" s="10">
        <v>2495900</v>
      </c>
      <c r="R29" s="10">
        <v>646000</v>
      </c>
      <c r="S29" s="10">
        <v>1939369</v>
      </c>
      <c r="T29" s="10">
        <v>338610</v>
      </c>
      <c r="U29" s="10">
        <v>582250</v>
      </c>
      <c r="V29" s="10">
        <v>1549486</v>
      </c>
      <c r="W29" s="10">
        <v>2325800</v>
      </c>
      <c r="X29" s="10">
        <v>646000</v>
      </c>
      <c r="Y29" s="10">
        <v>1939369</v>
      </c>
      <c r="Z29" s="10">
        <v>402600</v>
      </c>
      <c r="AA29" s="10">
        <v>582250</v>
      </c>
      <c r="AB29" s="10">
        <v>-1517325</v>
      </c>
      <c r="AC29" s="10">
        <v>-1962</v>
      </c>
      <c r="AD29" s="10">
        <v>338</v>
      </c>
      <c r="AE29" s="10">
        <v>0</v>
      </c>
      <c r="AF29" s="10">
        <v>0</v>
      </c>
      <c r="AG29" s="10">
        <v>2129</v>
      </c>
      <c r="AH29" s="3"/>
      <c r="AI29" s="10">
        <v>539202</v>
      </c>
      <c r="AJ29" s="10">
        <v>12355</v>
      </c>
      <c r="AK29" s="1">
        <v>48429938</v>
      </c>
      <c r="AL29" s="1">
        <v>1502384</v>
      </c>
      <c r="AM29" s="3"/>
      <c r="AN29" s="10">
        <v>7859255</v>
      </c>
      <c r="AO29" s="10">
        <v>68378</v>
      </c>
      <c r="AP29" s="10">
        <v>7262854</v>
      </c>
      <c r="AQ29" s="10">
        <v>6021649</v>
      </c>
      <c r="AR29" s="10">
        <v>6400899</v>
      </c>
      <c r="AS29" s="10">
        <v>12368</v>
      </c>
      <c r="AT29" s="10">
        <v>181677</v>
      </c>
      <c r="AU29" s="3"/>
      <c r="AV29" s="10">
        <v>7376</v>
      </c>
      <c r="AW29" s="10">
        <v>97702</v>
      </c>
      <c r="AX29" s="10">
        <v>243641</v>
      </c>
      <c r="AY29" s="10">
        <v>84000</v>
      </c>
      <c r="AZ29" s="1">
        <v>3655171.09</v>
      </c>
      <c r="BA29" s="1">
        <v>1864137</v>
      </c>
      <c r="BB29" s="19">
        <v>17039650.620000001</v>
      </c>
      <c r="BC29" s="15">
        <v>0</v>
      </c>
      <c r="BD29" s="15">
        <v>0</v>
      </c>
      <c r="BE29" s="20">
        <v>1397705</v>
      </c>
      <c r="BF29" s="20">
        <v>1397705</v>
      </c>
      <c r="BG29" s="20">
        <v>20826896</v>
      </c>
      <c r="BH29" s="20">
        <v>20826896</v>
      </c>
      <c r="BI29" s="19"/>
      <c r="BJ29" s="19"/>
      <c r="BK29" s="19"/>
      <c r="BL29" s="5">
        <v>369716225</v>
      </c>
      <c r="BM29" s="5">
        <v>295695165</v>
      </c>
      <c r="BN29" s="15">
        <v>636707</v>
      </c>
      <c r="BO29" s="3"/>
      <c r="BP29" s="1"/>
      <c r="BQ29" s="5"/>
      <c r="BR29" s="5"/>
      <c r="BS29" s="5"/>
    </row>
    <row r="30" spans="1:71" x14ac:dyDescent="0.25">
      <c r="A30" s="6" t="s">
        <v>84</v>
      </c>
      <c r="B30" s="10">
        <v>121312274</v>
      </c>
      <c r="C30" s="10">
        <v>94414930</v>
      </c>
      <c r="D30" s="10">
        <v>28277045</v>
      </c>
      <c r="E30" s="10">
        <v>0</v>
      </c>
      <c r="F30" s="10">
        <v>15195800</v>
      </c>
      <c r="G30" s="10">
        <v>4440700</v>
      </c>
      <c r="H30" s="10">
        <v>7453100</v>
      </c>
      <c r="I30" s="10">
        <v>842500</v>
      </c>
      <c r="J30" s="10">
        <v>33700</v>
      </c>
      <c r="K30" s="10">
        <v>0</v>
      </c>
      <c r="L30" s="10">
        <v>127024087</v>
      </c>
      <c r="M30" s="10">
        <v>42414875</v>
      </c>
      <c r="N30" s="10">
        <v>700</v>
      </c>
      <c r="O30" s="10">
        <v>175</v>
      </c>
      <c r="P30" s="10">
        <v>1458000</v>
      </c>
      <c r="Q30" s="10">
        <v>967500</v>
      </c>
      <c r="R30" s="10">
        <v>0</v>
      </c>
      <c r="S30" s="10">
        <v>689246</v>
      </c>
      <c r="T30" s="10">
        <v>338500</v>
      </c>
      <c r="U30" s="10">
        <v>245000</v>
      </c>
      <c r="V30" s="10">
        <v>1458000</v>
      </c>
      <c r="W30" s="10">
        <v>1041000</v>
      </c>
      <c r="X30" s="10">
        <v>0</v>
      </c>
      <c r="Y30" s="10">
        <v>689246</v>
      </c>
      <c r="Z30" s="10">
        <v>328500</v>
      </c>
      <c r="AA30" s="10">
        <v>245000</v>
      </c>
      <c r="AB30" s="10">
        <v>-1216770</v>
      </c>
      <c r="AC30" s="10">
        <v>-18244</v>
      </c>
      <c r="AD30" s="10">
        <v>168597</v>
      </c>
      <c r="AE30" s="10">
        <v>0</v>
      </c>
      <c r="AF30" s="10">
        <v>0</v>
      </c>
      <c r="AG30" s="10">
        <v>0</v>
      </c>
      <c r="AH30" s="10">
        <v>5164313</v>
      </c>
      <c r="AI30" s="3"/>
      <c r="AJ30" s="3"/>
      <c r="AK30" s="1">
        <v>30094912</v>
      </c>
      <c r="AL30" s="1">
        <v>5110887</v>
      </c>
      <c r="AM30" s="10">
        <v>1924235</v>
      </c>
      <c r="AN30" s="10">
        <v>8399520</v>
      </c>
      <c r="AO30" s="10">
        <v>43125</v>
      </c>
      <c r="AP30" s="10">
        <v>657903</v>
      </c>
      <c r="AQ30" s="10">
        <v>3650475</v>
      </c>
      <c r="AR30" s="10">
        <v>3230490</v>
      </c>
      <c r="AS30" s="10">
        <v>0</v>
      </c>
      <c r="AT30" s="10">
        <v>410606</v>
      </c>
      <c r="AU30" s="10">
        <v>0</v>
      </c>
      <c r="AV30" s="10">
        <v>0</v>
      </c>
      <c r="AW30" s="10">
        <v>0</v>
      </c>
      <c r="AX30" s="10">
        <v>0</v>
      </c>
      <c r="AY30" s="10">
        <v>17500</v>
      </c>
      <c r="AZ30" s="1">
        <v>2298668.9300000002</v>
      </c>
      <c r="BA30" s="1">
        <v>1172321</v>
      </c>
      <c r="BB30" s="19"/>
      <c r="BC30" s="15">
        <v>0</v>
      </c>
      <c r="BD30" s="15">
        <v>0</v>
      </c>
      <c r="BE30" s="20">
        <v>452099</v>
      </c>
      <c r="BF30" s="20">
        <v>452099</v>
      </c>
      <c r="BG30" s="20">
        <v>14529268</v>
      </c>
      <c r="BH30" s="20">
        <v>14529268</v>
      </c>
      <c r="BI30" s="19"/>
      <c r="BJ30" s="19"/>
      <c r="BK30" s="19"/>
      <c r="BL30" s="5">
        <v>312621169</v>
      </c>
      <c r="BM30" s="5">
        <v>261261682</v>
      </c>
      <c r="BN30" s="15">
        <v>258500</v>
      </c>
      <c r="BO30" s="3"/>
      <c r="BP30" s="1"/>
      <c r="BQ30" s="5"/>
      <c r="BR30" s="5"/>
      <c r="BS30" s="5"/>
    </row>
    <row r="31" spans="1:71" x14ac:dyDescent="0.25">
      <c r="A31" s="6" t="s">
        <v>85</v>
      </c>
      <c r="B31" s="10">
        <v>2979858691</v>
      </c>
      <c r="C31" s="10">
        <v>305174515</v>
      </c>
      <c r="D31" s="10">
        <v>1205696335</v>
      </c>
      <c r="E31" s="10">
        <v>0</v>
      </c>
      <c r="F31" s="10">
        <v>230079583</v>
      </c>
      <c r="G31" s="10">
        <v>29595480</v>
      </c>
      <c r="H31" s="10">
        <v>17023800</v>
      </c>
      <c r="I31" s="10">
        <v>0</v>
      </c>
      <c r="J31" s="10">
        <v>0</v>
      </c>
      <c r="K31" s="10">
        <v>0</v>
      </c>
      <c r="L31" s="10">
        <v>573492409</v>
      </c>
      <c r="M31" s="10">
        <v>176280950</v>
      </c>
      <c r="N31" s="10">
        <v>7462</v>
      </c>
      <c r="O31" s="10">
        <v>914</v>
      </c>
      <c r="P31" s="10">
        <v>52849454</v>
      </c>
      <c r="Q31" s="10">
        <v>7245800</v>
      </c>
      <c r="R31" s="10">
        <v>44151840</v>
      </c>
      <c r="S31" s="10">
        <v>18956559</v>
      </c>
      <c r="T31" s="10">
        <v>3397700</v>
      </c>
      <c r="U31" s="10">
        <v>23593566</v>
      </c>
      <c r="V31" s="10">
        <v>52849454</v>
      </c>
      <c r="W31" s="10">
        <v>10445628</v>
      </c>
      <c r="X31" s="10">
        <v>44151840</v>
      </c>
      <c r="Y31" s="10">
        <v>18956559</v>
      </c>
      <c r="Z31" s="10">
        <v>15511132</v>
      </c>
      <c r="AA31" s="10">
        <v>23593566</v>
      </c>
      <c r="AB31" s="10">
        <v>-15864283</v>
      </c>
      <c r="AC31" s="10">
        <v>75513</v>
      </c>
      <c r="AD31" s="10">
        <v>0</v>
      </c>
      <c r="AE31" s="10">
        <v>0</v>
      </c>
      <c r="AF31" s="10">
        <v>0</v>
      </c>
      <c r="AG31" s="10">
        <v>248027.93</v>
      </c>
      <c r="AH31" s="10">
        <v>12310009</v>
      </c>
      <c r="AI31" s="10">
        <v>214685</v>
      </c>
      <c r="AJ31" s="10">
        <v>1242750</v>
      </c>
      <c r="AK31" s="1">
        <v>483706700</v>
      </c>
      <c r="AL31" s="1">
        <v>13340021</v>
      </c>
      <c r="AM31" s="10">
        <v>269000</v>
      </c>
      <c r="AN31" s="10">
        <v>223261561</v>
      </c>
      <c r="AO31" s="10">
        <v>19386787</v>
      </c>
      <c r="AP31" s="10">
        <v>374924455</v>
      </c>
      <c r="AQ31" s="10">
        <v>256424554</v>
      </c>
      <c r="AR31" s="10">
        <v>164549469</v>
      </c>
      <c r="AS31" s="10">
        <v>56275660</v>
      </c>
      <c r="AT31" s="10">
        <v>38515865</v>
      </c>
      <c r="AU31" s="10">
        <v>36506034</v>
      </c>
      <c r="AV31" s="10">
        <v>5593845</v>
      </c>
      <c r="AW31" s="10">
        <v>65739421</v>
      </c>
      <c r="AX31" s="10">
        <v>4221717</v>
      </c>
      <c r="AY31" s="10">
        <v>1993971</v>
      </c>
      <c r="AZ31" s="1">
        <v>37106460.130000003</v>
      </c>
      <c r="BA31" s="1">
        <v>18924295</v>
      </c>
      <c r="BB31" s="19">
        <v>26577066.34</v>
      </c>
      <c r="BC31" s="15">
        <v>1531409</v>
      </c>
      <c r="BD31" s="15">
        <v>3002763</v>
      </c>
      <c r="BE31" s="20">
        <v>51299321</v>
      </c>
      <c r="BF31" s="20">
        <v>51299321</v>
      </c>
      <c r="BG31" s="20">
        <v>140924572</v>
      </c>
      <c r="BH31" s="20">
        <v>136213137</v>
      </c>
      <c r="BI31" s="20">
        <v>6251349</v>
      </c>
      <c r="BJ31" s="19"/>
      <c r="BK31" s="19"/>
      <c r="BL31" s="5">
        <v>5714836119</v>
      </c>
      <c r="BM31" s="5">
        <v>5003569887</v>
      </c>
      <c r="BN31" s="15">
        <v>1681664</v>
      </c>
      <c r="BO31" s="3"/>
      <c r="BP31" s="1"/>
      <c r="BQ31" s="5"/>
      <c r="BR31" s="5"/>
      <c r="BS31" s="5"/>
    </row>
    <row r="32" spans="1:71" x14ac:dyDescent="0.25">
      <c r="A32" s="6" t="s">
        <v>86</v>
      </c>
      <c r="B32" s="10">
        <v>298632707</v>
      </c>
      <c r="C32" s="10">
        <v>106072982</v>
      </c>
      <c r="D32" s="10">
        <v>43791794</v>
      </c>
      <c r="E32" s="10">
        <v>0</v>
      </c>
      <c r="F32" s="10">
        <v>25027700</v>
      </c>
      <c r="G32" s="10">
        <v>8403500</v>
      </c>
      <c r="H32" s="10">
        <v>13545500</v>
      </c>
      <c r="I32" s="10">
        <v>1788800</v>
      </c>
      <c r="J32" s="10">
        <v>0</v>
      </c>
      <c r="K32" s="10">
        <v>0</v>
      </c>
      <c r="L32" s="10">
        <v>158338835</v>
      </c>
      <c r="M32" s="10">
        <v>61217</v>
      </c>
      <c r="N32" s="10">
        <v>1248</v>
      </c>
      <c r="O32" s="10">
        <v>373</v>
      </c>
      <c r="P32" s="10">
        <v>8216500</v>
      </c>
      <c r="Q32" s="10">
        <v>2315500</v>
      </c>
      <c r="R32" s="10">
        <v>707000</v>
      </c>
      <c r="S32" s="10">
        <v>397500</v>
      </c>
      <c r="T32" s="10">
        <v>189200</v>
      </c>
      <c r="U32" s="10">
        <v>28000</v>
      </c>
      <c r="V32" s="10">
        <v>8216500</v>
      </c>
      <c r="W32" s="10">
        <v>2315500</v>
      </c>
      <c r="X32" s="10">
        <v>707000</v>
      </c>
      <c r="Y32" s="10">
        <v>397500</v>
      </c>
      <c r="Z32" s="10">
        <v>189200</v>
      </c>
      <c r="AA32" s="10">
        <v>28000</v>
      </c>
      <c r="AB32" s="10">
        <v>-1263200</v>
      </c>
      <c r="AC32" s="10">
        <v>-152835</v>
      </c>
      <c r="AD32" s="10">
        <v>61217</v>
      </c>
      <c r="AE32" s="10">
        <v>6679</v>
      </c>
      <c r="AF32" s="10">
        <v>5904754</v>
      </c>
      <c r="AG32" s="10">
        <v>127187</v>
      </c>
      <c r="AH32" s="10">
        <v>2204527</v>
      </c>
      <c r="AI32" s="3"/>
      <c r="AJ32" s="3"/>
      <c r="AK32" s="1">
        <v>53954156</v>
      </c>
      <c r="AL32" s="1">
        <v>5478619</v>
      </c>
      <c r="AM32" s="10">
        <v>69000</v>
      </c>
      <c r="AN32" s="10">
        <v>5093891</v>
      </c>
      <c r="AO32" s="10">
        <v>73377</v>
      </c>
      <c r="AP32" s="10">
        <v>2128310</v>
      </c>
      <c r="AQ32" s="10">
        <v>2162746</v>
      </c>
      <c r="AR32" s="10">
        <v>1198843</v>
      </c>
      <c r="AS32" s="3"/>
      <c r="AT32" s="10">
        <v>36753</v>
      </c>
      <c r="AU32" s="3"/>
      <c r="AV32" s="3"/>
      <c r="AW32" s="10">
        <v>42100</v>
      </c>
      <c r="AX32" s="3"/>
      <c r="AY32" s="10">
        <v>60000</v>
      </c>
      <c r="AZ32" s="1">
        <v>4184698.18</v>
      </c>
      <c r="BA32" s="1">
        <v>2134196</v>
      </c>
      <c r="BB32" s="19"/>
      <c r="BC32" s="15">
        <v>229634</v>
      </c>
      <c r="BD32" s="15">
        <v>450262</v>
      </c>
      <c r="BE32" s="20">
        <v>1323211</v>
      </c>
      <c r="BF32" s="20">
        <v>1323211</v>
      </c>
      <c r="BG32" s="20">
        <v>15037138</v>
      </c>
      <c r="BH32" s="20">
        <v>14514932</v>
      </c>
      <c r="BI32" s="19"/>
      <c r="BJ32" s="19"/>
      <c r="BK32" s="19"/>
      <c r="BL32" s="5">
        <v>535666772</v>
      </c>
      <c r="BM32" s="5">
        <v>458032024</v>
      </c>
      <c r="BN32" s="15">
        <v>318800</v>
      </c>
      <c r="BO32" s="3"/>
      <c r="BP32" s="1"/>
      <c r="BQ32" s="5"/>
      <c r="BR32" s="5"/>
      <c r="BS32" s="5"/>
    </row>
    <row r="33" spans="1:71" x14ac:dyDescent="0.25">
      <c r="A33" s="6" t="s">
        <v>87</v>
      </c>
      <c r="B33" s="10">
        <v>52057274</v>
      </c>
      <c r="C33" s="10">
        <v>55925357</v>
      </c>
      <c r="D33" s="10">
        <v>12394184</v>
      </c>
      <c r="E33" s="10">
        <v>0</v>
      </c>
      <c r="F33" s="10">
        <v>7370845</v>
      </c>
      <c r="G33" s="10">
        <v>5081340</v>
      </c>
      <c r="H33" s="10">
        <v>10912512</v>
      </c>
      <c r="I33" s="10">
        <v>3313613</v>
      </c>
      <c r="J33" s="10">
        <v>0</v>
      </c>
      <c r="K33" s="10">
        <v>0</v>
      </c>
      <c r="L33" s="10">
        <v>81881841</v>
      </c>
      <c r="M33" s="10">
        <v>0</v>
      </c>
      <c r="N33" s="10">
        <v>653</v>
      </c>
      <c r="O33" s="10">
        <v>337</v>
      </c>
      <c r="P33" s="10">
        <v>609387</v>
      </c>
      <c r="Q33" s="10">
        <v>349105</v>
      </c>
      <c r="R33" s="10">
        <v>0</v>
      </c>
      <c r="S33" s="10">
        <v>118600</v>
      </c>
      <c r="T33" s="10">
        <v>53187</v>
      </c>
      <c r="U33" s="10">
        <v>0</v>
      </c>
      <c r="V33" s="10">
        <v>609387</v>
      </c>
      <c r="W33" s="10">
        <v>349101</v>
      </c>
      <c r="X33" s="10">
        <v>0</v>
      </c>
      <c r="Y33" s="10">
        <v>118600</v>
      </c>
      <c r="Z33" s="10">
        <v>48500</v>
      </c>
      <c r="AA33" s="10">
        <v>0</v>
      </c>
      <c r="AB33" s="10">
        <v>-1541043</v>
      </c>
      <c r="AC33" s="10">
        <v>-13687</v>
      </c>
      <c r="AD33" s="10">
        <v>123803</v>
      </c>
      <c r="AE33" s="10">
        <v>0</v>
      </c>
      <c r="AF33" s="10">
        <v>0</v>
      </c>
      <c r="AG33" s="10">
        <v>139320</v>
      </c>
      <c r="AH33" s="10">
        <v>3045557</v>
      </c>
      <c r="AI33" s="10">
        <v>335040</v>
      </c>
      <c r="AJ33" s="10">
        <v>693008</v>
      </c>
      <c r="AK33" s="1">
        <v>26825106</v>
      </c>
      <c r="AL33" s="1">
        <v>786423</v>
      </c>
      <c r="AM33" s="10">
        <v>0</v>
      </c>
      <c r="AN33" s="10">
        <v>2267514</v>
      </c>
      <c r="AO33" s="10">
        <v>32046</v>
      </c>
      <c r="AP33" s="10">
        <v>0</v>
      </c>
      <c r="AQ33" s="10">
        <v>1235685</v>
      </c>
      <c r="AR33" s="10">
        <v>125855</v>
      </c>
      <c r="AS33" s="10">
        <v>0</v>
      </c>
      <c r="AT33" s="10">
        <v>960746</v>
      </c>
      <c r="AU33" s="10">
        <v>0</v>
      </c>
      <c r="AV33" s="10">
        <v>0</v>
      </c>
      <c r="AW33" s="10">
        <v>0</v>
      </c>
      <c r="AX33" s="10">
        <v>0</v>
      </c>
      <c r="AY33" s="10">
        <v>0</v>
      </c>
      <c r="AZ33" s="1">
        <v>1947531.02</v>
      </c>
      <c r="BA33" s="1">
        <v>993241</v>
      </c>
      <c r="BB33" s="19"/>
      <c r="BC33" s="15">
        <v>0</v>
      </c>
      <c r="BD33" s="15">
        <v>0</v>
      </c>
      <c r="BE33" s="20">
        <v>1566365</v>
      </c>
      <c r="BF33" s="20">
        <v>1566365</v>
      </c>
      <c r="BG33" s="20">
        <v>19661494</v>
      </c>
      <c r="BH33" s="20">
        <v>19661494</v>
      </c>
      <c r="BI33" s="19"/>
      <c r="BJ33" s="19"/>
      <c r="BK33" s="19"/>
      <c r="BL33" s="5">
        <v>177818294</v>
      </c>
      <c r="BM33" s="5">
        <v>127985665</v>
      </c>
      <c r="BN33" s="15">
        <v>215481</v>
      </c>
      <c r="BO33" s="3"/>
      <c r="BP33" s="1"/>
      <c r="BQ33" s="5"/>
      <c r="BR33" s="5"/>
      <c r="BS33" s="5"/>
    </row>
    <row r="34" spans="1:71" x14ac:dyDescent="0.25">
      <c r="A34" s="6" t="s">
        <v>88</v>
      </c>
      <c r="B34" s="10">
        <v>205566732</v>
      </c>
      <c r="C34" s="10">
        <v>92732558</v>
      </c>
      <c r="D34" s="10">
        <v>53936780</v>
      </c>
      <c r="E34" s="10">
        <v>0</v>
      </c>
      <c r="F34" s="10">
        <v>31291814</v>
      </c>
      <c r="G34" s="10">
        <v>9830820</v>
      </c>
      <c r="H34" s="10">
        <v>9406733</v>
      </c>
      <c r="I34" s="10">
        <v>1684601</v>
      </c>
      <c r="J34" s="10">
        <v>96800</v>
      </c>
      <c r="K34" s="10">
        <v>67400</v>
      </c>
      <c r="L34" s="10">
        <v>50854322</v>
      </c>
      <c r="M34" s="10">
        <v>2464685</v>
      </c>
      <c r="N34" s="10">
        <v>1222</v>
      </c>
      <c r="O34" s="10">
        <v>366</v>
      </c>
      <c r="P34" s="10">
        <v>3647897</v>
      </c>
      <c r="Q34" s="10">
        <v>1763815</v>
      </c>
      <c r="R34" s="10">
        <v>398500</v>
      </c>
      <c r="S34" s="10">
        <v>3796955</v>
      </c>
      <c r="T34" s="10">
        <v>16147565</v>
      </c>
      <c r="U34" s="10">
        <v>916398</v>
      </c>
      <c r="V34" s="10">
        <v>3647897</v>
      </c>
      <c r="W34" s="10">
        <v>1809000</v>
      </c>
      <c r="X34" s="10">
        <v>398500</v>
      </c>
      <c r="Y34" s="10">
        <v>3796955</v>
      </c>
      <c r="Z34" s="10">
        <v>1631299</v>
      </c>
      <c r="AA34" s="10">
        <v>916398</v>
      </c>
      <c r="AB34" s="10">
        <v>-2443700</v>
      </c>
      <c r="AC34" s="10">
        <v>-10441</v>
      </c>
      <c r="AD34" s="10">
        <v>89312</v>
      </c>
      <c r="AE34" s="10">
        <v>12661</v>
      </c>
      <c r="AF34" s="10">
        <v>10449698</v>
      </c>
      <c r="AG34" s="10">
        <v>138662</v>
      </c>
      <c r="AH34" s="10">
        <v>7730177</v>
      </c>
      <c r="AI34" s="10">
        <v>108137</v>
      </c>
      <c r="AJ34" s="3"/>
      <c r="AK34" s="1">
        <v>62967632</v>
      </c>
      <c r="AL34" s="1">
        <v>1410487</v>
      </c>
      <c r="AM34" s="10">
        <v>0</v>
      </c>
      <c r="AN34" s="10">
        <v>6002913</v>
      </c>
      <c r="AO34" s="10">
        <v>39226</v>
      </c>
      <c r="AP34" s="10">
        <v>1367130</v>
      </c>
      <c r="AQ34" s="10">
        <v>5730069</v>
      </c>
      <c r="AR34" s="10">
        <v>5434843</v>
      </c>
      <c r="AS34" s="10">
        <v>0</v>
      </c>
      <c r="AT34" s="10">
        <v>0</v>
      </c>
      <c r="AU34" s="10">
        <v>0</v>
      </c>
      <c r="AV34" s="10">
        <v>0</v>
      </c>
      <c r="AW34" s="10">
        <v>1168</v>
      </c>
      <c r="AX34" s="10">
        <v>41472</v>
      </c>
      <c r="AY34" s="10">
        <v>0</v>
      </c>
      <c r="AZ34" s="1">
        <v>4707528.75</v>
      </c>
      <c r="BA34" s="1">
        <v>2400840</v>
      </c>
      <c r="BB34" s="19"/>
      <c r="BC34" s="15">
        <v>3720171</v>
      </c>
      <c r="BD34" s="15">
        <v>7294452</v>
      </c>
      <c r="BE34" s="20">
        <v>9632459</v>
      </c>
      <c r="BF34" s="20">
        <v>9632459</v>
      </c>
      <c r="BG34" s="20">
        <v>28147745</v>
      </c>
      <c r="BH34" s="20">
        <v>25442403</v>
      </c>
      <c r="BI34" s="19"/>
      <c r="BJ34" s="19"/>
      <c r="BK34" s="19"/>
      <c r="BL34" s="5">
        <v>477420584</v>
      </c>
      <c r="BM34" s="5">
        <v>371846592</v>
      </c>
      <c r="BN34" s="15">
        <v>387960</v>
      </c>
      <c r="BO34" s="3"/>
      <c r="BP34" s="1"/>
      <c r="BQ34" s="5"/>
      <c r="BR34" s="5"/>
      <c r="BS34" s="5"/>
    </row>
    <row r="35" spans="1:71" x14ac:dyDescent="0.25">
      <c r="A35" s="6" t="s">
        <v>89</v>
      </c>
      <c r="B35" s="10">
        <v>14887509900</v>
      </c>
      <c r="C35" s="10">
        <v>866958400</v>
      </c>
      <c r="D35" s="10">
        <v>6310733400</v>
      </c>
      <c r="E35" s="10">
        <v>0</v>
      </c>
      <c r="F35" s="10">
        <v>510250100</v>
      </c>
      <c r="G35" s="10">
        <v>38197300</v>
      </c>
      <c r="H35" s="10">
        <v>9482600</v>
      </c>
      <c r="I35" s="10">
        <v>303300</v>
      </c>
      <c r="J35" s="10">
        <v>775100</v>
      </c>
      <c r="K35" s="10">
        <v>33700</v>
      </c>
      <c r="L35" s="10">
        <v>1699661600</v>
      </c>
      <c r="M35" s="10">
        <v>590677700</v>
      </c>
      <c r="N35" s="10">
        <v>15583</v>
      </c>
      <c r="O35" s="10">
        <v>11800</v>
      </c>
      <c r="P35" s="10">
        <v>181771625</v>
      </c>
      <c r="Q35" s="10">
        <v>24632100</v>
      </c>
      <c r="R35" s="10">
        <v>167388200</v>
      </c>
      <c r="S35" s="10">
        <v>33377068</v>
      </c>
      <c r="T35" s="10">
        <v>1224100</v>
      </c>
      <c r="U35" s="10">
        <v>84198500</v>
      </c>
      <c r="V35" s="10">
        <v>181771625</v>
      </c>
      <c r="W35" s="10">
        <v>25392600</v>
      </c>
      <c r="X35" s="10">
        <v>167388200</v>
      </c>
      <c r="Y35" s="10">
        <v>33377068</v>
      </c>
      <c r="Z35" s="10">
        <v>17101310</v>
      </c>
      <c r="AA35" s="10">
        <v>84198500</v>
      </c>
      <c r="AB35" s="10">
        <v>-2148660</v>
      </c>
      <c r="AC35" s="10">
        <v>24212478</v>
      </c>
      <c r="AD35" s="10">
        <v>0</v>
      </c>
      <c r="AE35" s="10">
        <v>0</v>
      </c>
      <c r="AF35" s="10">
        <v>0</v>
      </c>
      <c r="AG35" s="10">
        <v>0</v>
      </c>
      <c r="AH35" s="3"/>
      <c r="AI35" s="10">
        <v>1530339</v>
      </c>
      <c r="AJ35" s="3"/>
      <c r="AK35" s="1">
        <v>1646213139</v>
      </c>
      <c r="AL35" s="1">
        <v>26951073</v>
      </c>
      <c r="AM35" s="3"/>
      <c r="AN35" s="10">
        <v>919726384</v>
      </c>
      <c r="AO35" s="10">
        <v>25834981</v>
      </c>
      <c r="AP35" s="10">
        <v>388555737</v>
      </c>
      <c r="AQ35" s="10">
        <v>651430816</v>
      </c>
      <c r="AR35" s="10">
        <v>362130253</v>
      </c>
      <c r="AS35" s="10">
        <v>147124747</v>
      </c>
      <c r="AT35" s="10">
        <v>846045979</v>
      </c>
      <c r="AU35" s="10">
        <v>4416216</v>
      </c>
      <c r="AV35" s="10">
        <v>43677</v>
      </c>
      <c r="AW35" s="10">
        <v>17758539</v>
      </c>
      <c r="AX35" s="10">
        <v>351778</v>
      </c>
      <c r="AY35" s="10">
        <v>40021333</v>
      </c>
      <c r="AZ35" s="1">
        <v>124609096.66</v>
      </c>
      <c r="BA35" s="1">
        <v>63550639</v>
      </c>
      <c r="BB35" s="19"/>
      <c r="BC35" s="15">
        <v>3750168</v>
      </c>
      <c r="BD35" s="15">
        <v>7353270</v>
      </c>
      <c r="BE35" s="20">
        <v>212792318</v>
      </c>
      <c r="BF35" s="20">
        <v>211124941</v>
      </c>
      <c r="BG35" s="20">
        <v>524660191</v>
      </c>
      <c r="BH35" s="20">
        <v>492884438</v>
      </c>
      <c r="BI35" s="19"/>
      <c r="BJ35" s="19"/>
      <c r="BK35" s="19"/>
      <c r="BL35" s="5">
        <v>26108198618</v>
      </c>
      <c r="BM35" s="5">
        <v>23663724220</v>
      </c>
      <c r="BN35" s="15">
        <v>22151300</v>
      </c>
      <c r="BO35" s="3"/>
      <c r="BP35" s="1"/>
      <c r="BQ35" s="5"/>
      <c r="BR35" s="5"/>
      <c r="BS35" s="5"/>
    </row>
    <row r="36" spans="1:71" x14ac:dyDescent="0.25">
      <c r="A36" s="6" t="s">
        <v>90</v>
      </c>
      <c r="B36" s="10">
        <v>242692953</v>
      </c>
      <c r="C36" s="10">
        <v>152653825</v>
      </c>
      <c r="D36" s="10">
        <v>52050605</v>
      </c>
      <c r="E36" s="10">
        <v>0</v>
      </c>
      <c r="F36" s="10">
        <v>28040400</v>
      </c>
      <c r="G36" s="10">
        <v>6882900</v>
      </c>
      <c r="H36" s="10">
        <v>11463250</v>
      </c>
      <c r="I36" s="10">
        <v>1932800</v>
      </c>
      <c r="J36" s="10">
        <v>92400</v>
      </c>
      <c r="K36" s="10">
        <v>0</v>
      </c>
      <c r="L36" s="10">
        <v>147097105</v>
      </c>
      <c r="M36" s="10">
        <v>79329967</v>
      </c>
      <c r="N36" s="10">
        <v>1261</v>
      </c>
      <c r="O36" s="10">
        <v>295</v>
      </c>
      <c r="P36" s="10">
        <v>4267900</v>
      </c>
      <c r="Q36" s="10">
        <v>2366200</v>
      </c>
      <c r="R36" s="10">
        <v>797350</v>
      </c>
      <c r="S36" s="10">
        <v>1600740</v>
      </c>
      <c r="T36" s="10">
        <v>915700</v>
      </c>
      <c r="U36" s="10">
        <v>804900</v>
      </c>
      <c r="V36" s="10">
        <v>4267900</v>
      </c>
      <c r="W36" s="10">
        <v>2586400</v>
      </c>
      <c r="X36" s="10">
        <v>797350</v>
      </c>
      <c r="Y36" s="10">
        <v>1600740</v>
      </c>
      <c r="Z36" s="10">
        <v>594000</v>
      </c>
      <c r="AA36" s="10">
        <v>804900</v>
      </c>
      <c r="AB36" s="10">
        <v>-3435100</v>
      </c>
      <c r="AC36" s="10">
        <v>0</v>
      </c>
      <c r="AD36" s="10">
        <v>51591</v>
      </c>
      <c r="AE36" s="10">
        <v>47067</v>
      </c>
      <c r="AF36" s="10">
        <v>66902935</v>
      </c>
      <c r="AG36" s="10">
        <v>213377</v>
      </c>
      <c r="AH36" s="3"/>
      <c r="AI36" s="10">
        <v>129694</v>
      </c>
      <c r="AJ36" s="3"/>
      <c r="AK36" s="1">
        <v>77869527</v>
      </c>
      <c r="AL36" s="1">
        <v>1126478</v>
      </c>
      <c r="AM36" s="10">
        <v>0</v>
      </c>
      <c r="AN36" s="10">
        <v>14148237</v>
      </c>
      <c r="AO36" s="10">
        <v>727724</v>
      </c>
      <c r="AP36" s="10">
        <v>5485339</v>
      </c>
      <c r="AQ36" s="10">
        <v>20600309</v>
      </c>
      <c r="AR36" s="10">
        <v>7856545</v>
      </c>
      <c r="AS36" s="10">
        <v>0</v>
      </c>
      <c r="AT36" s="10">
        <v>456468</v>
      </c>
      <c r="AU36" s="10">
        <v>0</v>
      </c>
      <c r="AV36" s="10">
        <v>48949</v>
      </c>
      <c r="AW36" s="10">
        <v>0</v>
      </c>
      <c r="AX36" s="10">
        <v>0</v>
      </c>
      <c r="AY36" s="10">
        <v>369800</v>
      </c>
      <c r="AZ36" s="1">
        <v>6022386.79</v>
      </c>
      <c r="BA36" s="1">
        <v>3071417</v>
      </c>
      <c r="BB36" s="19"/>
      <c r="BC36" s="15">
        <v>462371</v>
      </c>
      <c r="BD36" s="15">
        <v>906609</v>
      </c>
      <c r="BE36" s="20">
        <v>13509615</v>
      </c>
      <c r="BF36" s="20">
        <v>13509615</v>
      </c>
      <c r="BG36" s="20">
        <v>24207598</v>
      </c>
      <c r="BH36" s="20">
        <v>23980029</v>
      </c>
      <c r="BI36" s="19"/>
      <c r="BJ36" s="19"/>
      <c r="BK36" s="19"/>
      <c r="BL36" s="5">
        <v>603022784</v>
      </c>
      <c r="BM36" s="5">
        <v>483003347</v>
      </c>
      <c r="BN36" s="15">
        <v>828280</v>
      </c>
      <c r="BO36" s="3"/>
      <c r="BP36" s="1"/>
      <c r="BQ36" s="5"/>
      <c r="BR36" s="5"/>
      <c r="BS36" s="5"/>
    </row>
    <row r="37" spans="1:71" x14ac:dyDescent="0.25">
      <c r="A37" s="6" t="s">
        <v>91</v>
      </c>
      <c r="B37" s="10">
        <v>571413248</v>
      </c>
      <c r="C37" s="10">
        <v>108719961</v>
      </c>
      <c r="D37" s="10">
        <v>221071920</v>
      </c>
      <c r="E37" s="10">
        <v>0</v>
      </c>
      <c r="F37" s="10">
        <v>75231200</v>
      </c>
      <c r="G37" s="10">
        <v>65229190</v>
      </c>
      <c r="H37" s="10">
        <v>17754284</v>
      </c>
      <c r="I37" s="10">
        <v>9079000</v>
      </c>
      <c r="J37" s="10">
        <v>253400</v>
      </c>
      <c r="K37" s="10">
        <v>67400</v>
      </c>
      <c r="L37" s="10">
        <v>64592010</v>
      </c>
      <c r="M37" s="10">
        <v>135553245</v>
      </c>
      <c r="N37" s="10">
        <v>3182</v>
      </c>
      <c r="O37" s="10">
        <v>2830</v>
      </c>
      <c r="P37" s="10">
        <v>8634200</v>
      </c>
      <c r="Q37" s="10">
        <v>176000</v>
      </c>
      <c r="R37" s="10">
        <v>2565000</v>
      </c>
      <c r="S37" s="10">
        <v>3846650</v>
      </c>
      <c r="T37" s="10">
        <v>881300</v>
      </c>
      <c r="U37" s="10">
        <v>540500</v>
      </c>
      <c r="V37" s="10">
        <v>8634200</v>
      </c>
      <c r="W37" s="10">
        <v>229000</v>
      </c>
      <c r="X37" s="10">
        <v>2565000</v>
      </c>
      <c r="Y37" s="10">
        <v>3846650</v>
      </c>
      <c r="Z37" s="10">
        <v>923500</v>
      </c>
      <c r="AA37" s="10">
        <v>540500</v>
      </c>
      <c r="AB37" s="10">
        <v>-5919280</v>
      </c>
      <c r="AC37" s="10">
        <v>-198175</v>
      </c>
      <c r="AD37" s="10">
        <v>0</v>
      </c>
      <c r="AE37" s="10">
        <v>0</v>
      </c>
      <c r="AF37" s="10">
        <v>0</v>
      </c>
      <c r="AG37" s="10">
        <v>0</v>
      </c>
      <c r="AH37" s="10">
        <v>3931468</v>
      </c>
      <c r="AI37" s="10">
        <v>313435989</v>
      </c>
      <c r="AJ37" s="10">
        <v>122632625</v>
      </c>
      <c r="AK37" s="1">
        <v>230525939</v>
      </c>
      <c r="AL37" s="1">
        <v>6384929</v>
      </c>
      <c r="AM37" s="10">
        <v>0</v>
      </c>
      <c r="AN37" s="10">
        <v>153065974</v>
      </c>
      <c r="AO37" s="10">
        <v>2153054</v>
      </c>
      <c r="AP37" s="10">
        <v>7111685</v>
      </c>
      <c r="AQ37" s="10">
        <v>65896280</v>
      </c>
      <c r="AR37" s="10">
        <v>26540176</v>
      </c>
      <c r="AS37" s="10">
        <v>826527</v>
      </c>
      <c r="AT37" s="10">
        <v>25000</v>
      </c>
      <c r="AU37" s="10">
        <v>0</v>
      </c>
      <c r="AV37" s="10">
        <v>0</v>
      </c>
      <c r="AW37" s="10">
        <v>0</v>
      </c>
      <c r="AX37" s="10">
        <v>565718</v>
      </c>
      <c r="AY37" s="10">
        <v>1864000</v>
      </c>
      <c r="AZ37" s="1">
        <v>17107136.649999999</v>
      </c>
      <c r="BA37" s="1">
        <v>8724640</v>
      </c>
      <c r="BB37" s="19"/>
      <c r="BC37" s="15">
        <v>3950321</v>
      </c>
      <c r="BD37" s="15">
        <v>7745728</v>
      </c>
      <c r="BE37" s="20">
        <v>19907601</v>
      </c>
      <c r="BF37" s="20">
        <v>19907601</v>
      </c>
      <c r="BG37" s="20">
        <v>131170492</v>
      </c>
      <c r="BH37" s="20">
        <v>127550086</v>
      </c>
      <c r="BI37" s="19"/>
      <c r="BJ37" s="19"/>
      <c r="BK37" s="19"/>
      <c r="BL37" s="5">
        <v>1959364035</v>
      </c>
      <c r="BM37" s="5">
        <v>1562320519</v>
      </c>
      <c r="BN37" s="15">
        <v>12306100</v>
      </c>
      <c r="BO37" s="3"/>
      <c r="BP37" s="1"/>
      <c r="BQ37" s="5"/>
      <c r="BR37" s="5"/>
      <c r="BS37" s="5"/>
    </row>
    <row r="38" spans="1:71" x14ac:dyDescent="0.25">
      <c r="A38" s="6" t="s">
        <v>92</v>
      </c>
      <c r="B38" s="10">
        <v>1856963555</v>
      </c>
      <c r="C38" s="10">
        <v>154014799</v>
      </c>
      <c r="D38" s="10">
        <v>761752753</v>
      </c>
      <c r="E38" s="10">
        <v>0</v>
      </c>
      <c r="F38" s="10">
        <v>119011546</v>
      </c>
      <c r="G38" s="10">
        <v>11475636</v>
      </c>
      <c r="H38" s="10">
        <v>9296601</v>
      </c>
      <c r="I38" s="10">
        <v>801926</v>
      </c>
      <c r="J38" s="10">
        <v>67400</v>
      </c>
      <c r="K38" s="10">
        <v>0</v>
      </c>
      <c r="L38" s="10">
        <v>154923207</v>
      </c>
      <c r="M38" s="10">
        <v>120459089</v>
      </c>
      <c r="N38" s="10">
        <v>3875</v>
      </c>
      <c r="O38" s="10">
        <v>396</v>
      </c>
      <c r="P38" s="10">
        <v>19678833</v>
      </c>
      <c r="Q38" s="10">
        <v>2468269</v>
      </c>
      <c r="R38" s="10">
        <v>5840000</v>
      </c>
      <c r="S38" s="10">
        <v>5769225</v>
      </c>
      <c r="T38" s="10">
        <v>539428</v>
      </c>
      <c r="U38" s="10">
        <v>6893700</v>
      </c>
      <c r="V38" s="10">
        <v>19678833</v>
      </c>
      <c r="W38" s="10">
        <v>2661100</v>
      </c>
      <c r="X38" s="10">
        <v>5840000</v>
      </c>
      <c r="Y38" s="10">
        <v>5769225</v>
      </c>
      <c r="Z38" s="10">
        <v>669200</v>
      </c>
      <c r="AA38" s="10">
        <v>6893700</v>
      </c>
      <c r="AB38" s="10">
        <v>-2487796</v>
      </c>
      <c r="AC38" s="10">
        <v>2337135</v>
      </c>
      <c r="AD38" s="10">
        <v>0</v>
      </c>
      <c r="AE38" s="10">
        <v>0</v>
      </c>
      <c r="AF38" s="10">
        <v>0</v>
      </c>
      <c r="AG38" s="10">
        <v>103700</v>
      </c>
      <c r="AH38" s="3"/>
      <c r="AI38" s="10">
        <v>539621</v>
      </c>
      <c r="AJ38" s="3"/>
      <c r="AK38" s="1">
        <v>280120347</v>
      </c>
      <c r="AL38" s="1">
        <v>9382018</v>
      </c>
      <c r="AM38" s="10">
        <v>198800</v>
      </c>
      <c r="AN38" s="10">
        <v>109619192</v>
      </c>
      <c r="AO38" s="10">
        <v>9514091</v>
      </c>
      <c r="AP38" s="10">
        <v>205140246</v>
      </c>
      <c r="AQ38" s="10">
        <v>78476641</v>
      </c>
      <c r="AR38" s="10">
        <v>42638116</v>
      </c>
      <c r="AS38" s="10">
        <v>2941518</v>
      </c>
      <c r="AT38" s="10">
        <v>9844171</v>
      </c>
      <c r="AU38" s="10">
        <v>0</v>
      </c>
      <c r="AV38" s="10">
        <v>0</v>
      </c>
      <c r="AW38" s="10">
        <v>25284</v>
      </c>
      <c r="AX38" s="10">
        <v>39587</v>
      </c>
      <c r="AY38" s="10">
        <v>1284397</v>
      </c>
      <c r="AZ38" s="1">
        <v>21601830.68</v>
      </c>
      <c r="BA38" s="1">
        <v>11016934</v>
      </c>
      <c r="BB38" s="19">
        <v>3092676.61</v>
      </c>
      <c r="BC38" s="15">
        <v>799581</v>
      </c>
      <c r="BD38" s="15">
        <v>1567805</v>
      </c>
      <c r="BE38" s="20">
        <v>10124701</v>
      </c>
      <c r="BF38" s="20">
        <v>9371656</v>
      </c>
      <c r="BG38" s="20">
        <v>39048502</v>
      </c>
      <c r="BH38" s="20">
        <v>37557636</v>
      </c>
      <c r="BI38" s="19">
        <v>97942920</v>
      </c>
      <c r="BJ38" s="19"/>
      <c r="BK38" s="19"/>
      <c r="BL38" s="5">
        <v>3417071744</v>
      </c>
      <c r="BM38" s="5">
        <v>2970880652</v>
      </c>
      <c r="BN38" s="15">
        <v>7817410</v>
      </c>
      <c r="BO38" s="3"/>
      <c r="BP38" s="1"/>
      <c r="BQ38" s="5"/>
      <c r="BR38" s="5"/>
      <c r="BS38" s="5"/>
    </row>
    <row r="39" spans="1:71" x14ac:dyDescent="0.25">
      <c r="A39" s="6" t="s">
        <v>93</v>
      </c>
      <c r="B39" s="10">
        <v>74677800</v>
      </c>
      <c r="C39" s="10">
        <v>53142291</v>
      </c>
      <c r="D39" s="10">
        <v>63239447</v>
      </c>
      <c r="E39" s="10">
        <v>1540740</v>
      </c>
      <c r="F39" s="10">
        <v>16911980</v>
      </c>
      <c r="G39" s="10">
        <v>3701080</v>
      </c>
      <c r="H39" s="10">
        <v>3557840</v>
      </c>
      <c r="I39" s="10">
        <v>292420</v>
      </c>
      <c r="J39" s="10">
        <v>22500</v>
      </c>
      <c r="K39" s="10">
        <v>15000</v>
      </c>
      <c r="L39" s="10">
        <v>201568967</v>
      </c>
      <c r="M39" s="10">
        <v>14472305</v>
      </c>
      <c r="N39" s="10">
        <v>688</v>
      </c>
      <c r="O39" s="10">
        <v>153</v>
      </c>
      <c r="P39" s="10">
        <v>1735606</v>
      </c>
      <c r="Q39" s="10">
        <v>951691</v>
      </c>
      <c r="R39" s="10">
        <v>848430</v>
      </c>
      <c r="S39" s="10">
        <v>1474188</v>
      </c>
      <c r="T39" s="10">
        <v>248635</v>
      </c>
      <c r="U39" s="10">
        <v>2053567</v>
      </c>
      <c r="V39" s="10">
        <v>1735606</v>
      </c>
      <c r="W39" s="10">
        <v>3305210</v>
      </c>
      <c r="X39" s="10">
        <v>848430</v>
      </c>
      <c r="Y39" s="10">
        <v>1474188</v>
      </c>
      <c r="Z39" s="10">
        <v>321100</v>
      </c>
      <c r="AA39" s="10">
        <v>2053567</v>
      </c>
      <c r="AB39" s="10">
        <v>-1763210</v>
      </c>
      <c r="AC39" s="10">
        <v>0</v>
      </c>
      <c r="AD39" s="10">
        <v>22647</v>
      </c>
      <c r="AE39" s="10">
        <v>23838</v>
      </c>
      <c r="AF39" s="10">
        <v>15236855</v>
      </c>
      <c r="AG39" s="10">
        <v>120908</v>
      </c>
      <c r="AH39" s="3"/>
      <c r="AI39" s="3"/>
      <c r="AJ39" s="3"/>
      <c r="AK39" s="1">
        <v>28614284</v>
      </c>
      <c r="AL39" s="1">
        <v>598282</v>
      </c>
      <c r="AM39" s="10">
        <v>15000</v>
      </c>
      <c r="AN39" s="10">
        <v>13450574</v>
      </c>
      <c r="AO39" s="10">
        <v>2287837</v>
      </c>
      <c r="AP39" s="10">
        <v>38326952</v>
      </c>
      <c r="AQ39" s="10">
        <v>21940586</v>
      </c>
      <c r="AR39" s="10">
        <v>64209279</v>
      </c>
      <c r="AS39" s="10">
        <v>5054496</v>
      </c>
      <c r="AT39" s="10">
        <v>455551</v>
      </c>
      <c r="AU39" s="10">
        <v>0</v>
      </c>
      <c r="AV39" s="10">
        <v>9068546</v>
      </c>
      <c r="AW39" s="10">
        <v>5344389</v>
      </c>
      <c r="AX39" s="10">
        <v>0</v>
      </c>
      <c r="AY39" s="10">
        <v>135900</v>
      </c>
      <c r="AZ39" s="1">
        <v>2079571.83</v>
      </c>
      <c r="BA39" s="1">
        <v>1060582</v>
      </c>
      <c r="BB39" s="19">
        <v>36154387.57</v>
      </c>
      <c r="BC39" s="15">
        <v>544604</v>
      </c>
      <c r="BD39" s="15">
        <v>1067852</v>
      </c>
      <c r="BE39" s="20">
        <v>5097799</v>
      </c>
      <c r="BF39" s="20">
        <v>5097799</v>
      </c>
      <c r="BG39" s="20">
        <v>19003086</v>
      </c>
      <c r="BH39" s="20">
        <v>13827262</v>
      </c>
      <c r="BI39" s="19"/>
      <c r="BJ39" s="19">
        <v>2730523</v>
      </c>
      <c r="BK39" s="19"/>
      <c r="BL39" s="5">
        <v>281211871</v>
      </c>
      <c r="BM39" s="5">
        <v>228738535</v>
      </c>
      <c r="BN39" s="15">
        <v>1155937</v>
      </c>
      <c r="BO39" s="3"/>
      <c r="BP39" s="1"/>
      <c r="BQ39" s="5"/>
      <c r="BR39" s="5"/>
      <c r="BS39" s="5"/>
    </row>
    <row r="40" spans="1:71" x14ac:dyDescent="0.25">
      <c r="A40" s="6" t="s">
        <v>94</v>
      </c>
      <c r="B40" s="10">
        <v>242340162</v>
      </c>
      <c r="C40" s="10">
        <v>58578871</v>
      </c>
      <c r="D40" s="10">
        <v>94879386</v>
      </c>
      <c r="E40" s="10">
        <v>51393457</v>
      </c>
      <c r="F40" s="10">
        <v>10923400</v>
      </c>
      <c r="G40" s="10">
        <v>4434600</v>
      </c>
      <c r="H40" s="10">
        <v>3648800</v>
      </c>
      <c r="I40" s="10">
        <v>693300</v>
      </c>
      <c r="J40" s="10">
        <v>0</v>
      </c>
      <c r="K40" s="10">
        <v>0</v>
      </c>
      <c r="L40" s="10">
        <v>93295925</v>
      </c>
      <c r="M40" s="10">
        <v>0</v>
      </c>
      <c r="N40" s="10">
        <v>160</v>
      </c>
      <c r="O40" s="10">
        <v>454</v>
      </c>
      <c r="P40" s="10">
        <v>4972550</v>
      </c>
      <c r="Q40" s="10">
        <v>1047440</v>
      </c>
      <c r="R40" s="10">
        <v>2789800</v>
      </c>
      <c r="S40" s="10">
        <v>3121470</v>
      </c>
      <c r="T40" s="10">
        <v>745200</v>
      </c>
      <c r="U40" s="10">
        <v>548818</v>
      </c>
      <c r="V40" s="10">
        <v>4972550</v>
      </c>
      <c r="W40" s="10">
        <v>1295040</v>
      </c>
      <c r="X40" s="10">
        <v>2789800</v>
      </c>
      <c r="Y40" s="10">
        <v>3121470</v>
      </c>
      <c r="Z40" s="10">
        <v>1066400</v>
      </c>
      <c r="AA40" s="10">
        <v>548818</v>
      </c>
      <c r="AB40" s="10">
        <v>-1696600</v>
      </c>
      <c r="AC40" s="10">
        <v>-146945</v>
      </c>
      <c r="AD40" s="10">
        <v>21114</v>
      </c>
      <c r="AE40" s="10">
        <v>0</v>
      </c>
      <c r="AF40" s="10">
        <v>0</v>
      </c>
      <c r="AG40" s="10">
        <v>49852</v>
      </c>
      <c r="AH40" s="3"/>
      <c r="AI40" s="10">
        <v>3298895</v>
      </c>
      <c r="AJ40" s="3"/>
      <c r="AK40" s="1">
        <v>44218918</v>
      </c>
      <c r="AL40" s="1">
        <v>2713426</v>
      </c>
      <c r="AM40" s="10">
        <v>409803</v>
      </c>
      <c r="AN40" s="10">
        <v>14727521</v>
      </c>
      <c r="AO40" s="10">
        <v>1395044</v>
      </c>
      <c r="AP40" s="10">
        <v>250451133</v>
      </c>
      <c r="AQ40" s="10">
        <v>13696105</v>
      </c>
      <c r="AR40" s="10">
        <v>121246222</v>
      </c>
      <c r="AS40" s="10">
        <v>1088144</v>
      </c>
      <c r="AT40" s="10">
        <v>136310</v>
      </c>
      <c r="AU40" s="10">
        <v>0</v>
      </c>
      <c r="AV40" s="10">
        <v>0</v>
      </c>
      <c r="AW40" s="10">
        <v>25254624</v>
      </c>
      <c r="AX40" s="10">
        <v>459438</v>
      </c>
      <c r="AY40" s="10">
        <v>21000</v>
      </c>
      <c r="AZ40" s="1">
        <v>3171449.55</v>
      </c>
      <c r="BA40" s="1">
        <v>1617439</v>
      </c>
      <c r="BB40" s="19">
        <v>14685225.84</v>
      </c>
      <c r="BC40" s="15">
        <v>594772</v>
      </c>
      <c r="BD40" s="15">
        <v>1166220</v>
      </c>
      <c r="BE40" s="20">
        <v>4259098</v>
      </c>
      <c r="BF40" s="20">
        <v>4259098</v>
      </c>
      <c r="BG40" s="20">
        <v>21301794</v>
      </c>
      <c r="BH40" s="20">
        <v>20298529</v>
      </c>
      <c r="BI40" s="19"/>
      <c r="BJ40" s="19"/>
      <c r="BK40" s="19"/>
      <c r="BL40" s="5">
        <v>502618166</v>
      </c>
      <c r="BM40" s="5">
        <v>428915984</v>
      </c>
      <c r="BN40" s="15">
        <v>166820</v>
      </c>
      <c r="BO40" s="3"/>
      <c r="BP40" s="1"/>
      <c r="BQ40" s="5"/>
      <c r="BR40" s="5"/>
      <c r="BS40" s="5"/>
    </row>
    <row r="41" spans="1:71" x14ac:dyDescent="0.25">
      <c r="A41" s="6" t="s">
        <v>95</v>
      </c>
      <c r="B41" s="10">
        <v>490000361</v>
      </c>
      <c r="C41" s="10">
        <v>124493240</v>
      </c>
      <c r="D41" s="10">
        <v>49966001</v>
      </c>
      <c r="E41" s="10">
        <v>0</v>
      </c>
      <c r="F41" s="10">
        <v>34321100</v>
      </c>
      <c r="G41" s="10">
        <v>9773880</v>
      </c>
      <c r="H41" s="10">
        <v>11180200</v>
      </c>
      <c r="I41" s="10">
        <v>1969800</v>
      </c>
      <c r="J41" s="10">
        <v>134800</v>
      </c>
      <c r="K41" s="10">
        <v>0</v>
      </c>
      <c r="L41" s="10">
        <v>192967410</v>
      </c>
      <c r="M41" s="10">
        <v>89110200</v>
      </c>
      <c r="N41" s="10">
        <v>1373</v>
      </c>
      <c r="O41" s="10">
        <v>365</v>
      </c>
      <c r="P41" s="10">
        <v>4389500</v>
      </c>
      <c r="Q41" s="10">
        <v>1369700</v>
      </c>
      <c r="R41" s="10">
        <v>295000</v>
      </c>
      <c r="S41" s="10">
        <v>6977010</v>
      </c>
      <c r="T41" s="10">
        <v>995850</v>
      </c>
      <c r="U41" s="10">
        <v>768500</v>
      </c>
      <c r="V41" s="10">
        <v>4389500</v>
      </c>
      <c r="W41" s="10">
        <v>1369700</v>
      </c>
      <c r="X41" s="10">
        <v>295000</v>
      </c>
      <c r="Y41" s="10">
        <v>6977010</v>
      </c>
      <c r="Z41" s="10">
        <v>2621200</v>
      </c>
      <c r="AA41" s="10">
        <v>768500</v>
      </c>
      <c r="AB41" s="10">
        <v>-2469600</v>
      </c>
      <c r="AC41" s="10">
        <v>-3845</v>
      </c>
      <c r="AD41" s="10">
        <v>0</v>
      </c>
      <c r="AE41" s="10">
        <v>0</v>
      </c>
      <c r="AF41" s="10">
        <v>0</v>
      </c>
      <c r="AG41" s="10">
        <v>134285</v>
      </c>
      <c r="AH41" s="3"/>
      <c r="AI41" s="10">
        <v>79702</v>
      </c>
      <c r="AJ41" s="3"/>
      <c r="AK41" s="1">
        <v>89389111</v>
      </c>
      <c r="AL41" s="1">
        <v>5511175</v>
      </c>
      <c r="AM41" s="10">
        <v>521077</v>
      </c>
      <c r="AN41" s="10">
        <v>10709945</v>
      </c>
      <c r="AO41" s="10">
        <v>285794</v>
      </c>
      <c r="AP41" s="10">
        <v>6018446</v>
      </c>
      <c r="AQ41" s="10">
        <v>5448440</v>
      </c>
      <c r="AR41" s="10">
        <v>1664122</v>
      </c>
      <c r="AS41" s="10">
        <v>0</v>
      </c>
      <c r="AT41" s="10">
        <v>337565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">
        <v>6627347.2000000002</v>
      </c>
      <c r="BA41" s="1">
        <v>3379947</v>
      </c>
      <c r="BB41" s="19"/>
      <c r="BC41" s="15">
        <v>0</v>
      </c>
      <c r="BD41" s="15">
        <v>0</v>
      </c>
      <c r="BE41" s="20">
        <v>14274990</v>
      </c>
      <c r="BF41" s="20">
        <v>14274990</v>
      </c>
      <c r="BG41" s="20">
        <v>24881361</v>
      </c>
      <c r="BH41" s="20">
        <v>24881361</v>
      </c>
      <c r="BI41" s="19"/>
      <c r="BJ41" s="19"/>
      <c r="BK41" s="19"/>
      <c r="BL41" s="5">
        <v>818420067</v>
      </c>
      <c r="BM41" s="5">
        <v>680983483</v>
      </c>
      <c r="BN41" s="15">
        <v>824500</v>
      </c>
      <c r="BO41" s="3"/>
      <c r="BP41" s="1"/>
      <c r="BQ41" s="5"/>
      <c r="BR41" s="5"/>
      <c r="BS41" s="5"/>
    </row>
    <row r="42" spans="1:71" x14ac:dyDescent="0.25">
      <c r="A42" s="6" t="s">
        <v>96</v>
      </c>
      <c r="B42" s="10">
        <v>602820049</v>
      </c>
      <c r="C42" s="10">
        <v>186676848</v>
      </c>
      <c r="D42" s="10">
        <v>194502990</v>
      </c>
      <c r="E42" s="10">
        <v>600000</v>
      </c>
      <c r="F42" s="10">
        <v>32076190</v>
      </c>
      <c r="G42" s="10">
        <v>6989760</v>
      </c>
      <c r="H42" s="10">
        <v>16845300</v>
      </c>
      <c r="I42" s="10">
        <v>1657300</v>
      </c>
      <c r="J42" s="10">
        <v>267300</v>
      </c>
      <c r="K42" s="10">
        <v>30000</v>
      </c>
      <c r="L42" s="10">
        <v>306053258</v>
      </c>
      <c r="M42" s="10">
        <v>155446000</v>
      </c>
      <c r="N42" s="10">
        <v>1507</v>
      </c>
      <c r="O42" s="10">
        <v>273</v>
      </c>
      <c r="P42" s="10">
        <v>7173170</v>
      </c>
      <c r="Q42" s="10">
        <v>2643200</v>
      </c>
      <c r="R42" s="10">
        <v>3792200</v>
      </c>
      <c r="S42" s="10">
        <v>6553446</v>
      </c>
      <c r="T42" s="10">
        <v>1218490</v>
      </c>
      <c r="U42" s="10">
        <v>2212600</v>
      </c>
      <c r="V42" s="10">
        <v>7173170</v>
      </c>
      <c r="W42" s="10">
        <v>1736000</v>
      </c>
      <c r="X42" s="10">
        <v>3792200</v>
      </c>
      <c r="Y42" s="10">
        <v>6553446</v>
      </c>
      <c r="Z42" s="10">
        <v>1796900</v>
      </c>
      <c r="AA42" s="10">
        <v>2212600</v>
      </c>
      <c r="AB42" s="10">
        <v>-1031960</v>
      </c>
      <c r="AC42" s="10">
        <v>-1500173</v>
      </c>
      <c r="AD42" s="10">
        <v>48402</v>
      </c>
      <c r="AE42" s="10">
        <v>32</v>
      </c>
      <c r="AF42" s="10">
        <v>0</v>
      </c>
      <c r="AG42" s="10">
        <v>146422</v>
      </c>
      <c r="AH42" s="3"/>
      <c r="AI42" s="3"/>
      <c r="AJ42" s="3"/>
      <c r="AK42" s="1">
        <v>119325853</v>
      </c>
      <c r="AL42" s="1">
        <v>4154617</v>
      </c>
      <c r="AM42" s="10">
        <v>0</v>
      </c>
      <c r="AN42" s="10">
        <v>27336044</v>
      </c>
      <c r="AO42" s="10">
        <v>4432873</v>
      </c>
      <c r="AP42" s="10">
        <v>32783284</v>
      </c>
      <c r="AQ42" s="10">
        <v>36068727</v>
      </c>
      <c r="AR42" s="10">
        <v>22784171</v>
      </c>
      <c r="AS42" s="10">
        <v>1329942</v>
      </c>
      <c r="AT42" s="10">
        <v>0</v>
      </c>
      <c r="AU42" s="10">
        <v>0</v>
      </c>
      <c r="AV42" s="10">
        <v>0</v>
      </c>
      <c r="AW42" s="10">
        <v>0</v>
      </c>
      <c r="AX42" s="10">
        <v>6363</v>
      </c>
      <c r="AY42" s="10">
        <v>0</v>
      </c>
      <c r="AZ42" s="1">
        <v>9240339.5199999996</v>
      </c>
      <c r="BA42" s="1">
        <v>4712573</v>
      </c>
      <c r="BB42" s="19"/>
      <c r="BC42" s="15">
        <v>2144800</v>
      </c>
      <c r="BD42" s="15">
        <v>4205490</v>
      </c>
      <c r="BE42" s="20">
        <v>21545413</v>
      </c>
      <c r="BF42" s="20">
        <v>21545413</v>
      </c>
      <c r="BG42" s="20">
        <v>72774359</v>
      </c>
      <c r="BH42" s="20">
        <v>65101148</v>
      </c>
      <c r="BI42" s="19"/>
      <c r="BJ42" s="19"/>
      <c r="BK42" s="19"/>
      <c r="BL42" s="5">
        <v>1268821935</v>
      </c>
      <c r="BM42" s="5">
        <v>1051837531</v>
      </c>
      <c r="BN42" s="15">
        <v>1767100</v>
      </c>
      <c r="BO42" s="3"/>
      <c r="BP42" s="1"/>
      <c r="BQ42" s="5"/>
      <c r="BR42" s="5"/>
      <c r="BS42" s="5"/>
    </row>
    <row r="43" spans="1:71" x14ac:dyDescent="0.25">
      <c r="A43" s="6" t="s">
        <v>97</v>
      </c>
      <c r="B43" s="10">
        <v>675518669</v>
      </c>
      <c r="C43" s="10">
        <v>316323305</v>
      </c>
      <c r="D43" s="10">
        <v>229614571</v>
      </c>
      <c r="E43" s="10">
        <v>21373087</v>
      </c>
      <c r="F43" s="10">
        <v>86608755</v>
      </c>
      <c r="G43" s="10">
        <v>15895950</v>
      </c>
      <c r="H43" s="10">
        <v>23444000</v>
      </c>
      <c r="I43" s="10">
        <v>2605350</v>
      </c>
      <c r="J43" s="10">
        <v>98800</v>
      </c>
      <c r="K43" s="10">
        <v>33700</v>
      </c>
      <c r="L43" s="10">
        <v>715561976</v>
      </c>
      <c r="M43" s="10">
        <v>174867319</v>
      </c>
      <c r="N43" s="10">
        <v>3439</v>
      </c>
      <c r="O43" s="10">
        <v>613</v>
      </c>
      <c r="P43" s="10">
        <v>10184025</v>
      </c>
      <c r="Q43" s="10">
        <v>3643975</v>
      </c>
      <c r="R43" s="10">
        <v>6165100</v>
      </c>
      <c r="S43" s="10">
        <v>6458557</v>
      </c>
      <c r="T43" s="10">
        <v>928090</v>
      </c>
      <c r="U43" s="10">
        <v>10733800</v>
      </c>
      <c r="V43" s="10">
        <v>10184025</v>
      </c>
      <c r="W43" s="10">
        <v>4543500</v>
      </c>
      <c r="X43" s="10">
        <v>6165100</v>
      </c>
      <c r="Y43" s="10">
        <v>6458557</v>
      </c>
      <c r="Z43" s="10">
        <v>1415400</v>
      </c>
      <c r="AA43" s="10">
        <v>10733800</v>
      </c>
      <c r="AB43" s="10">
        <v>-5514131</v>
      </c>
      <c r="AC43" s="10">
        <v>-460000</v>
      </c>
      <c r="AD43" s="10">
        <v>51647</v>
      </c>
      <c r="AE43" s="10">
        <v>0</v>
      </c>
      <c r="AF43" s="10">
        <v>1873417</v>
      </c>
      <c r="AG43" s="10">
        <v>313587</v>
      </c>
      <c r="AH43" s="3"/>
      <c r="AI43" s="10">
        <v>310992</v>
      </c>
      <c r="AJ43" s="3"/>
      <c r="AK43" s="1">
        <v>212281747</v>
      </c>
      <c r="AL43" s="1">
        <v>5702227</v>
      </c>
      <c r="AM43" s="10">
        <v>258750</v>
      </c>
      <c r="AN43" s="10">
        <v>44978689</v>
      </c>
      <c r="AO43" s="10">
        <v>1462054</v>
      </c>
      <c r="AP43" s="10">
        <v>21647038</v>
      </c>
      <c r="AQ43" s="10">
        <v>69810055</v>
      </c>
      <c r="AR43" s="10">
        <v>46978898</v>
      </c>
      <c r="AS43" s="10">
        <v>0</v>
      </c>
      <c r="AT43" s="10">
        <v>4780048</v>
      </c>
      <c r="AU43" s="10">
        <v>37644</v>
      </c>
      <c r="AV43" s="10">
        <v>0</v>
      </c>
      <c r="AW43" s="10">
        <v>3833273</v>
      </c>
      <c r="AX43" s="10">
        <v>90459</v>
      </c>
      <c r="AY43" s="10">
        <v>110500</v>
      </c>
      <c r="AZ43" s="1">
        <v>15669608.439999999</v>
      </c>
      <c r="BA43" s="1">
        <v>7991500</v>
      </c>
      <c r="BB43" s="19"/>
      <c r="BC43" s="15">
        <v>1941026</v>
      </c>
      <c r="BD43" s="15">
        <v>3805933</v>
      </c>
      <c r="BE43" s="20">
        <v>27500264</v>
      </c>
      <c r="BF43" s="20">
        <v>25354175</v>
      </c>
      <c r="BG43" s="20">
        <v>116307788</v>
      </c>
      <c r="BH43" s="20">
        <v>93821054</v>
      </c>
      <c r="BI43" s="19"/>
      <c r="BJ43" s="19">
        <v>4145756</v>
      </c>
      <c r="BK43" s="19"/>
      <c r="BL43" s="5">
        <v>1689255820</v>
      </c>
      <c r="BM43" s="5">
        <v>1338018335</v>
      </c>
      <c r="BN43" s="15">
        <v>4378644</v>
      </c>
      <c r="BO43" s="3"/>
      <c r="BP43" s="1"/>
      <c r="BQ43" s="5"/>
      <c r="BR43" s="5"/>
      <c r="BS43" s="5"/>
    </row>
    <row r="44" spans="1:71" x14ac:dyDescent="0.25">
      <c r="A44" s="6" t="s">
        <v>98</v>
      </c>
      <c r="B44" s="10">
        <v>576790419</v>
      </c>
      <c r="C44" s="10">
        <v>182105499</v>
      </c>
      <c r="D44" s="10">
        <v>155645012</v>
      </c>
      <c r="E44" s="10">
        <v>14500000</v>
      </c>
      <c r="F44" s="10">
        <v>47925529</v>
      </c>
      <c r="G44" s="10">
        <v>12109095</v>
      </c>
      <c r="H44" s="10">
        <v>19331250</v>
      </c>
      <c r="I44" s="10">
        <v>3113700</v>
      </c>
      <c r="J44" s="10">
        <v>199500</v>
      </c>
      <c r="K44" s="10">
        <v>33700</v>
      </c>
      <c r="L44" s="10">
        <v>223334197</v>
      </c>
      <c r="M44" s="10">
        <v>111236631</v>
      </c>
      <c r="N44" s="10">
        <v>2144</v>
      </c>
      <c r="O44" s="10">
        <v>526</v>
      </c>
      <c r="P44" s="10">
        <v>15603063</v>
      </c>
      <c r="Q44" s="10">
        <v>6386000</v>
      </c>
      <c r="R44" s="10">
        <v>11609450</v>
      </c>
      <c r="S44" s="10">
        <v>6304926</v>
      </c>
      <c r="T44" s="10">
        <v>1212367</v>
      </c>
      <c r="U44" s="10">
        <v>407410</v>
      </c>
      <c r="V44" s="10">
        <v>15603063</v>
      </c>
      <c r="W44" s="10">
        <v>6172340</v>
      </c>
      <c r="X44" s="10">
        <v>11609450</v>
      </c>
      <c r="Y44" s="10">
        <v>6304926</v>
      </c>
      <c r="Z44" s="10">
        <v>1950849</v>
      </c>
      <c r="AA44" s="10">
        <v>407400</v>
      </c>
      <c r="AB44" s="10">
        <v>-4454926</v>
      </c>
      <c r="AC44" s="10">
        <v>-5366476</v>
      </c>
      <c r="AD44" s="10">
        <v>127757</v>
      </c>
      <c r="AE44" s="10">
        <v>66330</v>
      </c>
      <c r="AF44" s="10">
        <v>72153979</v>
      </c>
      <c r="AG44" s="10">
        <v>270140</v>
      </c>
      <c r="AH44" s="10">
        <v>0</v>
      </c>
      <c r="AI44" s="10">
        <v>341589</v>
      </c>
      <c r="AJ44" s="3"/>
      <c r="AK44" s="1">
        <v>118881203</v>
      </c>
      <c r="AL44" s="1">
        <v>13278141</v>
      </c>
      <c r="AM44" s="10">
        <v>389020</v>
      </c>
      <c r="AN44" s="10">
        <v>31812194</v>
      </c>
      <c r="AO44" s="10">
        <v>2000527</v>
      </c>
      <c r="AP44" s="10">
        <v>71288806</v>
      </c>
      <c r="AQ44" s="10">
        <v>49543150</v>
      </c>
      <c r="AR44" s="10">
        <v>49237203</v>
      </c>
      <c r="AS44" s="10">
        <v>2709704</v>
      </c>
      <c r="AT44" s="10">
        <v>9116</v>
      </c>
      <c r="AU44" s="10">
        <v>0</v>
      </c>
      <c r="AV44" s="10">
        <v>60786</v>
      </c>
      <c r="AW44" s="10">
        <v>83147</v>
      </c>
      <c r="AX44" s="10">
        <v>422705</v>
      </c>
      <c r="AY44" s="10">
        <v>160000</v>
      </c>
      <c r="AZ44" s="1">
        <v>9248958.0999999996</v>
      </c>
      <c r="BA44" s="1">
        <v>4716969</v>
      </c>
      <c r="BB44" s="19"/>
      <c r="BC44" s="15">
        <v>1773973</v>
      </c>
      <c r="BD44" s="15">
        <v>3478378</v>
      </c>
      <c r="BE44" s="20">
        <v>11727220</v>
      </c>
      <c r="BF44" s="20">
        <v>7830238</v>
      </c>
      <c r="BG44" s="20">
        <v>37613051</v>
      </c>
      <c r="BH44" s="20">
        <v>35511105</v>
      </c>
      <c r="BI44" s="19"/>
      <c r="BJ44" s="19"/>
      <c r="BK44" s="19"/>
      <c r="BL44" s="5">
        <v>1180230019</v>
      </c>
      <c r="BM44" s="5">
        <v>998238390</v>
      </c>
      <c r="BN44" s="15">
        <v>1314270</v>
      </c>
      <c r="BO44" s="3"/>
      <c r="BP44" s="1"/>
      <c r="BQ44" s="5"/>
      <c r="BR44" s="5"/>
      <c r="BS44" s="5"/>
    </row>
    <row r="45" spans="1:71" x14ac:dyDescent="0.25">
      <c r="A45" s="6" t="s">
        <v>99</v>
      </c>
      <c r="B45" s="10">
        <v>160711164</v>
      </c>
      <c r="C45" s="10">
        <v>107520229</v>
      </c>
      <c r="D45" s="10">
        <v>33517667</v>
      </c>
      <c r="E45" s="10">
        <v>0</v>
      </c>
      <c r="F45" s="10">
        <v>22527350</v>
      </c>
      <c r="G45" s="10">
        <v>8598428</v>
      </c>
      <c r="H45" s="10">
        <v>11554700</v>
      </c>
      <c r="I45" s="10">
        <v>2621500</v>
      </c>
      <c r="J45" s="10">
        <v>63700</v>
      </c>
      <c r="K45" s="10">
        <v>0</v>
      </c>
      <c r="L45" s="10">
        <v>172092514</v>
      </c>
      <c r="M45" s="10">
        <v>0</v>
      </c>
      <c r="N45" s="10">
        <v>1062</v>
      </c>
      <c r="O45" s="10">
        <v>365</v>
      </c>
      <c r="P45" s="10">
        <v>2501548</v>
      </c>
      <c r="Q45" s="10">
        <v>1920800</v>
      </c>
      <c r="R45" s="10">
        <v>299317</v>
      </c>
      <c r="S45" s="10">
        <v>434239</v>
      </c>
      <c r="T45" s="10">
        <v>25000</v>
      </c>
      <c r="U45" s="10">
        <v>0</v>
      </c>
      <c r="V45" s="10">
        <v>2501548</v>
      </c>
      <c r="W45" s="10">
        <v>1692005</v>
      </c>
      <c r="X45" s="10">
        <v>299317</v>
      </c>
      <c r="Y45" s="10">
        <v>434239</v>
      </c>
      <c r="Z45" s="10">
        <v>10000</v>
      </c>
      <c r="AA45" s="10">
        <v>0</v>
      </c>
      <c r="AB45" s="10">
        <v>-2940700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94995</v>
      </c>
      <c r="AI45" s="10">
        <v>154927</v>
      </c>
      <c r="AJ45" s="3"/>
      <c r="AK45" s="1">
        <v>49418680</v>
      </c>
      <c r="AL45" s="1">
        <v>1165842</v>
      </c>
      <c r="AM45" s="3"/>
      <c r="AN45" s="10">
        <v>6029342</v>
      </c>
      <c r="AO45" s="10">
        <v>12926</v>
      </c>
      <c r="AP45" s="10">
        <v>3446711</v>
      </c>
      <c r="AQ45" s="10">
        <v>4745157</v>
      </c>
      <c r="AR45" s="10">
        <v>1373288</v>
      </c>
      <c r="AS45" s="3"/>
      <c r="AT45" s="10">
        <v>1586826</v>
      </c>
      <c r="AU45" s="3"/>
      <c r="AV45" s="10">
        <v>8000</v>
      </c>
      <c r="AW45" s="3"/>
      <c r="AX45" s="3"/>
      <c r="AY45" s="3"/>
      <c r="AZ45" s="1">
        <v>3684439.01</v>
      </c>
      <c r="BA45" s="1">
        <v>1879064</v>
      </c>
      <c r="BB45" s="19"/>
      <c r="BC45" s="15">
        <v>0</v>
      </c>
      <c r="BD45" s="15">
        <v>0</v>
      </c>
      <c r="BE45" s="20">
        <v>9227756</v>
      </c>
      <c r="BF45" s="20">
        <v>9227756</v>
      </c>
      <c r="BG45" s="20">
        <v>28359151</v>
      </c>
      <c r="BH45" s="20">
        <v>28359151</v>
      </c>
      <c r="BI45" s="19"/>
      <c r="BJ45" s="19"/>
      <c r="BK45" s="19"/>
      <c r="BL45" s="5">
        <v>402836900</v>
      </c>
      <c r="BM45" s="5">
        <v>312786407</v>
      </c>
      <c r="BN45" s="15">
        <v>276762</v>
      </c>
      <c r="BO45" s="3"/>
      <c r="BP45" s="1"/>
      <c r="BQ45" s="5"/>
      <c r="BR45" s="5"/>
      <c r="BS45" s="5"/>
    </row>
    <row r="46" spans="1:71" x14ac:dyDescent="0.25">
      <c r="A46" s="6" t="s">
        <v>100</v>
      </c>
      <c r="B46" s="10">
        <v>856459293</v>
      </c>
      <c r="C46" s="10">
        <v>111316684</v>
      </c>
      <c r="D46" s="10">
        <v>268459733</v>
      </c>
      <c r="E46" s="10">
        <v>0</v>
      </c>
      <c r="F46" s="10">
        <v>99549873</v>
      </c>
      <c r="G46" s="10">
        <v>29383721</v>
      </c>
      <c r="H46" s="10">
        <v>14633598</v>
      </c>
      <c r="I46" s="10">
        <v>4431447</v>
      </c>
      <c r="J46" s="10">
        <v>134800</v>
      </c>
      <c r="K46" s="10">
        <v>33700</v>
      </c>
      <c r="L46" s="10">
        <v>100335726</v>
      </c>
      <c r="M46" s="10">
        <v>95108021</v>
      </c>
      <c r="N46" s="10">
        <v>3656</v>
      </c>
      <c r="O46" s="10">
        <v>1156</v>
      </c>
      <c r="P46" s="10">
        <v>7949608</v>
      </c>
      <c r="Q46" s="10">
        <v>3726479</v>
      </c>
      <c r="R46" s="10">
        <v>593400</v>
      </c>
      <c r="S46" s="10">
        <v>1324351</v>
      </c>
      <c r="T46" s="10">
        <v>176930</v>
      </c>
      <c r="U46" s="10">
        <v>4345408</v>
      </c>
      <c r="V46" s="10">
        <v>7949608</v>
      </c>
      <c r="W46" s="10">
        <v>3879979</v>
      </c>
      <c r="X46" s="10">
        <v>593400</v>
      </c>
      <c r="Y46" s="10">
        <v>1324351</v>
      </c>
      <c r="Z46" s="10">
        <v>219440</v>
      </c>
      <c r="AA46" s="10">
        <v>4345408</v>
      </c>
      <c r="AB46" s="10">
        <v>-15203355</v>
      </c>
      <c r="AC46" s="10">
        <v>-527863</v>
      </c>
      <c r="AD46" s="10">
        <v>149215</v>
      </c>
      <c r="AE46" s="10">
        <v>0</v>
      </c>
      <c r="AF46" s="10">
        <v>0</v>
      </c>
      <c r="AG46" s="10">
        <v>189157</v>
      </c>
      <c r="AH46" s="10">
        <v>1281200</v>
      </c>
      <c r="AI46" s="10">
        <v>632099</v>
      </c>
      <c r="AJ46" s="3"/>
      <c r="AK46" s="1">
        <v>196496747</v>
      </c>
      <c r="AL46" s="1">
        <v>5992700</v>
      </c>
      <c r="AM46" s="10">
        <v>30000</v>
      </c>
      <c r="AN46" s="10">
        <v>43419415</v>
      </c>
      <c r="AO46" s="10">
        <v>979168</v>
      </c>
      <c r="AP46" s="10">
        <v>97598977</v>
      </c>
      <c r="AQ46" s="10">
        <v>66425240</v>
      </c>
      <c r="AR46" s="10">
        <v>82626722</v>
      </c>
      <c r="AS46" s="10">
        <v>82811475</v>
      </c>
      <c r="AT46" s="10">
        <v>318224</v>
      </c>
      <c r="AU46" s="10">
        <v>0</v>
      </c>
      <c r="AV46" s="10">
        <v>0</v>
      </c>
      <c r="AW46" s="10">
        <v>0</v>
      </c>
      <c r="AX46" s="10">
        <v>0</v>
      </c>
      <c r="AY46" s="10">
        <v>1147915</v>
      </c>
      <c r="AZ46" s="1">
        <v>14947578.93</v>
      </c>
      <c r="BA46" s="1">
        <v>7623265</v>
      </c>
      <c r="BB46" s="19">
        <v>25858767.309999999</v>
      </c>
      <c r="BC46" s="15">
        <v>24308079</v>
      </c>
      <c r="BD46" s="15">
        <v>47662901</v>
      </c>
      <c r="BE46" s="20">
        <v>43837616</v>
      </c>
      <c r="BF46" s="20">
        <v>43837616</v>
      </c>
      <c r="BG46" s="20">
        <v>96972299</v>
      </c>
      <c r="BH46" s="20">
        <v>83547676</v>
      </c>
      <c r="BI46" s="19"/>
      <c r="BJ46" s="19"/>
      <c r="BK46" s="19"/>
      <c r="BL46" s="5">
        <v>1710778915</v>
      </c>
      <c r="BM46" s="5">
        <v>1348972832</v>
      </c>
      <c r="BN46" s="15">
        <v>1914734</v>
      </c>
      <c r="BO46" s="3"/>
      <c r="BP46" s="1"/>
      <c r="BQ46" s="5"/>
      <c r="BR46" s="5"/>
      <c r="BS46" s="5"/>
    </row>
    <row r="47" spans="1:71" x14ac:dyDescent="0.25">
      <c r="A47" s="6" t="s">
        <v>101</v>
      </c>
      <c r="B47" s="10">
        <v>144338690</v>
      </c>
      <c r="C47" s="10">
        <v>77978850</v>
      </c>
      <c r="D47" s="10">
        <v>116544508</v>
      </c>
      <c r="E47" s="10">
        <v>275999996</v>
      </c>
      <c r="F47" s="10">
        <v>15567600</v>
      </c>
      <c r="G47" s="10">
        <v>2699200</v>
      </c>
      <c r="H47" s="10">
        <v>8018900</v>
      </c>
      <c r="I47" s="10">
        <v>1116500</v>
      </c>
      <c r="J47" s="10">
        <v>0</v>
      </c>
      <c r="K47" s="10">
        <v>0</v>
      </c>
      <c r="L47" s="10">
        <v>130801550</v>
      </c>
      <c r="M47" s="10">
        <v>57219500</v>
      </c>
      <c r="N47" s="10">
        <v>747</v>
      </c>
      <c r="O47" s="10">
        <v>134</v>
      </c>
      <c r="P47" s="10">
        <v>3166800</v>
      </c>
      <c r="Q47" s="10">
        <v>2261100</v>
      </c>
      <c r="R47" s="10">
        <v>1005400</v>
      </c>
      <c r="S47" s="10">
        <v>1531300</v>
      </c>
      <c r="T47" s="10">
        <v>1187750</v>
      </c>
      <c r="U47" s="10">
        <v>9071900</v>
      </c>
      <c r="V47" s="10">
        <v>3166800</v>
      </c>
      <c r="W47" s="10">
        <v>2293400</v>
      </c>
      <c r="X47" s="10">
        <v>1005400</v>
      </c>
      <c r="Y47" s="10">
        <v>1532500</v>
      </c>
      <c r="Z47" s="10">
        <v>1075550</v>
      </c>
      <c r="AA47" s="10">
        <v>9071900</v>
      </c>
      <c r="AB47" s="10">
        <v>-1198350</v>
      </c>
      <c r="AC47" s="10">
        <v>-13921</v>
      </c>
      <c r="AD47" s="10">
        <v>86462</v>
      </c>
      <c r="AE47" s="10">
        <v>0</v>
      </c>
      <c r="AF47" s="10">
        <v>0</v>
      </c>
      <c r="AG47" s="10">
        <v>107191</v>
      </c>
      <c r="AH47" s="10">
        <v>928548</v>
      </c>
      <c r="AI47" s="10">
        <v>343242</v>
      </c>
      <c r="AJ47" s="10">
        <v>226290</v>
      </c>
      <c r="AK47" s="1">
        <v>47584681</v>
      </c>
      <c r="AL47" s="1">
        <v>1644664</v>
      </c>
      <c r="AM47" s="10">
        <v>0</v>
      </c>
      <c r="AN47" s="10">
        <v>22854732</v>
      </c>
      <c r="AO47" s="10">
        <v>36925533</v>
      </c>
      <c r="AP47" s="10">
        <v>492194729</v>
      </c>
      <c r="AQ47" s="10">
        <v>32587323</v>
      </c>
      <c r="AR47" s="10">
        <v>127240128</v>
      </c>
      <c r="AS47" s="10">
        <v>20217965</v>
      </c>
      <c r="AT47" s="10">
        <v>914680</v>
      </c>
      <c r="AU47" s="10">
        <v>0</v>
      </c>
      <c r="AV47" s="10">
        <v>0</v>
      </c>
      <c r="AW47" s="10">
        <v>447531</v>
      </c>
      <c r="AX47" s="10">
        <v>157881</v>
      </c>
      <c r="AY47" s="10">
        <v>0</v>
      </c>
      <c r="AZ47" s="1">
        <v>3662546.02</v>
      </c>
      <c r="BA47" s="1">
        <v>1867898</v>
      </c>
      <c r="BB47" s="19">
        <v>23863492.039999999</v>
      </c>
      <c r="BC47" s="15">
        <v>1318843</v>
      </c>
      <c r="BD47" s="15">
        <v>2585966</v>
      </c>
      <c r="BE47" s="20">
        <v>12363261</v>
      </c>
      <c r="BF47" s="20">
        <v>12363261</v>
      </c>
      <c r="BG47" s="20">
        <v>29930435</v>
      </c>
      <c r="BH47" s="20">
        <v>28349925</v>
      </c>
      <c r="BI47" s="19"/>
      <c r="BJ47" s="19"/>
      <c r="BK47" s="19"/>
      <c r="BL47" s="5">
        <v>525856988</v>
      </c>
      <c r="BM47" s="5">
        <v>432727716</v>
      </c>
      <c r="BN47" s="15">
        <v>493500</v>
      </c>
      <c r="BO47" s="3"/>
      <c r="BP47" s="1"/>
      <c r="BQ47" s="5"/>
      <c r="BR47" s="5"/>
      <c r="BS47" s="5"/>
    </row>
    <row r="48" spans="1:71" x14ac:dyDescent="0.25">
      <c r="A48" s="6" t="s">
        <v>102</v>
      </c>
      <c r="B48" s="10">
        <v>3393370666</v>
      </c>
      <c r="C48" s="10">
        <v>357951760</v>
      </c>
      <c r="D48" s="10">
        <v>1258962389</v>
      </c>
      <c r="E48" s="10">
        <v>6000000</v>
      </c>
      <c r="F48" s="10">
        <v>174479200</v>
      </c>
      <c r="G48" s="10">
        <v>22852200</v>
      </c>
      <c r="H48" s="10">
        <v>23258700</v>
      </c>
      <c r="I48" s="10">
        <v>2016100</v>
      </c>
      <c r="J48" s="10">
        <v>404400</v>
      </c>
      <c r="K48" s="10">
        <v>0</v>
      </c>
      <c r="L48" s="10">
        <v>434355338</v>
      </c>
      <c r="M48" s="10">
        <v>0</v>
      </c>
      <c r="N48" s="10">
        <v>6040</v>
      </c>
      <c r="O48" s="10">
        <v>797</v>
      </c>
      <c r="P48" s="10">
        <v>69239300</v>
      </c>
      <c r="Q48" s="10">
        <v>4316200</v>
      </c>
      <c r="R48" s="10">
        <v>22919700</v>
      </c>
      <c r="S48" s="10">
        <v>6652200</v>
      </c>
      <c r="T48" s="10">
        <v>580700</v>
      </c>
      <c r="U48" s="10">
        <v>7885016</v>
      </c>
      <c r="V48" s="10">
        <v>69239300</v>
      </c>
      <c r="W48" s="10">
        <v>4316200</v>
      </c>
      <c r="X48" s="10">
        <v>22919700</v>
      </c>
      <c r="Y48" s="10">
        <v>6652200</v>
      </c>
      <c r="Z48" s="10">
        <v>580700</v>
      </c>
      <c r="AA48" s="10">
        <v>7885016</v>
      </c>
      <c r="AB48" s="10">
        <v>-77743534</v>
      </c>
      <c r="AC48" s="10">
        <v>-3093202</v>
      </c>
      <c r="AD48" s="10">
        <v>87913</v>
      </c>
      <c r="AE48" s="10">
        <v>0</v>
      </c>
      <c r="AF48" s="10">
        <v>0</v>
      </c>
      <c r="AG48" s="10">
        <v>264912</v>
      </c>
      <c r="AH48" s="3"/>
      <c r="AI48" s="10">
        <v>1046472</v>
      </c>
      <c r="AJ48" s="3"/>
      <c r="AK48" s="1">
        <v>495283689</v>
      </c>
      <c r="AL48" s="1">
        <v>13996097</v>
      </c>
      <c r="AM48" s="10">
        <v>0</v>
      </c>
      <c r="AN48" s="10">
        <v>174910416</v>
      </c>
      <c r="AO48" s="10">
        <v>18108302</v>
      </c>
      <c r="AP48" s="10">
        <v>475332964</v>
      </c>
      <c r="AQ48" s="10">
        <v>185962390</v>
      </c>
      <c r="AR48" s="10">
        <v>138073813</v>
      </c>
      <c r="AS48" s="10">
        <v>48643973</v>
      </c>
      <c r="AT48" s="10">
        <v>0</v>
      </c>
      <c r="AU48" s="10">
        <v>0</v>
      </c>
      <c r="AV48" s="10">
        <v>14768</v>
      </c>
      <c r="AW48" s="10">
        <v>16386389</v>
      </c>
      <c r="AX48" s="10">
        <v>1668776</v>
      </c>
      <c r="AY48" s="10">
        <v>3412956</v>
      </c>
      <c r="AZ48" s="1">
        <v>38034202.960000001</v>
      </c>
      <c r="BA48" s="1">
        <v>19397444</v>
      </c>
      <c r="BB48" s="19">
        <v>2234708.2799999998</v>
      </c>
      <c r="BC48" s="15">
        <v>4302530</v>
      </c>
      <c r="BD48" s="15">
        <v>8436333</v>
      </c>
      <c r="BE48" s="20">
        <v>36176987</v>
      </c>
      <c r="BF48" s="20">
        <v>30789206</v>
      </c>
      <c r="BG48" s="20">
        <v>160213807</v>
      </c>
      <c r="BH48" s="20">
        <v>152495010</v>
      </c>
      <c r="BI48" s="19"/>
      <c r="BJ48" s="19"/>
      <c r="BK48" s="19"/>
      <c r="BL48" s="5">
        <v>6106576371</v>
      </c>
      <c r="BM48" s="5">
        <v>5390312395</v>
      </c>
      <c r="BN48" s="15">
        <v>12032300</v>
      </c>
      <c r="BO48" s="3"/>
      <c r="BP48" s="1"/>
      <c r="BQ48" s="5"/>
      <c r="BR48" s="5"/>
      <c r="BS48" s="5"/>
    </row>
    <row r="49" spans="1:71" x14ac:dyDescent="0.25">
      <c r="A49" s="6" t="s">
        <v>103</v>
      </c>
      <c r="B49" s="10">
        <v>365932857</v>
      </c>
      <c r="C49" s="10">
        <v>37600632</v>
      </c>
      <c r="D49" s="10">
        <v>149188714</v>
      </c>
      <c r="E49" s="10">
        <v>0</v>
      </c>
      <c r="F49" s="10">
        <v>55499354</v>
      </c>
      <c r="G49" s="10">
        <v>65089333</v>
      </c>
      <c r="H49" s="10">
        <v>2502825</v>
      </c>
      <c r="I49" s="10">
        <v>1426500</v>
      </c>
      <c r="J49" s="10">
        <v>311100</v>
      </c>
      <c r="K49" s="10">
        <v>122550</v>
      </c>
      <c r="L49" s="10">
        <v>95291540</v>
      </c>
      <c r="M49" s="10">
        <v>12903255</v>
      </c>
      <c r="N49" s="10">
        <v>2090</v>
      </c>
      <c r="O49" s="10">
        <v>2480</v>
      </c>
      <c r="P49" s="10">
        <v>4996965</v>
      </c>
      <c r="Q49" s="10">
        <v>231950</v>
      </c>
      <c r="R49" s="10">
        <v>168500</v>
      </c>
      <c r="S49" s="10">
        <v>3177710</v>
      </c>
      <c r="T49" s="10">
        <v>21975</v>
      </c>
      <c r="U49" s="10">
        <v>1456700</v>
      </c>
      <c r="V49" s="10">
        <v>4996965</v>
      </c>
      <c r="W49" s="10">
        <v>1280950</v>
      </c>
      <c r="X49" s="10">
        <v>168500</v>
      </c>
      <c r="Y49" s="10">
        <v>3177710</v>
      </c>
      <c r="Z49" s="10">
        <v>2775</v>
      </c>
      <c r="AA49" s="10">
        <v>1456700</v>
      </c>
      <c r="AB49" s="10">
        <v>-3620922</v>
      </c>
      <c r="AC49" s="10">
        <v>0</v>
      </c>
      <c r="AD49" s="10">
        <v>236417</v>
      </c>
      <c r="AE49" s="10">
        <v>0</v>
      </c>
      <c r="AF49" s="10">
        <v>0</v>
      </c>
      <c r="AG49" s="10">
        <v>208604</v>
      </c>
      <c r="AH49" s="10">
        <v>19632715</v>
      </c>
      <c r="AI49" s="10">
        <v>68984546</v>
      </c>
      <c r="AJ49" s="10">
        <v>199750552</v>
      </c>
      <c r="AK49" s="1">
        <v>135772327</v>
      </c>
      <c r="AL49" s="1">
        <v>1330592</v>
      </c>
      <c r="AM49" s="3"/>
      <c r="AN49" s="10">
        <v>190386766</v>
      </c>
      <c r="AO49" s="10">
        <v>6939316</v>
      </c>
      <c r="AP49" s="10">
        <v>31426267</v>
      </c>
      <c r="AQ49" s="10">
        <v>29610013</v>
      </c>
      <c r="AR49" s="10">
        <v>8277373</v>
      </c>
      <c r="AS49" s="3"/>
      <c r="AT49" s="10">
        <v>79398</v>
      </c>
      <c r="AU49" s="3"/>
      <c r="AV49" s="3"/>
      <c r="AW49" s="3"/>
      <c r="AX49" s="3"/>
      <c r="AY49" s="10">
        <v>259003</v>
      </c>
      <c r="AZ49" s="1">
        <v>10388360.449999999</v>
      </c>
      <c r="BA49" s="1">
        <v>5298064</v>
      </c>
      <c r="BB49" s="19"/>
      <c r="BC49" s="15">
        <v>6098225</v>
      </c>
      <c r="BD49" s="15">
        <v>11957303</v>
      </c>
      <c r="BE49" s="20">
        <v>10295403</v>
      </c>
      <c r="BF49" s="20">
        <v>10295403</v>
      </c>
      <c r="BG49" s="20">
        <v>46288219</v>
      </c>
      <c r="BH49" s="20">
        <v>41878164</v>
      </c>
      <c r="BI49" s="19"/>
      <c r="BJ49" s="19"/>
      <c r="BK49" s="19"/>
      <c r="BL49" s="5">
        <v>1268698886</v>
      </c>
      <c r="BM49" s="5">
        <v>1068026111</v>
      </c>
      <c r="BN49" s="15">
        <v>678421</v>
      </c>
      <c r="BO49" s="3"/>
      <c r="BP49" s="1"/>
      <c r="BQ49" s="5"/>
      <c r="BR49" s="5"/>
      <c r="BS49" s="5"/>
    </row>
    <row r="50" spans="1:71" x14ac:dyDescent="0.25">
      <c r="A50" s="6" t="s">
        <v>104</v>
      </c>
      <c r="B50" s="10">
        <v>457899356</v>
      </c>
      <c r="C50" s="10">
        <v>210141567</v>
      </c>
      <c r="D50" s="10">
        <v>103828964</v>
      </c>
      <c r="E50" s="10">
        <v>0</v>
      </c>
      <c r="F50" s="10">
        <v>32170836</v>
      </c>
      <c r="G50" s="10">
        <v>4415330</v>
      </c>
      <c r="H50" s="10">
        <v>12565636</v>
      </c>
      <c r="I50" s="10">
        <v>1470952</v>
      </c>
      <c r="J50" s="10">
        <v>33700</v>
      </c>
      <c r="K50" s="10">
        <v>0</v>
      </c>
      <c r="L50" s="10">
        <v>308321726</v>
      </c>
      <c r="M50" s="10">
        <v>144723877</v>
      </c>
      <c r="N50" s="10">
        <v>1345</v>
      </c>
      <c r="O50" s="10">
        <v>182</v>
      </c>
      <c r="P50" s="10">
        <v>4972500</v>
      </c>
      <c r="Q50" s="10">
        <v>5996974</v>
      </c>
      <c r="R50" s="10">
        <v>0</v>
      </c>
      <c r="S50" s="10">
        <v>167375</v>
      </c>
      <c r="T50" s="10">
        <v>167660</v>
      </c>
      <c r="U50" s="10">
        <v>130000</v>
      </c>
      <c r="V50" s="10">
        <v>4972500</v>
      </c>
      <c r="W50" s="10">
        <v>5996974</v>
      </c>
      <c r="X50" s="10">
        <v>0</v>
      </c>
      <c r="Y50" s="10">
        <v>167375</v>
      </c>
      <c r="Z50" s="10">
        <v>167660</v>
      </c>
      <c r="AA50" s="10">
        <v>130000</v>
      </c>
      <c r="AB50" s="10">
        <v>-1964501</v>
      </c>
      <c r="AC50" s="10">
        <v>-244689</v>
      </c>
      <c r="AD50" s="10">
        <v>0</v>
      </c>
      <c r="AE50" s="10">
        <v>0</v>
      </c>
      <c r="AF50" s="10">
        <v>0</v>
      </c>
      <c r="AG50" s="10">
        <v>195233</v>
      </c>
      <c r="AH50" s="3"/>
      <c r="AI50" s="3"/>
      <c r="AJ50" s="3"/>
      <c r="AK50" s="1">
        <v>100799737</v>
      </c>
      <c r="AL50" s="1">
        <v>2608715</v>
      </c>
      <c r="AM50" s="10">
        <v>0</v>
      </c>
      <c r="AN50" s="10">
        <v>23245416</v>
      </c>
      <c r="AO50" s="10">
        <v>3663047</v>
      </c>
      <c r="AP50" s="10">
        <v>87769651</v>
      </c>
      <c r="AQ50" s="10">
        <v>15491472</v>
      </c>
      <c r="AR50" s="10">
        <v>15430175</v>
      </c>
      <c r="AS50" s="10">
        <v>478679</v>
      </c>
      <c r="AT50" s="10">
        <v>740810</v>
      </c>
      <c r="AU50" s="10">
        <v>9560507</v>
      </c>
      <c r="AV50" s="10">
        <v>20371</v>
      </c>
      <c r="AW50" s="10">
        <v>0</v>
      </c>
      <c r="AX50" s="10">
        <v>8250</v>
      </c>
      <c r="AY50" s="10">
        <v>361687</v>
      </c>
      <c r="AZ50" s="1">
        <v>7863209.6799999997</v>
      </c>
      <c r="BA50" s="1">
        <v>4010237</v>
      </c>
      <c r="BB50" s="19"/>
      <c r="BC50" s="15">
        <v>1755354</v>
      </c>
      <c r="BD50" s="15">
        <v>3441870</v>
      </c>
      <c r="BE50" s="20">
        <v>10528856</v>
      </c>
      <c r="BF50" s="20">
        <v>10528856</v>
      </c>
      <c r="BG50" s="20">
        <v>44275898</v>
      </c>
      <c r="BH50" s="20">
        <v>40573570</v>
      </c>
      <c r="BI50" s="19"/>
      <c r="BJ50" s="19"/>
      <c r="BK50" s="19"/>
      <c r="BL50" s="5">
        <v>974546291</v>
      </c>
      <c r="BM50" s="5">
        <v>814269822</v>
      </c>
      <c r="BN50" s="15">
        <v>1109334</v>
      </c>
      <c r="BO50" s="3"/>
      <c r="BP50" s="1"/>
      <c r="BQ50" s="5"/>
      <c r="BR50" s="5"/>
      <c r="BS50" s="5"/>
    </row>
    <row r="51" spans="1:71" x14ac:dyDescent="0.25">
      <c r="A51" s="6" t="s">
        <v>105</v>
      </c>
      <c r="B51" s="10">
        <v>273053819</v>
      </c>
      <c r="C51" s="10">
        <v>183639095</v>
      </c>
      <c r="D51" s="10">
        <v>126041847</v>
      </c>
      <c r="E51" s="10">
        <v>0</v>
      </c>
      <c r="F51" s="10">
        <v>34351600</v>
      </c>
      <c r="G51" s="10">
        <v>9440775</v>
      </c>
      <c r="H51" s="10">
        <v>17012700</v>
      </c>
      <c r="I51" s="10">
        <v>2673400</v>
      </c>
      <c r="J51" s="10">
        <v>77700</v>
      </c>
      <c r="K51" s="10">
        <v>0</v>
      </c>
      <c r="L51" s="10">
        <v>259169489</v>
      </c>
      <c r="M51" s="10">
        <v>115305512</v>
      </c>
      <c r="N51" s="10">
        <v>1644</v>
      </c>
      <c r="O51" s="10">
        <v>428</v>
      </c>
      <c r="P51" s="10">
        <v>4428450</v>
      </c>
      <c r="Q51" s="10">
        <v>3770300</v>
      </c>
      <c r="R51" s="10">
        <v>3888430</v>
      </c>
      <c r="S51" s="10">
        <v>1289164</v>
      </c>
      <c r="T51" s="10">
        <v>56600</v>
      </c>
      <c r="U51" s="10">
        <v>315150</v>
      </c>
      <c r="V51" s="10">
        <v>4428450</v>
      </c>
      <c r="W51" s="10">
        <v>3911300</v>
      </c>
      <c r="X51" s="10">
        <v>3888430</v>
      </c>
      <c r="Y51" s="10">
        <v>1289164</v>
      </c>
      <c r="Z51" s="10">
        <v>94550</v>
      </c>
      <c r="AA51" s="10">
        <v>315150</v>
      </c>
      <c r="AB51" s="10">
        <v>-2378225</v>
      </c>
      <c r="AC51" s="10">
        <v>-340752</v>
      </c>
      <c r="AD51" s="10">
        <v>105765</v>
      </c>
      <c r="AE51" s="10">
        <v>0</v>
      </c>
      <c r="AF51" s="10">
        <v>0</v>
      </c>
      <c r="AG51" s="10">
        <v>236149</v>
      </c>
      <c r="AH51" s="10">
        <v>402319</v>
      </c>
      <c r="AI51" s="10">
        <v>63782</v>
      </c>
      <c r="AJ51" s="3"/>
      <c r="AK51" s="1">
        <v>71201343</v>
      </c>
      <c r="AL51" s="1">
        <v>2883304</v>
      </c>
      <c r="AM51" s="10">
        <v>0</v>
      </c>
      <c r="AN51" s="10">
        <v>15451351</v>
      </c>
      <c r="AO51" s="10">
        <v>85987</v>
      </c>
      <c r="AP51" s="10">
        <v>180281718</v>
      </c>
      <c r="AQ51" s="10">
        <v>42294056</v>
      </c>
      <c r="AR51" s="10">
        <v>28039270</v>
      </c>
      <c r="AS51" s="10">
        <v>197013</v>
      </c>
      <c r="AT51" s="10">
        <v>54419</v>
      </c>
      <c r="AU51" s="10">
        <v>0</v>
      </c>
      <c r="AV51" s="10">
        <v>157106</v>
      </c>
      <c r="AW51" s="10">
        <v>2336098</v>
      </c>
      <c r="AX51" s="10">
        <v>222405</v>
      </c>
      <c r="AY51" s="10">
        <v>12000</v>
      </c>
      <c r="AZ51" s="1">
        <v>5324651.97</v>
      </c>
      <c r="BA51" s="1">
        <v>2715573</v>
      </c>
      <c r="BB51" s="19"/>
      <c r="BC51" s="15">
        <v>1152824</v>
      </c>
      <c r="BD51" s="15">
        <v>2260438</v>
      </c>
      <c r="BE51" s="20">
        <v>9631823</v>
      </c>
      <c r="BF51" s="20">
        <v>9631823</v>
      </c>
      <c r="BG51" s="20">
        <v>55118062</v>
      </c>
      <c r="BH51" s="20">
        <v>52495445</v>
      </c>
      <c r="BI51" s="19"/>
      <c r="BJ51" s="19"/>
      <c r="BK51" s="19"/>
      <c r="BL51" s="5">
        <v>781112568</v>
      </c>
      <c r="BM51" s="5">
        <v>641032256</v>
      </c>
      <c r="BN51" s="15">
        <v>747925</v>
      </c>
      <c r="BO51" s="3"/>
      <c r="BP51" s="1"/>
      <c r="BQ51" s="5"/>
      <c r="BR51" s="5"/>
      <c r="BS51" s="5"/>
    </row>
    <row r="52" spans="1:71" x14ac:dyDescent="0.25">
      <c r="A52" s="6" t="s">
        <v>106</v>
      </c>
      <c r="B52" s="10">
        <v>1228838017</v>
      </c>
      <c r="C52" s="10">
        <v>228228410</v>
      </c>
      <c r="D52" s="10">
        <v>477516752</v>
      </c>
      <c r="E52" s="10">
        <v>105818835</v>
      </c>
      <c r="F52" s="10">
        <v>102185797</v>
      </c>
      <c r="G52" s="10">
        <v>14492491</v>
      </c>
      <c r="H52" s="10">
        <v>9603776</v>
      </c>
      <c r="I52" s="10">
        <v>700100</v>
      </c>
      <c r="J52" s="10">
        <v>337000</v>
      </c>
      <c r="K52" s="10">
        <v>33700</v>
      </c>
      <c r="L52" s="10">
        <v>372399173</v>
      </c>
      <c r="M52" s="10">
        <v>99248782</v>
      </c>
      <c r="N52" s="10">
        <v>3496</v>
      </c>
      <c r="O52" s="10">
        <v>503</v>
      </c>
      <c r="P52" s="10">
        <v>14414574</v>
      </c>
      <c r="Q52" s="10">
        <v>2625754</v>
      </c>
      <c r="R52" s="10">
        <v>4170720</v>
      </c>
      <c r="S52" s="10">
        <v>10294235</v>
      </c>
      <c r="T52" s="10">
        <v>1936635</v>
      </c>
      <c r="U52" s="10">
        <v>4265738</v>
      </c>
      <c r="V52" s="10">
        <v>14414574</v>
      </c>
      <c r="W52" s="10">
        <v>607310</v>
      </c>
      <c r="X52" s="10">
        <v>4170720</v>
      </c>
      <c r="Y52" s="10">
        <v>10294235</v>
      </c>
      <c r="Z52" s="10">
        <v>827300</v>
      </c>
      <c r="AA52" s="10">
        <v>4265738</v>
      </c>
      <c r="AB52" s="10">
        <v>-2798327</v>
      </c>
      <c r="AC52" s="10">
        <v>-1203620</v>
      </c>
      <c r="AD52" s="10">
        <v>37012</v>
      </c>
      <c r="AE52" s="10">
        <v>5131</v>
      </c>
      <c r="AF52" s="10">
        <v>18296095</v>
      </c>
      <c r="AG52" s="10">
        <v>243521</v>
      </c>
      <c r="AH52" s="10">
        <v>45245061</v>
      </c>
      <c r="AI52" s="10">
        <v>3661</v>
      </c>
      <c r="AJ52" s="10">
        <v>49083106</v>
      </c>
      <c r="AK52" s="1">
        <v>242645989</v>
      </c>
      <c r="AL52" s="1">
        <v>13180526</v>
      </c>
      <c r="AM52" s="10">
        <v>122073</v>
      </c>
      <c r="AN52" s="10">
        <v>108243286</v>
      </c>
      <c r="AO52" s="10">
        <v>16771070</v>
      </c>
      <c r="AP52" s="10">
        <v>322383177</v>
      </c>
      <c r="AQ52" s="10">
        <v>131559564</v>
      </c>
      <c r="AR52" s="10">
        <v>144473608</v>
      </c>
      <c r="AS52" s="10">
        <v>51216801</v>
      </c>
      <c r="AT52" s="10">
        <v>3007623</v>
      </c>
      <c r="AU52" s="3"/>
      <c r="AV52" s="10">
        <v>263309</v>
      </c>
      <c r="AW52" s="10">
        <v>56180685</v>
      </c>
      <c r="AX52" s="10">
        <v>34439457</v>
      </c>
      <c r="AY52" s="10">
        <v>6214639</v>
      </c>
      <c r="AZ52" s="1">
        <v>18826506.210000001</v>
      </c>
      <c r="BA52" s="1">
        <v>9601518</v>
      </c>
      <c r="BB52" s="19">
        <v>60097690.579999998</v>
      </c>
      <c r="BC52" s="15">
        <v>2225999</v>
      </c>
      <c r="BD52" s="15">
        <v>4364705</v>
      </c>
      <c r="BE52" s="20">
        <v>23718768</v>
      </c>
      <c r="BF52" s="20">
        <v>23718768</v>
      </c>
      <c r="BG52" s="20">
        <v>78359530</v>
      </c>
      <c r="BH52" s="20">
        <v>75217048</v>
      </c>
      <c r="BI52" s="19"/>
      <c r="BJ52" s="19"/>
      <c r="BK52" s="19"/>
      <c r="BL52" s="5">
        <v>2652078775</v>
      </c>
      <c r="BM52" s="5">
        <v>2285488927</v>
      </c>
      <c r="BN52" s="15">
        <v>4616600</v>
      </c>
      <c r="BO52" s="3"/>
      <c r="BP52" s="1"/>
      <c r="BQ52" s="5"/>
      <c r="BR52" s="5"/>
      <c r="BS52" s="5"/>
    </row>
    <row r="53" spans="1:71" x14ac:dyDescent="0.25">
      <c r="A53" s="6" t="s">
        <v>107</v>
      </c>
      <c r="B53" s="10">
        <v>428188600</v>
      </c>
      <c r="C53" s="10">
        <v>173405420</v>
      </c>
      <c r="D53" s="10">
        <v>66427500</v>
      </c>
      <c r="E53" s="10">
        <v>0</v>
      </c>
      <c r="F53" s="10">
        <v>29948100</v>
      </c>
      <c r="G53" s="10">
        <v>4981300</v>
      </c>
      <c r="H53" s="10">
        <v>9787800</v>
      </c>
      <c r="I53" s="10">
        <v>539200</v>
      </c>
      <c r="J53" s="10">
        <v>67400</v>
      </c>
      <c r="K53" s="10">
        <v>0</v>
      </c>
      <c r="L53" s="10">
        <v>290390814</v>
      </c>
      <c r="M53" s="10">
        <v>121122620</v>
      </c>
      <c r="N53" s="10">
        <v>1211</v>
      </c>
      <c r="O53" s="10">
        <v>169</v>
      </c>
      <c r="P53" s="10">
        <v>4734100</v>
      </c>
      <c r="Q53" s="10">
        <v>3415800</v>
      </c>
      <c r="R53" s="10">
        <v>847000</v>
      </c>
      <c r="S53" s="10">
        <v>4740200</v>
      </c>
      <c r="T53" s="10">
        <v>2738200</v>
      </c>
      <c r="U53" s="10">
        <v>257500</v>
      </c>
      <c r="V53" s="10">
        <v>4734100</v>
      </c>
      <c r="W53" s="10">
        <v>4084581</v>
      </c>
      <c r="X53" s="10">
        <v>847000</v>
      </c>
      <c r="Y53" s="10">
        <v>4740200</v>
      </c>
      <c r="Z53" s="10">
        <v>1593400</v>
      </c>
      <c r="AA53" s="10">
        <v>257500</v>
      </c>
      <c r="AB53" s="10">
        <v>-3561200</v>
      </c>
      <c r="AC53" s="10">
        <v>-277530</v>
      </c>
      <c r="AD53" s="10">
        <v>31426</v>
      </c>
      <c r="AE53" s="10">
        <v>84978</v>
      </c>
      <c r="AF53" s="10">
        <v>142842600</v>
      </c>
      <c r="AG53" s="10">
        <v>169058</v>
      </c>
      <c r="AH53" s="3"/>
      <c r="AI53" s="10">
        <v>223371</v>
      </c>
      <c r="AJ53" s="3"/>
      <c r="AK53" s="1">
        <v>83586556</v>
      </c>
      <c r="AL53" s="1">
        <v>2249498</v>
      </c>
      <c r="AM53" s="10">
        <v>25000</v>
      </c>
      <c r="AN53" s="10">
        <v>15944122</v>
      </c>
      <c r="AO53" s="10">
        <v>911604</v>
      </c>
      <c r="AP53" s="10">
        <v>39238439</v>
      </c>
      <c r="AQ53" s="10">
        <v>16241236</v>
      </c>
      <c r="AR53" s="10">
        <v>29916155</v>
      </c>
      <c r="AS53" s="10">
        <v>3347085</v>
      </c>
      <c r="AT53" s="10">
        <v>1129752</v>
      </c>
      <c r="AU53" s="3"/>
      <c r="AV53" s="3"/>
      <c r="AW53" s="10">
        <v>788186</v>
      </c>
      <c r="AX53" s="3"/>
      <c r="AY53" s="10">
        <v>177500</v>
      </c>
      <c r="AZ53" s="1">
        <v>6419579.5099999998</v>
      </c>
      <c r="BA53" s="1">
        <v>3273986</v>
      </c>
      <c r="BB53" s="19">
        <v>3950645.01</v>
      </c>
      <c r="BC53" s="15">
        <v>775790</v>
      </c>
      <c r="BD53" s="15">
        <v>1521156</v>
      </c>
      <c r="BE53" s="20">
        <v>8467023</v>
      </c>
      <c r="BF53" s="20">
        <v>8467023</v>
      </c>
      <c r="BG53" s="20">
        <v>39199332</v>
      </c>
      <c r="BH53" s="20">
        <v>37890791</v>
      </c>
      <c r="BI53" s="19"/>
      <c r="BJ53" s="19"/>
      <c r="BK53" s="19"/>
      <c r="BL53" s="5">
        <v>837585497</v>
      </c>
      <c r="BM53" s="5">
        <v>701341853</v>
      </c>
      <c r="BN53" s="15">
        <v>440200</v>
      </c>
      <c r="BO53" s="3"/>
      <c r="BP53" s="1"/>
      <c r="BQ53" s="5"/>
      <c r="BR53" s="5"/>
      <c r="BS53" s="5"/>
    </row>
    <row r="54" spans="1:71" x14ac:dyDescent="0.25">
      <c r="A54" s="6" t="s">
        <v>108</v>
      </c>
      <c r="B54" s="10">
        <v>61744861</v>
      </c>
      <c r="C54" s="10">
        <v>76900781</v>
      </c>
      <c r="D54" s="10">
        <v>11814103</v>
      </c>
      <c r="E54" s="10">
        <v>0</v>
      </c>
      <c r="F54" s="10">
        <v>12910275</v>
      </c>
      <c r="G54" s="10">
        <v>1962300</v>
      </c>
      <c r="H54" s="10">
        <v>5767275</v>
      </c>
      <c r="I54" s="10">
        <v>367975</v>
      </c>
      <c r="J54" s="10">
        <v>10000</v>
      </c>
      <c r="K54" s="10">
        <v>0</v>
      </c>
      <c r="L54" s="10">
        <v>126279248</v>
      </c>
      <c r="M54" s="10">
        <v>24065900</v>
      </c>
      <c r="N54" s="10">
        <v>618</v>
      </c>
      <c r="O54" s="10">
        <v>92</v>
      </c>
      <c r="P54" s="10">
        <v>1351900</v>
      </c>
      <c r="Q54" s="10">
        <v>978100</v>
      </c>
      <c r="R54" s="10">
        <v>28500</v>
      </c>
      <c r="S54" s="10">
        <v>513780</v>
      </c>
      <c r="T54" s="10">
        <v>19552</v>
      </c>
      <c r="U54" s="10">
        <v>105500</v>
      </c>
      <c r="V54" s="10">
        <v>1351900</v>
      </c>
      <c r="W54" s="10">
        <v>1470000</v>
      </c>
      <c r="X54" s="10">
        <v>28500</v>
      </c>
      <c r="Y54" s="10">
        <v>513780</v>
      </c>
      <c r="Z54" s="10">
        <v>12100</v>
      </c>
      <c r="AA54" s="10">
        <v>105500</v>
      </c>
      <c r="AB54" s="10">
        <v>-185908</v>
      </c>
      <c r="AC54" s="10">
        <v>0</v>
      </c>
      <c r="AD54" s="10">
        <v>27515</v>
      </c>
      <c r="AE54" s="10">
        <v>94977</v>
      </c>
      <c r="AF54" s="10">
        <v>78429599</v>
      </c>
      <c r="AG54" s="10">
        <v>145733</v>
      </c>
      <c r="AH54" s="3"/>
      <c r="AI54" s="10">
        <v>42089</v>
      </c>
      <c r="AJ54" s="3"/>
      <c r="AK54" s="1">
        <v>28079400</v>
      </c>
      <c r="AL54" s="1">
        <v>725311</v>
      </c>
      <c r="AM54" s="3"/>
      <c r="AN54" s="10">
        <v>7205274</v>
      </c>
      <c r="AO54" s="10">
        <v>14408</v>
      </c>
      <c r="AP54" s="10">
        <v>518019</v>
      </c>
      <c r="AQ54" s="10">
        <v>4828892</v>
      </c>
      <c r="AR54" s="10">
        <v>525417</v>
      </c>
      <c r="AS54" s="3"/>
      <c r="AT54" s="10">
        <v>1351703</v>
      </c>
      <c r="AU54" s="3"/>
      <c r="AV54" s="10">
        <v>8263</v>
      </c>
      <c r="AW54" s="10">
        <v>2080968</v>
      </c>
      <c r="AX54" s="3"/>
      <c r="AY54" s="3"/>
      <c r="AZ54" s="1">
        <v>2181776.84</v>
      </c>
      <c r="BA54" s="1">
        <v>1112706</v>
      </c>
      <c r="BB54" s="19">
        <v>7741668</v>
      </c>
      <c r="BC54" s="15">
        <v>1236092</v>
      </c>
      <c r="BD54" s="15">
        <v>2423709</v>
      </c>
      <c r="BE54" s="20">
        <v>11615244</v>
      </c>
      <c r="BF54" s="20">
        <v>11615244</v>
      </c>
      <c r="BG54" s="20">
        <v>50080968</v>
      </c>
      <c r="BH54" s="20">
        <v>33049541</v>
      </c>
      <c r="BI54" s="19"/>
      <c r="BJ54" s="19"/>
      <c r="BK54" s="19"/>
      <c r="BL54" s="5">
        <v>238368702</v>
      </c>
      <c r="BM54" s="5">
        <v>162550408</v>
      </c>
      <c r="BN54" s="15">
        <v>335700</v>
      </c>
      <c r="BO54" s="3"/>
      <c r="BP54" s="1"/>
      <c r="BQ54" s="5"/>
      <c r="BR54" s="5"/>
      <c r="BS54" s="5"/>
    </row>
    <row r="55" spans="1:71" x14ac:dyDescent="0.25">
      <c r="A55" s="6" t="s">
        <v>109</v>
      </c>
      <c r="B55" s="10">
        <v>1014366734</v>
      </c>
      <c r="C55" s="10">
        <v>199322034</v>
      </c>
      <c r="D55" s="10">
        <v>369206586</v>
      </c>
      <c r="E55" s="10">
        <v>0</v>
      </c>
      <c r="F55" s="10">
        <v>100077162</v>
      </c>
      <c r="G55" s="10">
        <v>30800120</v>
      </c>
      <c r="H55" s="10">
        <v>12917450</v>
      </c>
      <c r="I55" s="10">
        <v>2754750</v>
      </c>
      <c r="J55" s="10">
        <v>269600</v>
      </c>
      <c r="K55" s="10">
        <v>0</v>
      </c>
      <c r="L55" s="10">
        <v>238314055</v>
      </c>
      <c r="M55" s="10">
        <v>115920050</v>
      </c>
      <c r="N55" s="10">
        <v>3679</v>
      </c>
      <c r="O55" s="10">
        <v>1177</v>
      </c>
      <c r="P55" s="10">
        <v>19198653</v>
      </c>
      <c r="Q55" s="10">
        <v>6764173</v>
      </c>
      <c r="R55" s="10">
        <v>30210700</v>
      </c>
      <c r="S55" s="10">
        <v>14211374</v>
      </c>
      <c r="T55" s="10">
        <v>2245940</v>
      </c>
      <c r="U55" s="10">
        <v>3476050</v>
      </c>
      <c r="V55" s="10">
        <v>19198653</v>
      </c>
      <c r="W55" s="10">
        <v>8385900</v>
      </c>
      <c r="X55" s="10">
        <v>30210700</v>
      </c>
      <c r="Y55" s="10">
        <v>14211374</v>
      </c>
      <c r="Z55" s="10">
        <v>3979650</v>
      </c>
      <c r="AA55" s="10">
        <v>3476050</v>
      </c>
      <c r="AB55" s="10">
        <v>-56140</v>
      </c>
      <c r="AC55" s="10">
        <v>-41202</v>
      </c>
      <c r="AD55" s="10">
        <v>169686</v>
      </c>
      <c r="AE55" s="10">
        <v>39797</v>
      </c>
      <c r="AF55" s="10">
        <v>13457606</v>
      </c>
      <c r="AG55" s="10">
        <v>2404421</v>
      </c>
      <c r="AH55" s="10">
        <v>11349832</v>
      </c>
      <c r="AI55" s="10">
        <v>5130320</v>
      </c>
      <c r="AJ55" s="10">
        <v>72143802</v>
      </c>
      <c r="AK55" s="1">
        <v>253707320</v>
      </c>
      <c r="AL55" s="1">
        <v>7761265</v>
      </c>
      <c r="AM55" s="10">
        <v>0</v>
      </c>
      <c r="AN55" s="10">
        <v>187959331</v>
      </c>
      <c r="AO55" s="10">
        <v>8597266</v>
      </c>
      <c r="AP55" s="10">
        <v>145333159</v>
      </c>
      <c r="AQ55" s="10">
        <v>80248011</v>
      </c>
      <c r="AR55" s="10">
        <v>72208015</v>
      </c>
      <c r="AS55" s="10">
        <v>97269003</v>
      </c>
      <c r="AT55" s="10">
        <v>3152151</v>
      </c>
      <c r="AU55" s="10">
        <v>0</v>
      </c>
      <c r="AV55" s="10">
        <v>0</v>
      </c>
      <c r="AW55" s="10">
        <v>9083714</v>
      </c>
      <c r="AX55" s="10">
        <v>2202016</v>
      </c>
      <c r="AY55" s="10">
        <v>7622704</v>
      </c>
      <c r="AZ55" s="1">
        <v>19509857.32</v>
      </c>
      <c r="BA55" s="1">
        <v>9950027</v>
      </c>
      <c r="BB55" s="19">
        <v>877921.13</v>
      </c>
      <c r="BC55" s="15">
        <v>7945639</v>
      </c>
      <c r="BD55" s="15">
        <v>15579684</v>
      </c>
      <c r="BE55" s="20">
        <v>54120360</v>
      </c>
      <c r="BF55" s="20">
        <v>50089855</v>
      </c>
      <c r="BG55" s="20">
        <v>152342273</v>
      </c>
      <c r="BH55" s="20">
        <v>143327539</v>
      </c>
      <c r="BI55" s="19"/>
      <c r="BJ55" s="19"/>
      <c r="BK55" s="19"/>
      <c r="BL55" s="5">
        <v>2421105561</v>
      </c>
      <c r="BM55" s="5">
        <v>1948323916</v>
      </c>
      <c r="BN55" s="15">
        <v>1023700</v>
      </c>
      <c r="BO55" s="3"/>
      <c r="BP55" s="1"/>
      <c r="BQ55" s="5"/>
      <c r="BR55" s="5"/>
      <c r="BS55" s="5"/>
    </row>
    <row r="56" spans="1:71" x14ac:dyDescent="0.25">
      <c r="A56" s="6" t="s">
        <v>110</v>
      </c>
      <c r="B56" s="10">
        <v>131372350</v>
      </c>
      <c r="C56" s="10">
        <v>64885465</v>
      </c>
      <c r="D56" s="10">
        <v>40931545</v>
      </c>
      <c r="E56" s="10">
        <v>0</v>
      </c>
      <c r="F56" s="10">
        <v>19937450</v>
      </c>
      <c r="G56" s="10">
        <v>15229400</v>
      </c>
      <c r="H56" s="10">
        <v>14307100</v>
      </c>
      <c r="I56" s="10">
        <v>3421225</v>
      </c>
      <c r="J56" s="10">
        <v>53700</v>
      </c>
      <c r="K56" s="10">
        <v>0</v>
      </c>
      <c r="L56" s="10">
        <v>98035845</v>
      </c>
      <c r="M56" s="10">
        <v>56119153</v>
      </c>
      <c r="N56" s="10">
        <v>1173</v>
      </c>
      <c r="O56" s="10">
        <v>672</v>
      </c>
      <c r="P56" s="10">
        <v>1988650</v>
      </c>
      <c r="Q56" s="10">
        <v>984500</v>
      </c>
      <c r="R56" s="10">
        <v>50000</v>
      </c>
      <c r="S56" s="10">
        <v>1757350</v>
      </c>
      <c r="T56" s="10">
        <v>876725</v>
      </c>
      <c r="U56" s="10">
        <v>131000</v>
      </c>
      <c r="V56" s="10">
        <v>1988650</v>
      </c>
      <c r="W56" s="10">
        <v>3386650</v>
      </c>
      <c r="X56" s="10">
        <v>50000</v>
      </c>
      <c r="Y56" s="10">
        <v>1757350</v>
      </c>
      <c r="Z56" s="10">
        <v>1145300</v>
      </c>
      <c r="AA56" s="10">
        <v>131000</v>
      </c>
      <c r="AB56" s="10">
        <v>-2328875</v>
      </c>
      <c r="AC56" s="10">
        <v>0</v>
      </c>
      <c r="AD56" s="10">
        <v>75582</v>
      </c>
      <c r="AE56" s="10">
        <v>3270</v>
      </c>
      <c r="AF56" s="10">
        <v>3003751</v>
      </c>
      <c r="AG56" s="10">
        <v>144235</v>
      </c>
      <c r="AH56" s="10">
        <v>0</v>
      </c>
      <c r="AI56" s="10">
        <v>486339</v>
      </c>
      <c r="AJ56" s="10">
        <v>84248</v>
      </c>
      <c r="AK56" s="1">
        <v>55609723</v>
      </c>
      <c r="AL56" s="1">
        <v>971292</v>
      </c>
      <c r="AM56" s="10">
        <v>0</v>
      </c>
      <c r="AN56" s="10">
        <v>4675506</v>
      </c>
      <c r="AO56" s="10">
        <v>70732</v>
      </c>
      <c r="AP56" s="10">
        <v>3612344</v>
      </c>
      <c r="AQ56" s="10">
        <v>6905211</v>
      </c>
      <c r="AR56" s="10">
        <v>750589</v>
      </c>
      <c r="AS56" s="10">
        <v>0</v>
      </c>
      <c r="AT56" s="10">
        <v>353262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">
        <v>4284424.5</v>
      </c>
      <c r="BA56" s="1">
        <v>2185056</v>
      </c>
      <c r="BB56" s="19"/>
      <c r="BC56" s="15">
        <v>0</v>
      </c>
      <c r="BD56" s="15">
        <v>0</v>
      </c>
      <c r="BE56" s="20">
        <v>7335137</v>
      </c>
      <c r="BF56" s="20">
        <v>7335137</v>
      </c>
      <c r="BG56" s="20">
        <v>39606973</v>
      </c>
      <c r="BH56" s="20">
        <v>39606973</v>
      </c>
      <c r="BI56" s="19"/>
      <c r="BJ56" s="19"/>
      <c r="BK56" s="19"/>
      <c r="BL56" s="5">
        <v>355119577</v>
      </c>
      <c r="BM56" s="5">
        <v>249411396</v>
      </c>
      <c r="BN56" s="15">
        <v>3814125</v>
      </c>
      <c r="BO56" s="3"/>
      <c r="BP56" s="1"/>
      <c r="BQ56" s="5"/>
      <c r="BR56" s="5"/>
      <c r="BS56" s="5"/>
    </row>
    <row r="57" spans="1:71" x14ac:dyDescent="0.25">
      <c r="A57" s="6" t="s">
        <v>111</v>
      </c>
      <c r="B57" s="10">
        <v>36249580919</v>
      </c>
      <c r="C57" s="10">
        <v>105088250</v>
      </c>
      <c r="D57" s="10">
        <v>15233998311</v>
      </c>
      <c r="E57" s="10">
        <v>149843480</v>
      </c>
      <c r="F57" s="10">
        <v>1762846756</v>
      </c>
      <c r="G57" s="10">
        <v>169993110</v>
      </c>
      <c r="H57" s="10">
        <v>5320690</v>
      </c>
      <c r="I57" s="10">
        <v>202200</v>
      </c>
      <c r="J57" s="10">
        <v>3368530</v>
      </c>
      <c r="K57" s="10">
        <v>101100</v>
      </c>
      <c r="L57" s="10">
        <v>227953330</v>
      </c>
      <c r="M57" s="10">
        <v>344130530</v>
      </c>
      <c r="N57" s="10">
        <v>53093</v>
      </c>
      <c r="O57" s="10">
        <v>5182</v>
      </c>
      <c r="P57" s="10">
        <v>366075760</v>
      </c>
      <c r="Q57" s="10">
        <v>5749880</v>
      </c>
      <c r="R57" s="10">
        <v>442417160</v>
      </c>
      <c r="S57" s="10">
        <v>105717950</v>
      </c>
      <c r="T57" s="10">
        <v>2417900</v>
      </c>
      <c r="U57" s="10">
        <v>228838610</v>
      </c>
      <c r="V57" s="10">
        <v>366075760</v>
      </c>
      <c r="W57" s="10">
        <v>31195810</v>
      </c>
      <c r="X57" s="10">
        <v>442417160</v>
      </c>
      <c r="Y57" s="10">
        <v>105717950</v>
      </c>
      <c r="Z57" s="10">
        <v>8391920</v>
      </c>
      <c r="AA57" s="10">
        <v>228838610</v>
      </c>
      <c r="AB57" s="10">
        <v>-215370721</v>
      </c>
      <c r="AC57" s="10">
        <v>-69970541</v>
      </c>
      <c r="AD57" s="10">
        <v>0</v>
      </c>
      <c r="AE57" s="10">
        <v>0</v>
      </c>
      <c r="AF57" s="10">
        <v>0</v>
      </c>
      <c r="AG57" s="10">
        <v>0</v>
      </c>
      <c r="AH57" s="3"/>
      <c r="AI57" s="10">
        <v>451323</v>
      </c>
      <c r="AJ57" s="3"/>
      <c r="AK57" s="1">
        <v>3765473126</v>
      </c>
      <c r="AL57" s="1">
        <v>71696574</v>
      </c>
      <c r="AM57" s="10">
        <v>8427078</v>
      </c>
      <c r="AN57" s="10">
        <v>2377263236</v>
      </c>
      <c r="AO57" s="10">
        <v>72798116</v>
      </c>
      <c r="AP57" s="10">
        <v>1736848474</v>
      </c>
      <c r="AQ57" s="10">
        <v>2004294948</v>
      </c>
      <c r="AR57" s="10">
        <v>1156619902</v>
      </c>
      <c r="AS57" s="10">
        <v>1097892915</v>
      </c>
      <c r="AT57" s="10">
        <v>2506198411</v>
      </c>
      <c r="AU57" s="10">
        <v>0</v>
      </c>
      <c r="AV57" s="10">
        <v>722679</v>
      </c>
      <c r="AW57" s="10">
        <v>22220426</v>
      </c>
      <c r="AX57" s="10">
        <v>26256196</v>
      </c>
      <c r="AY57" s="10">
        <v>156746008</v>
      </c>
      <c r="AZ57" s="1">
        <v>287769305.14999998</v>
      </c>
      <c r="BA57" s="1">
        <v>146762346</v>
      </c>
      <c r="BB57" s="19">
        <v>29849317.77</v>
      </c>
      <c r="BC57" s="15">
        <v>16614831</v>
      </c>
      <c r="BD57" s="15">
        <v>32578100</v>
      </c>
      <c r="BE57" s="20">
        <v>497555151</v>
      </c>
      <c r="BF57" s="20">
        <v>493892241</v>
      </c>
      <c r="BG57" s="20">
        <v>1347275072</v>
      </c>
      <c r="BH57" s="20">
        <v>1223877600</v>
      </c>
      <c r="BI57" s="19">
        <v>127420076</v>
      </c>
      <c r="BJ57" s="19"/>
      <c r="BK57" s="19"/>
      <c r="BL57" s="5">
        <v>61889211897</v>
      </c>
      <c r="BM57" s="5">
        <v>56043475103</v>
      </c>
      <c r="BN57" s="15">
        <v>196356030</v>
      </c>
      <c r="BO57" s="3"/>
      <c r="BP57" s="1"/>
      <c r="BQ57" s="5"/>
      <c r="BR57" s="5"/>
      <c r="BS57" s="5"/>
    </row>
    <row r="58" spans="1:71" x14ac:dyDescent="0.25">
      <c r="A58" s="6" t="s">
        <v>112</v>
      </c>
      <c r="B58" s="10">
        <v>2449936741</v>
      </c>
      <c r="C58" s="10">
        <v>229243416</v>
      </c>
      <c r="D58" s="10">
        <v>605626835</v>
      </c>
      <c r="E58" s="10">
        <v>0</v>
      </c>
      <c r="F58" s="10">
        <v>74953589</v>
      </c>
      <c r="G58" s="10">
        <v>11169040</v>
      </c>
      <c r="H58" s="10">
        <v>8298830</v>
      </c>
      <c r="I58" s="10">
        <v>413215</v>
      </c>
      <c r="J58" s="10">
        <v>33700</v>
      </c>
      <c r="K58" s="10">
        <v>0</v>
      </c>
      <c r="L58" s="10">
        <v>574110964</v>
      </c>
      <c r="M58" s="10">
        <v>165883920</v>
      </c>
      <c r="N58" s="10">
        <v>2510</v>
      </c>
      <c r="O58" s="10">
        <v>357</v>
      </c>
      <c r="P58" s="10">
        <v>62592639</v>
      </c>
      <c r="Q58" s="10">
        <v>4888563</v>
      </c>
      <c r="R58" s="10">
        <v>33409120</v>
      </c>
      <c r="S58" s="10">
        <v>34861014</v>
      </c>
      <c r="T58" s="10">
        <v>2292125</v>
      </c>
      <c r="U58" s="10">
        <v>24951607</v>
      </c>
      <c r="V58" s="10">
        <v>62592639</v>
      </c>
      <c r="W58" s="10">
        <v>7305556</v>
      </c>
      <c r="X58" s="10">
        <v>33409120</v>
      </c>
      <c r="Y58" s="10">
        <v>34861014</v>
      </c>
      <c r="Z58" s="10">
        <v>10978407</v>
      </c>
      <c r="AA58" s="10">
        <v>24951607</v>
      </c>
      <c r="AB58" s="10">
        <v>-8582516</v>
      </c>
      <c r="AC58" s="10">
        <v>-2348862</v>
      </c>
      <c r="AD58" s="10">
        <v>0</v>
      </c>
      <c r="AE58" s="10">
        <v>0</v>
      </c>
      <c r="AF58" s="10">
        <v>0</v>
      </c>
      <c r="AG58" s="10">
        <v>89728.93</v>
      </c>
      <c r="AH58" s="3"/>
      <c r="AI58" s="10">
        <v>406855</v>
      </c>
      <c r="AJ58" s="3"/>
      <c r="AK58" s="1">
        <v>272603358</v>
      </c>
      <c r="AL58" s="1">
        <v>7580904</v>
      </c>
      <c r="AM58" s="10">
        <v>0</v>
      </c>
      <c r="AN58" s="10">
        <v>86228934</v>
      </c>
      <c r="AO58" s="10">
        <v>1689573</v>
      </c>
      <c r="AP58" s="10">
        <v>97054351</v>
      </c>
      <c r="AQ58" s="10">
        <v>72792962</v>
      </c>
      <c r="AR58" s="10">
        <v>70929863</v>
      </c>
      <c r="AS58" s="10">
        <v>54564794</v>
      </c>
      <c r="AT58" s="10">
        <v>2323434</v>
      </c>
      <c r="AU58" s="3"/>
      <c r="AV58" s="3"/>
      <c r="AW58" s="10">
        <v>18179</v>
      </c>
      <c r="AX58" s="10">
        <v>2801</v>
      </c>
      <c r="AY58" s="10">
        <v>13518458</v>
      </c>
      <c r="AZ58" s="1">
        <v>20696400.760000002</v>
      </c>
      <c r="BA58" s="1">
        <v>10555164</v>
      </c>
      <c r="BB58" s="19"/>
      <c r="BC58" s="15">
        <v>1244367</v>
      </c>
      <c r="BD58" s="15">
        <v>2439935</v>
      </c>
      <c r="BE58" s="20">
        <v>27521426</v>
      </c>
      <c r="BF58" s="20">
        <v>27521426</v>
      </c>
      <c r="BG58" s="20">
        <v>51627747</v>
      </c>
      <c r="BH58" s="20">
        <v>46481584</v>
      </c>
      <c r="BI58" s="20">
        <v>25976888</v>
      </c>
      <c r="BJ58" s="19"/>
      <c r="BK58" s="19"/>
      <c r="BL58" s="5">
        <v>3837889007</v>
      </c>
      <c r="BM58" s="5">
        <v>3445925316</v>
      </c>
      <c r="BN58" s="15">
        <v>2041250</v>
      </c>
      <c r="BO58" s="3"/>
      <c r="BP58" s="1"/>
      <c r="BQ58" s="5"/>
      <c r="BR58" s="5"/>
      <c r="BS58" s="5"/>
    </row>
    <row r="59" spans="1:71" x14ac:dyDescent="0.25">
      <c r="A59" s="6" t="s">
        <v>113</v>
      </c>
      <c r="B59" s="10">
        <v>388374483</v>
      </c>
      <c r="C59" s="10">
        <v>90217744</v>
      </c>
      <c r="D59" s="10">
        <v>173425141</v>
      </c>
      <c r="E59" s="10">
        <v>0</v>
      </c>
      <c r="F59" s="10">
        <v>42917950</v>
      </c>
      <c r="G59" s="10">
        <v>27745650</v>
      </c>
      <c r="H59" s="10">
        <v>14912733</v>
      </c>
      <c r="I59" s="10">
        <v>6067025</v>
      </c>
      <c r="J59" s="10">
        <v>101100</v>
      </c>
      <c r="K59" s="10">
        <v>33700</v>
      </c>
      <c r="L59" s="10">
        <v>88162248</v>
      </c>
      <c r="M59" s="10">
        <v>71833015</v>
      </c>
      <c r="N59" s="10">
        <v>1927</v>
      </c>
      <c r="O59" s="10">
        <v>1225</v>
      </c>
      <c r="P59" s="10">
        <v>911600</v>
      </c>
      <c r="Q59" s="10">
        <v>241000</v>
      </c>
      <c r="R59" s="10">
        <v>2630000</v>
      </c>
      <c r="S59" s="10">
        <v>3658956</v>
      </c>
      <c r="T59" s="10">
        <v>603200</v>
      </c>
      <c r="U59" s="10">
        <v>4219000</v>
      </c>
      <c r="V59" s="10">
        <v>911600</v>
      </c>
      <c r="W59" s="10">
        <v>241000</v>
      </c>
      <c r="X59" s="10">
        <v>2630000</v>
      </c>
      <c r="Y59" s="10">
        <v>3658956</v>
      </c>
      <c r="Z59" s="10">
        <v>623875</v>
      </c>
      <c r="AA59" s="10">
        <v>4219000</v>
      </c>
      <c r="AB59" s="10">
        <v>-3828705</v>
      </c>
      <c r="AC59" s="10">
        <v>0</v>
      </c>
      <c r="AD59" s="10">
        <v>130011</v>
      </c>
      <c r="AE59" s="10">
        <v>1</v>
      </c>
      <c r="AF59" s="10">
        <v>0</v>
      </c>
      <c r="AG59" s="10">
        <v>133631</v>
      </c>
      <c r="AH59" s="10">
        <v>945785</v>
      </c>
      <c r="AI59" s="10">
        <v>40685555</v>
      </c>
      <c r="AJ59" s="10">
        <v>12721594</v>
      </c>
      <c r="AK59" s="1">
        <v>120864837</v>
      </c>
      <c r="AL59" s="1">
        <v>4188259</v>
      </c>
      <c r="AM59" s="10">
        <v>0</v>
      </c>
      <c r="AN59" s="10">
        <v>62602435</v>
      </c>
      <c r="AO59" s="10">
        <v>668855</v>
      </c>
      <c r="AP59" s="10">
        <v>1653817</v>
      </c>
      <c r="AQ59" s="10">
        <v>25314038</v>
      </c>
      <c r="AR59" s="10">
        <v>7967415</v>
      </c>
      <c r="AS59" s="10">
        <v>94276</v>
      </c>
      <c r="AT59" s="10">
        <v>5250</v>
      </c>
      <c r="AU59" s="10">
        <v>0</v>
      </c>
      <c r="AV59" s="10">
        <v>0</v>
      </c>
      <c r="AW59" s="10">
        <v>0</v>
      </c>
      <c r="AX59" s="10">
        <v>0</v>
      </c>
      <c r="AY59" s="10">
        <v>732679</v>
      </c>
      <c r="AZ59" s="1">
        <v>9048293.1799999997</v>
      </c>
      <c r="BA59" s="1">
        <v>4614630</v>
      </c>
      <c r="BB59" s="19"/>
      <c r="BC59" s="15">
        <v>2101873</v>
      </c>
      <c r="BD59" s="15">
        <v>4121320</v>
      </c>
      <c r="BE59" s="20">
        <v>7423940</v>
      </c>
      <c r="BF59" s="20">
        <v>7403751</v>
      </c>
      <c r="BG59" s="20">
        <v>67492992</v>
      </c>
      <c r="BH59" s="20">
        <v>65884135</v>
      </c>
      <c r="BI59" s="19"/>
      <c r="BJ59" s="19"/>
      <c r="BK59" s="19"/>
      <c r="BL59" s="5">
        <v>1000013115</v>
      </c>
      <c r="BM59" s="5">
        <v>794955630</v>
      </c>
      <c r="BN59" s="15">
        <v>9353195</v>
      </c>
      <c r="BO59" s="3"/>
      <c r="BP59" s="1"/>
      <c r="BQ59" s="5"/>
      <c r="BR59" s="5"/>
      <c r="BS59" s="5"/>
    </row>
    <row r="60" spans="1:71" x14ac:dyDescent="0.25">
      <c r="A60" s="6" t="s">
        <v>114</v>
      </c>
      <c r="B60" s="10">
        <v>7260464155</v>
      </c>
      <c r="C60" s="10">
        <v>95701930</v>
      </c>
      <c r="D60" s="10">
        <v>2253951905</v>
      </c>
      <c r="E60" s="10">
        <v>0</v>
      </c>
      <c r="F60" s="10">
        <v>291401980</v>
      </c>
      <c r="G60" s="10">
        <v>25938400</v>
      </c>
      <c r="H60" s="10">
        <v>5931200</v>
      </c>
      <c r="I60" s="10">
        <v>435700</v>
      </c>
      <c r="J60" s="10">
        <v>1482800</v>
      </c>
      <c r="K60" s="10">
        <v>0</v>
      </c>
      <c r="L60" s="10">
        <v>204392820</v>
      </c>
      <c r="M60" s="3"/>
      <c r="N60" s="10">
        <v>8915</v>
      </c>
      <c r="O60" s="10">
        <v>793</v>
      </c>
      <c r="P60" s="10">
        <v>87969420</v>
      </c>
      <c r="Q60" s="10">
        <v>1233600</v>
      </c>
      <c r="R60" s="10">
        <v>146249700</v>
      </c>
      <c r="S60" s="10">
        <v>39676600</v>
      </c>
      <c r="T60" s="10">
        <v>5357050</v>
      </c>
      <c r="U60" s="10">
        <v>41744150</v>
      </c>
      <c r="V60" s="10">
        <v>87969420</v>
      </c>
      <c r="W60" s="10">
        <v>1233600</v>
      </c>
      <c r="X60" s="10">
        <v>146249700</v>
      </c>
      <c r="Y60" s="10">
        <v>39676600</v>
      </c>
      <c r="Z60" s="10">
        <v>5357050</v>
      </c>
      <c r="AA60" s="10">
        <v>41740650</v>
      </c>
      <c r="AB60" s="10">
        <v>-15021100</v>
      </c>
      <c r="AC60" s="10">
        <v>4761856</v>
      </c>
      <c r="AD60" s="10">
        <v>0</v>
      </c>
      <c r="AE60" s="10">
        <v>0</v>
      </c>
      <c r="AF60" s="10">
        <v>0</v>
      </c>
      <c r="AG60" s="10">
        <v>0</v>
      </c>
      <c r="AH60" s="3"/>
      <c r="AI60" s="3"/>
      <c r="AJ60" s="3"/>
      <c r="AK60" s="1">
        <v>818417602</v>
      </c>
      <c r="AL60" s="1">
        <v>17054067</v>
      </c>
      <c r="AM60" s="10">
        <v>435203</v>
      </c>
      <c r="AN60" s="10">
        <v>304294307</v>
      </c>
      <c r="AO60" s="10">
        <v>8496614</v>
      </c>
      <c r="AP60" s="10">
        <v>282582831</v>
      </c>
      <c r="AQ60" s="10">
        <v>228433901</v>
      </c>
      <c r="AR60" s="10">
        <v>168367633</v>
      </c>
      <c r="AS60" s="10">
        <v>104648648</v>
      </c>
      <c r="AT60" s="10">
        <v>29484</v>
      </c>
      <c r="AU60" s="10">
        <v>0</v>
      </c>
      <c r="AV60" s="10">
        <v>0</v>
      </c>
      <c r="AW60" s="10">
        <v>0</v>
      </c>
      <c r="AX60" s="10">
        <v>195910</v>
      </c>
      <c r="AY60" s="10">
        <v>4991</v>
      </c>
      <c r="AZ60" s="1">
        <v>58150614.57</v>
      </c>
      <c r="BA60" s="1">
        <v>29656813</v>
      </c>
      <c r="BB60" s="19">
        <v>8539778.0800000001</v>
      </c>
      <c r="BC60" s="15">
        <v>10090439</v>
      </c>
      <c r="BD60" s="15">
        <v>19785174</v>
      </c>
      <c r="BE60" s="20">
        <v>114072633</v>
      </c>
      <c r="BF60" s="20">
        <v>114072633</v>
      </c>
      <c r="BG60" s="20">
        <v>214411116</v>
      </c>
      <c r="BH60" s="20">
        <v>204825256</v>
      </c>
      <c r="BI60" s="19"/>
      <c r="BJ60" s="19"/>
      <c r="BK60" s="19"/>
      <c r="BL60" s="5">
        <v>11345459622</v>
      </c>
      <c r="BM60" s="5">
        <v>10151342812</v>
      </c>
      <c r="BN60" s="15">
        <v>4554400</v>
      </c>
      <c r="BO60" s="3"/>
      <c r="BP60" s="1"/>
      <c r="BQ60" s="5"/>
      <c r="BR60" s="5"/>
      <c r="BS60" s="5"/>
    </row>
    <row r="61" spans="1:71" x14ac:dyDescent="0.25">
      <c r="A61" s="6" t="s">
        <v>115</v>
      </c>
      <c r="B61" s="10">
        <v>147879353</v>
      </c>
      <c r="C61" s="10">
        <v>48613494</v>
      </c>
      <c r="D61" s="10">
        <v>79541936</v>
      </c>
      <c r="E61" s="10">
        <v>0</v>
      </c>
      <c r="F61" s="10">
        <v>27363566</v>
      </c>
      <c r="G61" s="10">
        <v>20992700</v>
      </c>
      <c r="H61" s="10">
        <v>13741129</v>
      </c>
      <c r="I61" s="10">
        <v>5358950</v>
      </c>
      <c r="J61" s="10">
        <v>101100</v>
      </c>
      <c r="K61" s="10">
        <v>0</v>
      </c>
      <c r="L61" s="10">
        <v>58362523</v>
      </c>
      <c r="M61" s="10">
        <v>54501691</v>
      </c>
      <c r="N61" s="10">
        <v>1395</v>
      </c>
      <c r="O61" s="10">
        <v>972</v>
      </c>
      <c r="P61" s="10">
        <v>4407800</v>
      </c>
      <c r="Q61" s="10">
        <v>538200</v>
      </c>
      <c r="R61" s="10">
        <v>265000</v>
      </c>
      <c r="S61" s="10">
        <v>1984650</v>
      </c>
      <c r="T61" s="10">
        <v>567200</v>
      </c>
      <c r="U61" s="10">
        <v>1182675</v>
      </c>
      <c r="V61" s="10">
        <v>4407800</v>
      </c>
      <c r="W61" s="10">
        <v>955500</v>
      </c>
      <c r="X61" s="10">
        <v>265000</v>
      </c>
      <c r="Y61" s="10">
        <v>1984650</v>
      </c>
      <c r="Z61" s="10">
        <v>870000</v>
      </c>
      <c r="AA61" s="10">
        <v>1182675</v>
      </c>
      <c r="AB61" s="10">
        <v>-1936467</v>
      </c>
      <c r="AC61" s="10">
        <v>0</v>
      </c>
      <c r="AD61" s="10">
        <v>198493</v>
      </c>
      <c r="AE61" s="10">
        <v>0</v>
      </c>
      <c r="AF61" s="10">
        <v>0</v>
      </c>
      <c r="AG61" s="10">
        <v>122012</v>
      </c>
      <c r="AH61" s="10">
        <v>13399643</v>
      </c>
      <c r="AI61" s="10">
        <v>303406903</v>
      </c>
      <c r="AJ61" s="10">
        <v>247332133</v>
      </c>
      <c r="AK61" s="1">
        <v>85575546</v>
      </c>
      <c r="AL61" s="1">
        <v>1585575</v>
      </c>
      <c r="AM61" s="10">
        <v>124900</v>
      </c>
      <c r="AN61" s="10">
        <v>151305928</v>
      </c>
      <c r="AO61" s="10">
        <v>4377207</v>
      </c>
      <c r="AP61" s="10">
        <v>42553695</v>
      </c>
      <c r="AQ61" s="10">
        <v>9714971</v>
      </c>
      <c r="AR61" s="10">
        <v>2136241</v>
      </c>
      <c r="AS61" s="10">
        <v>0</v>
      </c>
      <c r="AT61" s="10">
        <v>30671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">
        <v>6414273.7199999997</v>
      </c>
      <c r="BA61" s="1">
        <v>3271280</v>
      </c>
      <c r="BB61" s="19"/>
      <c r="BC61" s="15">
        <v>940774</v>
      </c>
      <c r="BD61" s="15">
        <v>1844656</v>
      </c>
      <c r="BE61" s="20">
        <v>3113140</v>
      </c>
      <c r="BF61" s="20">
        <v>3113140</v>
      </c>
      <c r="BG61" s="20">
        <v>46918422</v>
      </c>
      <c r="BH61" s="20">
        <v>46275450</v>
      </c>
      <c r="BI61" s="19"/>
      <c r="BJ61" s="19"/>
      <c r="BK61" s="19"/>
      <c r="BL61" s="5">
        <v>1146333333</v>
      </c>
      <c r="BM61" s="5">
        <v>1005571568</v>
      </c>
      <c r="BN61" s="15">
        <v>2233150</v>
      </c>
      <c r="BO61" s="3"/>
      <c r="BP61" s="1"/>
      <c r="BQ61" s="5"/>
      <c r="BR61" s="5"/>
      <c r="BS61" s="5"/>
    </row>
    <row r="62" spans="1:71" x14ac:dyDescent="0.25">
      <c r="A62" s="6" t="s">
        <v>116</v>
      </c>
      <c r="B62" s="10">
        <v>498255912</v>
      </c>
      <c r="C62" s="10">
        <v>90895823</v>
      </c>
      <c r="D62" s="10">
        <v>212597231</v>
      </c>
      <c r="E62" s="10">
        <v>0</v>
      </c>
      <c r="F62" s="10">
        <v>56698324</v>
      </c>
      <c r="G62" s="10">
        <v>31255356</v>
      </c>
      <c r="H62" s="10">
        <v>15509418</v>
      </c>
      <c r="I62" s="10">
        <v>4466739</v>
      </c>
      <c r="J62" s="10">
        <v>134800</v>
      </c>
      <c r="K62" s="10">
        <v>67400</v>
      </c>
      <c r="L62" s="10">
        <v>23765774</v>
      </c>
      <c r="M62" s="10">
        <v>114661597</v>
      </c>
      <c r="N62" s="10">
        <v>2496</v>
      </c>
      <c r="O62" s="10">
        <v>1364</v>
      </c>
      <c r="P62" s="10">
        <v>8618015</v>
      </c>
      <c r="Q62" s="10">
        <v>2022004</v>
      </c>
      <c r="R62" s="10">
        <v>5084190</v>
      </c>
      <c r="S62" s="10">
        <v>3634784</v>
      </c>
      <c r="T62" s="10">
        <v>796700</v>
      </c>
      <c r="U62" s="10">
        <v>527650</v>
      </c>
      <c r="V62" s="10">
        <v>8618015</v>
      </c>
      <c r="W62" s="10">
        <v>1964384</v>
      </c>
      <c r="X62" s="10">
        <v>5084190</v>
      </c>
      <c r="Y62" s="10">
        <v>3644784</v>
      </c>
      <c r="Z62" s="10">
        <v>588970</v>
      </c>
      <c r="AA62" s="10">
        <v>527650</v>
      </c>
      <c r="AB62" s="10">
        <v>-8227407</v>
      </c>
      <c r="AC62" s="10">
        <v>-5055554</v>
      </c>
      <c r="AD62" s="10">
        <v>139516</v>
      </c>
      <c r="AE62" s="10">
        <v>0</v>
      </c>
      <c r="AF62" s="10">
        <v>0</v>
      </c>
      <c r="AG62" s="10">
        <v>0</v>
      </c>
      <c r="AH62" s="10">
        <v>5545093</v>
      </c>
      <c r="AI62" s="10">
        <v>100925314</v>
      </c>
      <c r="AJ62" s="10">
        <v>5096969</v>
      </c>
      <c r="AK62" s="1">
        <v>126704204</v>
      </c>
      <c r="AL62" s="1">
        <v>2989493</v>
      </c>
      <c r="AM62" s="10">
        <v>0</v>
      </c>
      <c r="AN62" s="10">
        <v>50780921</v>
      </c>
      <c r="AO62" s="10">
        <v>339346</v>
      </c>
      <c r="AP62" s="10">
        <v>30699477</v>
      </c>
      <c r="AQ62" s="10">
        <v>32047032</v>
      </c>
      <c r="AR62" s="10">
        <v>25819467</v>
      </c>
      <c r="AS62" s="10">
        <v>0</v>
      </c>
      <c r="AT62" s="10">
        <v>377449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">
        <v>10052312.01</v>
      </c>
      <c r="BA62" s="1">
        <v>5126679</v>
      </c>
      <c r="BB62" s="19"/>
      <c r="BC62" s="15">
        <v>2337196</v>
      </c>
      <c r="BD62" s="15">
        <v>4582737</v>
      </c>
      <c r="BE62" s="20">
        <v>19713292</v>
      </c>
      <c r="BF62" s="20">
        <v>19713292</v>
      </c>
      <c r="BG62" s="20">
        <v>39485818</v>
      </c>
      <c r="BH62" s="20">
        <v>36912906</v>
      </c>
      <c r="BI62" s="19"/>
      <c r="BJ62" s="19"/>
      <c r="BK62" s="19"/>
      <c r="BL62" s="5">
        <v>1190267411</v>
      </c>
      <c r="BM62" s="5">
        <v>996483641</v>
      </c>
      <c r="BN62" s="15">
        <v>193400</v>
      </c>
      <c r="BO62" s="3"/>
      <c r="BP62" s="1"/>
      <c r="BQ62" s="5"/>
      <c r="BR62" s="5"/>
      <c r="BS62" s="5"/>
    </row>
    <row r="63" spans="1:71" x14ac:dyDescent="0.25">
      <c r="A63" s="6" t="s">
        <v>117</v>
      </c>
      <c r="B63" s="10">
        <v>308049872</v>
      </c>
      <c r="C63" s="10">
        <v>135031143</v>
      </c>
      <c r="D63" s="10">
        <v>59827438</v>
      </c>
      <c r="E63" s="10">
        <v>0</v>
      </c>
      <c r="F63" s="10">
        <v>30441800</v>
      </c>
      <c r="G63" s="10">
        <v>7295100</v>
      </c>
      <c r="H63" s="10">
        <v>12332310</v>
      </c>
      <c r="I63" s="10">
        <v>1144380</v>
      </c>
      <c r="J63" s="10">
        <v>101100</v>
      </c>
      <c r="K63" s="10">
        <v>0</v>
      </c>
      <c r="L63" s="10">
        <v>189452428</v>
      </c>
      <c r="M63" s="10">
        <v>96147738</v>
      </c>
      <c r="N63" s="10">
        <v>1317</v>
      </c>
      <c r="O63" s="10">
        <v>268</v>
      </c>
      <c r="P63" s="10">
        <v>4460750</v>
      </c>
      <c r="Q63" s="10">
        <v>3534351</v>
      </c>
      <c r="R63" s="10">
        <v>2530000</v>
      </c>
      <c r="S63" s="10">
        <v>3948347</v>
      </c>
      <c r="T63" s="10">
        <v>936188</v>
      </c>
      <c r="U63" s="10">
        <v>667451</v>
      </c>
      <c r="V63" s="10">
        <v>4460750</v>
      </c>
      <c r="W63" s="10">
        <v>4676182</v>
      </c>
      <c r="X63" s="10">
        <v>2530000</v>
      </c>
      <c r="Y63" s="10">
        <v>3948347</v>
      </c>
      <c r="Z63" s="10">
        <v>1022389</v>
      </c>
      <c r="AA63" s="10">
        <v>667451</v>
      </c>
      <c r="AB63" s="10">
        <v>-5530905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3"/>
      <c r="AI63" s="3"/>
      <c r="AJ63" s="3"/>
      <c r="AK63" s="1">
        <v>68105833</v>
      </c>
      <c r="AL63" s="1">
        <v>1743311</v>
      </c>
      <c r="AM63" s="10">
        <v>0</v>
      </c>
      <c r="AN63" s="10">
        <v>9412610</v>
      </c>
      <c r="AO63" s="10">
        <v>72858</v>
      </c>
      <c r="AP63" s="10">
        <v>14351893</v>
      </c>
      <c r="AQ63" s="10">
        <v>13510523</v>
      </c>
      <c r="AR63" s="10">
        <v>8578496</v>
      </c>
      <c r="AS63" s="10">
        <v>0</v>
      </c>
      <c r="AT63" s="10">
        <v>483026</v>
      </c>
      <c r="AU63" s="10">
        <v>0</v>
      </c>
      <c r="AV63" s="10">
        <v>18950</v>
      </c>
      <c r="AW63" s="10">
        <v>0</v>
      </c>
      <c r="AX63" s="10">
        <v>26631</v>
      </c>
      <c r="AY63" s="10">
        <v>51000</v>
      </c>
      <c r="AZ63" s="1">
        <v>5178292.87</v>
      </c>
      <c r="BA63" s="1">
        <v>2640929</v>
      </c>
      <c r="BB63" s="19"/>
      <c r="BC63" s="15">
        <v>63098</v>
      </c>
      <c r="BD63" s="15">
        <v>123721</v>
      </c>
      <c r="BE63" s="20">
        <v>4486908</v>
      </c>
      <c r="BF63" s="20">
        <v>4486908</v>
      </c>
      <c r="BG63" s="20">
        <v>28490584</v>
      </c>
      <c r="BH63" s="20">
        <v>28347063</v>
      </c>
      <c r="BI63" s="19"/>
      <c r="BJ63" s="19"/>
      <c r="BK63" s="19"/>
      <c r="BL63" s="5">
        <v>631291586</v>
      </c>
      <c r="BM63" s="5">
        <v>525904444</v>
      </c>
      <c r="BN63" s="15">
        <v>1101878</v>
      </c>
      <c r="BO63" s="3"/>
      <c r="BP63" s="1"/>
      <c r="BQ63" s="5"/>
      <c r="BR63" s="5"/>
      <c r="BS63" s="5"/>
    </row>
    <row r="64" spans="1:71" x14ac:dyDescent="0.25">
      <c r="A64" s="6" t="s">
        <v>118</v>
      </c>
      <c r="B64" s="10">
        <v>1315725800</v>
      </c>
      <c r="C64" s="10">
        <v>187628294</v>
      </c>
      <c r="D64" s="10">
        <v>654227870</v>
      </c>
      <c r="E64" s="10">
        <v>15666606</v>
      </c>
      <c r="F64" s="10">
        <v>111137499</v>
      </c>
      <c r="G64" s="10">
        <v>51350390</v>
      </c>
      <c r="H64" s="10">
        <v>24949400</v>
      </c>
      <c r="I64" s="10">
        <v>5153676</v>
      </c>
      <c r="J64" s="10">
        <v>235900</v>
      </c>
      <c r="K64" s="10">
        <v>33700</v>
      </c>
      <c r="L64" s="10">
        <v>393251930</v>
      </c>
      <c r="M64" s="10">
        <v>167731400</v>
      </c>
      <c r="N64" s="10">
        <v>4223</v>
      </c>
      <c r="O64" s="10">
        <v>1848</v>
      </c>
      <c r="P64" s="10">
        <v>4369600</v>
      </c>
      <c r="Q64" s="10">
        <v>5712800</v>
      </c>
      <c r="R64" s="10">
        <v>12903200</v>
      </c>
      <c r="S64" s="10">
        <v>9025150</v>
      </c>
      <c r="T64" s="10">
        <v>913150</v>
      </c>
      <c r="U64" s="10">
        <v>5972000</v>
      </c>
      <c r="V64" s="10">
        <v>4369600</v>
      </c>
      <c r="W64" s="10">
        <v>8289700</v>
      </c>
      <c r="X64" s="10">
        <v>12903200</v>
      </c>
      <c r="Y64" s="10">
        <v>9025150</v>
      </c>
      <c r="Z64" s="10">
        <v>927300</v>
      </c>
      <c r="AA64" s="10">
        <v>5972000</v>
      </c>
      <c r="AB64" s="10">
        <v>-14498858</v>
      </c>
      <c r="AC64" s="10">
        <v>-553849</v>
      </c>
      <c r="AD64" s="10">
        <v>84058</v>
      </c>
      <c r="AE64" s="10">
        <v>0</v>
      </c>
      <c r="AF64" s="10">
        <v>0</v>
      </c>
      <c r="AG64" s="10">
        <v>280547</v>
      </c>
      <c r="AH64" s="10">
        <v>1207574</v>
      </c>
      <c r="AI64" s="10">
        <v>479718</v>
      </c>
      <c r="AJ64" s="10">
        <v>144573</v>
      </c>
      <c r="AK64" s="1">
        <v>308305075</v>
      </c>
      <c r="AL64" s="1">
        <v>15979200</v>
      </c>
      <c r="AM64" s="10">
        <v>1035155</v>
      </c>
      <c r="AN64" s="10">
        <v>156642104</v>
      </c>
      <c r="AO64" s="10">
        <v>22243676</v>
      </c>
      <c r="AP64" s="10">
        <v>169746924</v>
      </c>
      <c r="AQ64" s="10">
        <v>146890037</v>
      </c>
      <c r="AR64" s="10">
        <v>54872244</v>
      </c>
      <c r="AS64" s="10">
        <v>20677297</v>
      </c>
      <c r="AT64" s="10">
        <v>4099794</v>
      </c>
      <c r="AU64" s="10">
        <v>0</v>
      </c>
      <c r="AV64" s="10">
        <v>41881</v>
      </c>
      <c r="AW64" s="10">
        <v>8638393</v>
      </c>
      <c r="AX64" s="10">
        <v>1483361</v>
      </c>
      <c r="AY64" s="10">
        <v>3442820</v>
      </c>
      <c r="AZ64" s="1">
        <v>23607326.949999999</v>
      </c>
      <c r="BA64" s="1">
        <v>12039737</v>
      </c>
      <c r="BB64" s="19"/>
      <c r="BC64" s="15">
        <v>1947750</v>
      </c>
      <c r="BD64" s="15">
        <v>3819117</v>
      </c>
      <c r="BE64" s="20">
        <v>34460572</v>
      </c>
      <c r="BF64" s="20">
        <v>34460572</v>
      </c>
      <c r="BG64" s="20">
        <v>91503100</v>
      </c>
      <c r="BH64" s="20">
        <v>85964026</v>
      </c>
      <c r="BI64" s="19"/>
      <c r="BJ64" s="19"/>
      <c r="BK64" s="19"/>
      <c r="BL64" s="5">
        <v>2943886006</v>
      </c>
      <c r="BM64" s="5">
        <v>2485189646</v>
      </c>
      <c r="BN64" s="15">
        <v>2375600</v>
      </c>
      <c r="BO64" s="3"/>
      <c r="BP64" s="1"/>
      <c r="BQ64" s="5"/>
      <c r="BR64" s="5"/>
      <c r="BS64" s="5"/>
    </row>
    <row r="65" spans="1:71" x14ac:dyDescent="0.25">
      <c r="A65" s="6" t="s">
        <v>119</v>
      </c>
      <c r="B65" s="10">
        <v>220742368</v>
      </c>
      <c r="C65" s="10">
        <v>94186283</v>
      </c>
      <c r="D65" s="10">
        <v>97391714</v>
      </c>
      <c r="E65" s="10">
        <v>0</v>
      </c>
      <c r="F65" s="10">
        <v>25210347</v>
      </c>
      <c r="G65" s="10">
        <v>12659790</v>
      </c>
      <c r="H65" s="10">
        <v>14129685</v>
      </c>
      <c r="I65" s="10">
        <v>5262501</v>
      </c>
      <c r="J65" s="10">
        <v>168500</v>
      </c>
      <c r="K65" s="10">
        <v>0</v>
      </c>
      <c r="L65" s="10">
        <v>113027381</v>
      </c>
      <c r="M65" s="10">
        <v>71932400</v>
      </c>
      <c r="N65" s="10">
        <v>1361</v>
      </c>
      <c r="O65" s="10">
        <v>644</v>
      </c>
      <c r="P65" s="10">
        <v>7253850</v>
      </c>
      <c r="Q65" s="10">
        <v>2655200</v>
      </c>
      <c r="R65" s="10">
        <v>3194400</v>
      </c>
      <c r="S65" s="10">
        <v>1446000</v>
      </c>
      <c r="T65" s="10">
        <v>345100</v>
      </c>
      <c r="U65" s="10">
        <v>415800</v>
      </c>
      <c r="V65" s="10">
        <v>7263850</v>
      </c>
      <c r="W65" s="10">
        <v>2869400</v>
      </c>
      <c r="X65" s="10">
        <v>3194400</v>
      </c>
      <c r="Y65" s="10">
        <v>1470100</v>
      </c>
      <c r="Z65" s="10">
        <v>643400</v>
      </c>
      <c r="AA65" s="10">
        <v>505400</v>
      </c>
      <c r="AB65" s="10">
        <v>-3970295</v>
      </c>
      <c r="AC65" s="10">
        <v>0</v>
      </c>
      <c r="AD65" s="10">
        <v>188610</v>
      </c>
      <c r="AE65" s="10">
        <v>0</v>
      </c>
      <c r="AF65" s="10">
        <v>0</v>
      </c>
      <c r="AG65" s="10">
        <v>223294</v>
      </c>
      <c r="AH65" s="10">
        <v>6559097</v>
      </c>
      <c r="AI65" s="10">
        <v>38946423</v>
      </c>
      <c r="AJ65" s="10">
        <v>8509298</v>
      </c>
      <c r="AK65" s="1">
        <v>76943373</v>
      </c>
      <c r="AL65" s="1">
        <v>3449755</v>
      </c>
      <c r="AM65" s="10">
        <v>163000</v>
      </c>
      <c r="AN65" s="10">
        <v>41354355</v>
      </c>
      <c r="AO65" s="10">
        <v>608732</v>
      </c>
      <c r="AP65" s="10">
        <v>2625751</v>
      </c>
      <c r="AQ65" s="10">
        <v>16446589</v>
      </c>
      <c r="AR65" s="10">
        <v>596397</v>
      </c>
      <c r="AS65" s="10">
        <v>0</v>
      </c>
      <c r="AT65" s="10">
        <v>101445</v>
      </c>
      <c r="AU65" s="3"/>
      <c r="AV65" s="3"/>
      <c r="AW65" s="3"/>
      <c r="AX65" s="3"/>
      <c r="AY65" s="10">
        <v>6500</v>
      </c>
      <c r="AZ65" s="1">
        <v>5793307.0700000003</v>
      </c>
      <c r="BA65" s="1">
        <v>2954587</v>
      </c>
      <c r="BB65" s="19"/>
      <c r="BC65" s="15">
        <v>2407534</v>
      </c>
      <c r="BD65" s="15">
        <v>4720655</v>
      </c>
      <c r="BE65" s="20">
        <v>23805682</v>
      </c>
      <c r="BF65" s="20">
        <v>23805682</v>
      </c>
      <c r="BG65" s="20">
        <v>80943603</v>
      </c>
      <c r="BH65" s="20">
        <v>78093500</v>
      </c>
      <c r="BI65" s="19"/>
      <c r="BJ65" s="19"/>
      <c r="BK65" s="19"/>
      <c r="BL65" s="5">
        <v>712399290</v>
      </c>
      <c r="BM65" s="5">
        <v>524744859</v>
      </c>
      <c r="BN65" s="15">
        <v>579500</v>
      </c>
      <c r="BO65" s="3"/>
      <c r="BP65" s="1"/>
      <c r="BQ65" s="5"/>
      <c r="BR65" s="5"/>
      <c r="BS65" s="5"/>
    </row>
    <row r="66" spans="1:71" x14ac:dyDescent="0.25">
      <c r="A66" s="6" t="s">
        <v>120</v>
      </c>
      <c r="B66" s="10">
        <v>78649105</v>
      </c>
      <c r="C66" s="10">
        <v>38327277</v>
      </c>
      <c r="D66" s="10">
        <v>49210181</v>
      </c>
      <c r="E66" s="10">
        <v>0</v>
      </c>
      <c r="F66" s="10">
        <v>10178110</v>
      </c>
      <c r="G66" s="10">
        <v>10833350</v>
      </c>
      <c r="H66" s="10">
        <v>4689275</v>
      </c>
      <c r="I66" s="10">
        <v>3673800</v>
      </c>
      <c r="J66" s="10">
        <v>0</v>
      </c>
      <c r="K66" s="10">
        <v>0</v>
      </c>
      <c r="L66" s="10">
        <v>44034231</v>
      </c>
      <c r="M66" s="10">
        <v>46690352</v>
      </c>
      <c r="N66" s="10">
        <v>526</v>
      </c>
      <c r="O66" s="10">
        <v>595</v>
      </c>
      <c r="P66" s="10">
        <v>2836500</v>
      </c>
      <c r="Q66" s="10">
        <v>2083450</v>
      </c>
      <c r="R66" s="10">
        <v>366400</v>
      </c>
      <c r="S66" s="10">
        <v>1622850</v>
      </c>
      <c r="T66" s="10">
        <v>524000</v>
      </c>
      <c r="U66" s="10">
        <v>4447600</v>
      </c>
      <c r="V66" s="10">
        <v>2836500</v>
      </c>
      <c r="W66" s="10">
        <v>4345150</v>
      </c>
      <c r="X66" s="10">
        <v>366400</v>
      </c>
      <c r="Y66" s="10">
        <v>1622850</v>
      </c>
      <c r="Z66" s="10">
        <v>515980</v>
      </c>
      <c r="AA66" s="10">
        <v>4447600</v>
      </c>
      <c r="AB66" s="10">
        <v>-70250</v>
      </c>
      <c r="AC66" s="10">
        <v>0</v>
      </c>
      <c r="AD66" s="10">
        <v>86420</v>
      </c>
      <c r="AE66" s="10">
        <v>0</v>
      </c>
      <c r="AF66" s="10">
        <v>0</v>
      </c>
      <c r="AG66" s="10">
        <v>103147</v>
      </c>
      <c r="AH66" s="10">
        <v>43766526</v>
      </c>
      <c r="AI66" s="3"/>
      <c r="AJ66" s="10">
        <v>0</v>
      </c>
      <c r="AK66" s="1">
        <v>30823528</v>
      </c>
      <c r="AL66" s="1">
        <v>627352</v>
      </c>
      <c r="AM66" s="10">
        <v>0</v>
      </c>
      <c r="AN66" s="10">
        <v>7002672</v>
      </c>
      <c r="AO66" s="10">
        <v>31966</v>
      </c>
      <c r="AP66" s="10">
        <v>659842</v>
      </c>
      <c r="AQ66" s="10">
        <v>5046238</v>
      </c>
      <c r="AR66" s="10">
        <v>3647136</v>
      </c>
      <c r="AS66" s="10">
        <v>0</v>
      </c>
      <c r="AT66" s="10">
        <v>38047</v>
      </c>
      <c r="AU66" s="10">
        <v>0</v>
      </c>
      <c r="AV66" s="10">
        <v>0</v>
      </c>
      <c r="AW66" s="10">
        <v>0</v>
      </c>
      <c r="AX66" s="10">
        <v>0</v>
      </c>
      <c r="AY66" s="10">
        <v>78000</v>
      </c>
      <c r="AZ66" s="1">
        <v>2339499.8199999998</v>
      </c>
      <c r="BA66" s="1">
        <v>1193145</v>
      </c>
      <c r="BB66" s="19"/>
      <c r="BC66" s="15">
        <v>1728977</v>
      </c>
      <c r="BD66" s="15">
        <v>3390151</v>
      </c>
      <c r="BE66" s="20">
        <v>6958163</v>
      </c>
      <c r="BF66" s="20">
        <v>6958163</v>
      </c>
      <c r="BG66" s="20">
        <v>26379495</v>
      </c>
      <c r="BH66" s="20">
        <v>21735947</v>
      </c>
      <c r="BI66" s="19"/>
      <c r="BJ66" s="19"/>
      <c r="BK66" s="19"/>
      <c r="BL66" s="5">
        <v>285101077</v>
      </c>
      <c r="BM66" s="5">
        <v>222033965</v>
      </c>
      <c r="BN66" s="15">
        <v>160000</v>
      </c>
      <c r="BO66" s="3"/>
      <c r="BP66" s="1"/>
      <c r="BQ66" s="5"/>
      <c r="BR66" s="5"/>
      <c r="BS66" s="5"/>
    </row>
    <row r="67" spans="1:71" x14ac:dyDescent="0.25">
      <c r="A67" s="6" t="s">
        <v>121</v>
      </c>
      <c r="B67" s="10">
        <v>106918446</v>
      </c>
      <c r="C67" s="10">
        <v>49440875</v>
      </c>
      <c r="D67" s="10">
        <v>30082280</v>
      </c>
      <c r="E67" s="10">
        <v>0</v>
      </c>
      <c r="F67" s="10">
        <v>19798185</v>
      </c>
      <c r="G67" s="10">
        <v>24475355</v>
      </c>
      <c r="H67" s="10">
        <v>7528500</v>
      </c>
      <c r="I67" s="10">
        <v>3763278</v>
      </c>
      <c r="J67" s="10">
        <v>166300</v>
      </c>
      <c r="K67" s="10">
        <v>33700</v>
      </c>
      <c r="L67" s="10">
        <v>37139508</v>
      </c>
      <c r="M67" s="10">
        <v>28963100</v>
      </c>
      <c r="N67" s="10">
        <v>968</v>
      </c>
      <c r="O67" s="10">
        <v>1075</v>
      </c>
      <c r="P67" s="10">
        <v>2005650</v>
      </c>
      <c r="Q67" s="10">
        <v>224800</v>
      </c>
      <c r="R67" s="10">
        <v>126000</v>
      </c>
      <c r="S67" s="10">
        <v>1386550</v>
      </c>
      <c r="T67" s="10">
        <v>720149</v>
      </c>
      <c r="U67" s="10">
        <v>403350</v>
      </c>
      <c r="V67" s="10">
        <v>2005650</v>
      </c>
      <c r="W67" s="10">
        <v>224800</v>
      </c>
      <c r="X67" s="10">
        <v>126000</v>
      </c>
      <c r="Y67" s="10">
        <v>1386550</v>
      </c>
      <c r="Z67" s="10">
        <v>1054403</v>
      </c>
      <c r="AA67" s="10">
        <v>403350</v>
      </c>
      <c r="AB67" s="10">
        <v>-1830999</v>
      </c>
      <c r="AC67" s="10">
        <v>-228552</v>
      </c>
      <c r="AD67" s="10">
        <v>178130</v>
      </c>
      <c r="AE67" s="10">
        <v>0</v>
      </c>
      <c r="AF67" s="10">
        <v>0</v>
      </c>
      <c r="AG67" s="10">
        <v>190793</v>
      </c>
      <c r="AH67" s="10">
        <v>58834161</v>
      </c>
      <c r="AI67" s="10">
        <v>91464446</v>
      </c>
      <c r="AJ67" s="10">
        <v>138204139</v>
      </c>
      <c r="AK67" s="1">
        <v>56181381</v>
      </c>
      <c r="AL67" s="1">
        <v>2502163</v>
      </c>
      <c r="AM67" s="10">
        <v>0</v>
      </c>
      <c r="AN67" s="10">
        <v>56998957</v>
      </c>
      <c r="AO67" s="10">
        <v>3724654</v>
      </c>
      <c r="AP67" s="10">
        <v>10158867</v>
      </c>
      <c r="AQ67" s="10">
        <v>3462087</v>
      </c>
      <c r="AR67" s="10">
        <v>2056819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">
        <v>4214808.32</v>
      </c>
      <c r="BA67" s="1">
        <v>2149552</v>
      </c>
      <c r="BB67" s="19"/>
      <c r="BC67" s="15">
        <v>0</v>
      </c>
      <c r="BD67" s="15">
        <v>0</v>
      </c>
      <c r="BE67" s="20">
        <v>489011</v>
      </c>
      <c r="BF67" s="20">
        <v>489011</v>
      </c>
      <c r="BG67" s="20">
        <v>28973844</v>
      </c>
      <c r="BH67" s="20">
        <v>28973844</v>
      </c>
      <c r="BI67" s="19"/>
      <c r="BJ67" s="19"/>
      <c r="BK67" s="19"/>
      <c r="BL67" s="5">
        <v>629425996</v>
      </c>
      <c r="BM67" s="5">
        <v>539130045</v>
      </c>
      <c r="BN67" s="15">
        <v>542535</v>
      </c>
      <c r="BO67" s="3"/>
      <c r="BP67" s="1"/>
      <c r="BQ67" s="5"/>
      <c r="BR67" s="5"/>
      <c r="BS67" s="5"/>
    </row>
    <row r="68" spans="1:71" x14ac:dyDescent="0.25">
      <c r="A68" s="6" t="s">
        <v>122</v>
      </c>
      <c r="B68" s="10">
        <v>207471490</v>
      </c>
      <c r="C68" s="10">
        <v>45094996</v>
      </c>
      <c r="D68" s="10">
        <v>112452807</v>
      </c>
      <c r="E68" s="10">
        <v>0</v>
      </c>
      <c r="F68" s="10">
        <v>43605835</v>
      </c>
      <c r="G68" s="10">
        <v>28174069</v>
      </c>
      <c r="H68" s="10">
        <v>13246950</v>
      </c>
      <c r="I68" s="10">
        <v>4613750</v>
      </c>
      <c r="J68" s="10">
        <v>0</v>
      </c>
      <c r="K68" s="10">
        <v>0</v>
      </c>
      <c r="L68" s="10">
        <v>70106954</v>
      </c>
      <c r="M68" s="10">
        <v>0</v>
      </c>
      <c r="N68" s="10">
        <v>2267</v>
      </c>
      <c r="O68" s="10">
        <v>1360</v>
      </c>
      <c r="P68" s="10">
        <v>843050</v>
      </c>
      <c r="Q68" s="10">
        <v>170500</v>
      </c>
      <c r="R68" s="10">
        <v>232750</v>
      </c>
      <c r="S68" s="10">
        <v>395350</v>
      </c>
      <c r="T68" s="10">
        <v>48500</v>
      </c>
      <c r="U68" s="10">
        <v>115000</v>
      </c>
      <c r="V68" s="10">
        <v>843050</v>
      </c>
      <c r="W68" s="10">
        <v>338000</v>
      </c>
      <c r="X68" s="10">
        <v>232750</v>
      </c>
      <c r="Y68" s="10">
        <v>395350</v>
      </c>
      <c r="Z68" s="10">
        <v>82200</v>
      </c>
      <c r="AA68" s="10">
        <v>115000</v>
      </c>
      <c r="AB68" s="10">
        <v>-4231898</v>
      </c>
      <c r="AC68" s="10">
        <v>-478844</v>
      </c>
      <c r="AD68" s="10">
        <v>0</v>
      </c>
      <c r="AE68" s="10">
        <v>0</v>
      </c>
      <c r="AF68" s="10">
        <v>0</v>
      </c>
      <c r="AG68" s="10">
        <v>0</v>
      </c>
      <c r="AH68" s="10">
        <v>30636411</v>
      </c>
      <c r="AI68" s="10">
        <v>245844762</v>
      </c>
      <c r="AJ68" s="10">
        <v>168069696</v>
      </c>
      <c r="AK68" s="1">
        <v>127892536</v>
      </c>
      <c r="AL68" s="1">
        <v>2933981</v>
      </c>
      <c r="AM68" s="10">
        <v>0</v>
      </c>
      <c r="AN68" s="10">
        <v>115527426</v>
      </c>
      <c r="AO68" s="10">
        <v>6412679</v>
      </c>
      <c r="AP68" s="10">
        <v>25702675</v>
      </c>
      <c r="AQ68" s="10">
        <v>21774493</v>
      </c>
      <c r="AR68" s="10">
        <v>2689717</v>
      </c>
      <c r="AS68" s="10">
        <v>0</v>
      </c>
      <c r="AT68" s="10">
        <v>37188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">
        <v>9956091.2100000009</v>
      </c>
      <c r="BA68" s="1">
        <v>5077607</v>
      </c>
      <c r="BB68" s="19"/>
      <c r="BC68" s="15">
        <v>2111700</v>
      </c>
      <c r="BD68" s="15">
        <v>4140588</v>
      </c>
      <c r="BE68" s="20">
        <v>6012534</v>
      </c>
      <c r="BF68" s="20">
        <v>6012534</v>
      </c>
      <c r="BG68" s="20">
        <v>46459177</v>
      </c>
      <c r="BH68" s="20">
        <v>43986064</v>
      </c>
      <c r="BI68" s="19"/>
      <c r="BJ68" s="19"/>
      <c r="BK68" s="19"/>
      <c r="BL68" s="5">
        <v>1141299182</v>
      </c>
      <c r="BM68" s="5">
        <v>953284760</v>
      </c>
      <c r="BN68" s="15">
        <v>141750</v>
      </c>
      <c r="BO68" s="3"/>
      <c r="BP68" s="1"/>
      <c r="BQ68" s="5"/>
      <c r="BR68" s="5"/>
      <c r="BS68" s="5"/>
    </row>
    <row r="69" spans="1:71" x14ac:dyDescent="0.25">
      <c r="A69" s="6" t="s">
        <v>123</v>
      </c>
      <c r="B69" s="10">
        <v>173966679</v>
      </c>
      <c r="C69" s="10">
        <v>98401990</v>
      </c>
      <c r="D69" s="10">
        <v>30804700</v>
      </c>
      <c r="E69" s="10">
        <v>0</v>
      </c>
      <c r="F69" s="10">
        <v>23519100</v>
      </c>
      <c r="G69" s="10">
        <v>8782200</v>
      </c>
      <c r="H69" s="10">
        <v>10099900</v>
      </c>
      <c r="I69" s="10">
        <v>1522100</v>
      </c>
      <c r="J69" s="10">
        <v>63100</v>
      </c>
      <c r="K69" s="10">
        <v>0</v>
      </c>
      <c r="L69" s="10">
        <v>72031540</v>
      </c>
      <c r="M69" s="10">
        <v>247000</v>
      </c>
      <c r="N69" s="10">
        <v>1170</v>
      </c>
      <c r="O69" s="10">
        <v>395</v>
      </c>
      <c r="P69" s="10">
        <v>4186075</v>
      </c>
      <c r="Q69" s="10">
        <v>1129750</v>
      </c>
      <c r="R69" s="10">
        <v>468000</v>
      </c>
      <c r="S69" s="10">
        <v>1249700</v>
      </c>
      <c r="T69" s="10">
        <v>815200</v>
      </c>
      <c r="U69" s="10">
        <v>15000</v>
      </c>
      <c r="V69" s="10">
        <v>4186075</v>
      </c>
      <c r="W69" s="10">
        <v>1190430</v>
      </c>
      <c r="X69" s="10">
        <v>468000</v>
      </c>
      <c r="Y69" s="10">
        <v>1249700</v>
      </c>
      <c r="Z69" s="10">
        <v>826400</v>
      </c>
      <c r="AA69" s="10">
        <v>15000</v>
      </c>
      <c r="AB69" s="10">
        <v>-1780700</v>
      </c>
      <c r="AC69" s="10">
        <v>0</v>
      </c>
      <c r="AD69" s="10">
        <v>179543</v>
      </c>
      <c r="AE69" s="10">
        <v>0</v>
      </c>
      <c r="AF69" s="10">
        <v>0</v>
      </c>
      <c r="AG69" s="10">
        <v>291462</v>
      </c>
      <c r="AH69" s="3"/>
      <c r="AI69" s="10">
        <v>40258</v>
      </c>
      <c r="AJ69" s="3"/>
      <c r="AK69" s="1">
        <v>60431664</v>
      </c>
      <c r="AL69" s="1">
        <v>1182356</v>
      </c>
      <c r="AM69" s="3"/>
      <c r="AN69" s="10">
        <v>8967330</v>
      </c>
      <c r="AO69" s="10">
        <v>237490</v>
      </c>
      <c r="AP69" s="10">
        <v>5179881</v>
      </c>
      <c r="AQ69" s="10">
        <v>4926661</v>
      </c>
      <c r="AR69" s="10">
        <v>1067170</v>
      </c>
      <c r="AS69" s="3"/>
      <c r="AT69" s="10">
        <v>73780</v>
      </c>
      <c r="AU69" s="3"/>
      <c r="AV69" s="3"/>
      <c r="AW69" s="3"/>
      <c r="AX69" s="3"/>
      <c r="AY69" s="10">
        <v>49000</v>
      </c>
      <c r="AZ69" s="1">
        <v>4556302.26</v>
      </c>
      <c r="BA69" s="1">
        <v>2323714</v>
      </c>
      <c r="BB69" s="19">
        <v>35116844.409999996</v>
      </c>
      <c r="BC69" s="15">
        <v>2149972</v>
      </c>
      <c r="BD69" s="15">
        <v>4215631</v>
      </c>
      <c r="BE69" s="20">
        <v>35533035</v>
      </c>
      <c r="BF69" s="20">
        <v>35533035</v>
      </c>
      <c r="BG69" s="20">
        <v>62433651</v>
      </c>
      <c r="BH69" s="20">
        <v>54074719</v>
      </c>
      <c r="BI69" s="19"/>
      <c r="BJ69" s="19"/>
      <c r="BK69" s="19"/>
      <c r="BL69" s="5">
        <v>473040568</v>
      </c>
      <c r="BM69" s="5">
        <v>317345108</v>
      </c>
      <c r="BN69" s="15">
        <v>1379000</v>
      </c>
      <c r="BO69" s="3"/>
      <c r="BP69" s="1"/>
      <c r="BQ69" s="5"/>
      <c r="BR69" s="5"/>
      <c r="BS69" s="5"/>
    </row>
    <row r="70" spans="1:71" x14ac:dyDescent="0.25">
      <c r="A70" s="6" t="s">
        <v>124</v>
      </c>
      <c r="B70" s="10">
        <v>472955790</v>
      </c>
      <c r="C70" s="10">
        <v>162771630</v>
      </c>
      <c r="D70" s="10">
        <v>109875724</v>
      </c>
      <c r="E70" s="10">
        <v>0</v>
      </c>
      <c r="F70" s="10">
        <v>52186370</v>
      </c>
      <c r="G70" s="10">
        <v>15462972</v>
      </c>
      <c r="H70" s="10">
        <v>18238146</v>
      </c>
      <c r="I70" s="10">
        <v>2215643</v>
      </c>
      <c r="J70" s="10">
        <v>303300</v>
      </c>
      <c r="K70" s="10">
        <v>0</v>
      </c>
      <c r="L70" s="10">
        <v>286686892</v>
      </c>
      <c r="M70" s="10">
        <v>95649122</v>
      </c>
      <c r="N70" s="10">
        <v>2323</v>
      </c>
      <c r="O70" s="10">
        <v>648</v>
      </c>
      <c r="P70" s="10">
        <v>8101321</v>
      </c>
      <c r="Q70" s="10">
        <v>3152774</v>
      </c>
      <c r="R70" s="10">
        <v>9286800</v>
      </c>
      <c r="S70" s="10">
        <v>13299550</v>
      </c>
      <c r="T70" s="10">
        <v>1194587</v>
      </c>
      <c r="U70" s="10">
        <v>3541910</v>
      </c>
      <c r="V70" s="10">
        <v>8101321</v>
      </c>
      <c r="W70" s="10">
        <v>3597293</v>
      </c>
      <c r="X70" s="10">
        <v>9286800</v>
      </c>
      <c r="Y70" s="10">
        <v>13299550</v>
      </c>
      <c r="Z70" s="10">
        <v>1967496</v>
      </c>
      <c r="AA70" s="10">
        <v>3541910</v>
      </c>
      <c r="AB70" s="10">
        <v>-4536661</v>
      </c>
      <c r="AC70" s="10">
        <v>-680809</v>
      </c>
      <c r="AD70" s="10">
        <v>57145</v>
      </c>
      <c r="AE70" s="10">
        <v>0</v>
      </c>
      <c r="AF70" s="10">
        <v>0</v>
      </c>
      <c r="AG70" s="10">
        <v>178338</v>
      </c>
      <c r="AH70" s="10">
        <v>61576</v>
      </c>
      <c r="AI70" s="3"/>
      <c r="AJ70" s="3"/>
      <c r="AK70" s="1">
        <v>110698283</v>
      </c>
      <c r="AL70" s="1">
        <v>2952444</v>
      </c>
      <c r="AM70" s="3"/>
      <c r="AN70" s="10">
        <v>14859897</v>
      </c>
      <c r="AO70" s="10">
        <v>1789299</v>
      </c>
      <c r="AP70" s="10">
        <v>19235294</v>
      </c>
      <c r="AQ70" s="10">
        <v>15839869</v>
      </c>
      <c r="AR70" s="10">
        <v>8957415</v>
      </c>
      <c r="AS70" s="10">
        <v>454266</v>
      </c>
      <c r="AT70" s="10">
        <v>1081397</v>
      </c>
      <c r="AU70" s="3"/>
      <c r="AV70" s="3"/>
      <c r="AW70" s="10">
        <v>29687</v>
      </c>
      <c r="AX70" s="10">
        <v>8250</v>
      </c>
      <c r="AY70" s="3"/>
      <c r="AZ70" s="1">
        <v>8586318.3499999996</v>
      </c>
      <c r="BA70" s="1">
        <v>4379022</v>
      </c>
      <c r="BB70" s="19"/>
      <c r="BC70" s="15">
        <v>1855689</v>
      </c>
      <c r="BD70" s="15">
        <v>3638606</v>
      </c>
      <c r="BE70" s="20">
        <v>28846733</v>
      </c>
      <c r="BF70" s="20">
        <v>28846733</v>
      </c>
      <c r="BG70" s="20">
        <v>58660721</v>
      </c>
      <c r="BH70" s="20">
        <v>51103967</v>
      </c>
      <c r="BI70" s="19"/>
      <c r="BJ70" s="19"/>
      <c r="BK70" s="19"/>
      <c r="BL70" s="5">
        <v>977989923</v>
      </c>
      <c r="BM70" s="5">
        <v>778153785</v>
      </c>
      <c r="BN70" s="15">
        <v>475000</v>
      </c>
      <c r="BO70" s="3"/>
      <c r="BP70" s="1"/>
      <c r="BQ70" s="5"/>
      <c r="BR70" s="5"/>
      <c r="BS70" s="5"/>
    </row>
    <row r="71" spans="1:71" x14ac:dyDescent="0.25">
      <c r="A71" s="6" t="s">
        <v>125</v>
      </c>
      <c r="B71" s="10">
        <v>221111770</v>
      </c>
      <c r="C71" s="10">
        <v>98384012</v>
      </c>
      <c r="D71" s="10">
        <v>77879686</v>
      </c>
      <c r="E71" s="10">
        <v>0</v>
      </c>
      <c r="F71" s="10">
        <v>24390200</v>
      </c>
      <c r="G71" s="10">
        <v>6511300</v>
      </c>
      <c r="H71" s="10">
        <v>7692800</v>
      </c>
      <c r="I71" s="10">
        <v>854600</v>
      </c>
      <c r="J71" s="10">
        <v>101100</v>
      </c>
      <c r="K71" s="10">
        <v>0</v>
      </c>
      <c r="L71" s="10">
        <v>178568338</v>
      </c>
      <c r="M71" s="10">
        <v>56912000</v>
      </c>
      <c r="N71" s="10">
        <v>1052</v>
      </c>
      <c r="O71" s="10">
        <v>241</v>
      </c>
      <c r="P71" s="10">
        <v>6729654</v>
      </c>
      <c r="Q71" s="10">
        <v>2079500</v>
      </c>
      <c r="R71" s="10">
        <v>1788068</v>
      </c>
      <c r="S71" s="10">
        <v>2445220</v>
      </c>
      <c r="T71" s="10">
        <v>481900</v>
      </c>
      <c r="U71" s="10">
        <v>2908900</v>
      </c>
      <c r="V71" s="10">
        <v>6729654</v>
      </c>
      <c r="W71" s="10">
        <v>2292800</v>
      </c>
      <c r="X71" s="10">
        <v>1788068</v>
      </c>
      <c r="Y71" s="10">
        <v>2445220</v>
      </c>
      <c r="Z71" s="10">
        <v>1169400</v>
      </c>
      <c r="AA71" s="10">
        <v>2908900</v>
      </c>
      <c r="AB71" s="10">
        <v>-2368703</v>
      </c>
      <c r="AC71" s="10">
        <v>-19765</v>
      </c>
      <c r="AD71" s="10">
        <v>89487</v>
      </c>
      <c r="AE71" s="10">
        <v>0</v>
      </c>
      <c r="AF71" s="10">
        <v>0</v>
      </c>
      <c r="AG71" s="10">
        <v>177471</v>
      </c>
      <c r="AH71" s="3"/>
      <c r="AI71" s="10">
        <v>7621589</v>
      </c>
      <c r="AJ71" s="3"/>
      <c r="AK71" s="1">
        <v>56117690</v>
      </c>
      <c r="AL71" s="1">
        <v>4812660</v>
      </c>
      <c r="AM71" s="10">
        <v>5548085</v>
      </c>
      <c r="AN71" s="10">
        <v>47244356</v>
      </c>
      <c r="AO71" s="10">
        <v>2956028</v>
      </c>
      <c r="AP71" s="10">
        <v>77431394</v>
      </c>
      <c r="AQ71" s="10">
        <v>19129613</v>
      </c>
      <c r="AR71" s="10">
        <v>1367989</v>
      </c>
      <c r="AS71" s="10">
        <v>14596309</v>
      </c>
      <c r="AT71" s="10">
        <v>271222</v>
      </c>
      <c r="AU71" s="10">
        <v>0</v>
      </c>
      <c r="AV71" s="10">
        <v>0</v>
      </c>
      <c r="AW71" s="10">
        <v>0</v>
      </c>
      <c r="AX71" s="10">
        <v>0</v>
      </c>
      <c r="AY71" s="10">
        <v>1000</v>
      </c>
      <c r="AZ71" s="1">
        <v>4305871.0199999996</v>
      </c>
      <c r="BA71" s="1">
        <v>2195994</v>
      </c>
      <c r="BB71" s="19">
        <v>63010792.43</v>
      </c>
      <c r="BC71" s="15">
        <v>295317</v>
      </c>
      <c r="BD71" s="15">
        <v>579054</v>
      </c>
      <c r="BE71" s="20">
        <v>6872815</v>
      </c>
      <c r="BF71" s="20">
        <v>6562344</v>
      </c>
      <c r="BG71" s="20">
        <v>21339245</v>
      </c>
      <c r="BH71" s="20">
        <v>20923228</v>
      </c>
      <c r="BI71" s="19"/>
      <c r="BJ71" s="19"/>
      <c r="BK71" s="19"/>
      <c r="BL71" s="5">
        <v>565234287</v>
      </c>
      <c r="BM71" s="5">
        <v>474327054</v>
      </c>
      <c r="BN71" s="15">
        <v>378050</v>
      </c>
      <c r="BO71" s="3"/>
      <c r="BP71" s="1"/>
      <c r="BQ71" s="5"/>
      <c r="BR71" s="5"/>
      <c r="BS71" s="5"/>
    </row>
    <row r="72" spans="1:71" x14ac:dyDescent="0.25">
      <c r="A72" s="6" t="s">
        <v>126</v>
      </c>
      <c r="B72" s="10">
        <v>536573056</v>
      </c>
      <c r="C72" s="10">
        <v>226482283</v>
      </c>
      <c r="D72" s="10">
        <v>182564280</v>
      </c>
      <c r="E72" s="10">
        <v>0</v>
      </c>
      <c r="F72" s="10">
        <v>56479568</v>
      </c>
      <c r="G72" s="10">
        <v>9721150</v>
      </c>
      <c r="H72" s="10">
        <v>14491745</v>
      </c>
      <c r="I72" s="10">
        <v>785885</v>
      </c>
      <c r="J72" s="10">
        <v>33700</v>
      </c>
      <c r="K72" s="10">
        <v>59700</v>
      </c>
      <c r="L72" s="10">
        <v>560618785</v>
      </c>
      <c r="M72" s="10">
        <v>0</v>
      </c>
      <c r="N72" s="10">
        <v>2270</v>
      </c>
      <c r="O72" s="10">
        <v>350</v>
      </c>
      <c r="P72" s="10">
        <v>12610127</v>
      </c>
      <c r="Q72" s="10">
        <v>4675050</v>
      </c>
      <c r="R72" s="10">
        <v>3405050</v>
      </c>
      <c r="S72" s="10">
        <v>5035517</v>
      </c>
      <c r="T72" s="10">
        <v>2037974</v>
      </c>
      <c r="U72" s="10">
        <v>3615624</v>
      </c>
      <c r="V72" s="10">
        <v>12610127</v>
      </c>
      <c r="W72" s="10">
        <v>5961180</v>
      </c>
      <c r="X72" s="10">
        <v>3405050</v>
      </c>
      <c r="Y72" s="10">
        <v>5035517</v>
      </c>
      <c r="Z72" s="10">
        <v>3315587</v>
      </c>
      <c r="AA72" s="10">
        <v>3615624</v>
      </c>
      <c r="AB72" s="10">
        <v>-3419250</v>
      </c>
      <c r="AC72" s="10">
        <v>-28225</v>
      </c>
      <c r="AD72" s="10">
        <v>102311</v>
      </c>
      <c r="AE72" s="10">
        <v>0</v>
      </c>
      <c r="AF72" s="10">
        <v>556705075</v>
      </c>
      <c r="AG72" s="10">
        <v>318192</v>
      </c>
      <c r="AH72" s="10">
        <v>21487</v>
      </c>
      <c r="AI72" s="10">
        <v>264097</v>
      </c>
      <c r="AJ72" s="3"/>
      <c r="AK72" s="1">
        <v>129197000</v>
      </c>
      <c r="AL72" s="1">
        <v>4514740</v>
      </c>
      <c r="AM72" s="10">
        <v>0</v>
      </c>
      <c r="AN72" s="10">
        <v>35275401</v>
      </c>
      <c r="AO72" s="10">
        <v>10624945</v>
      </c>
      <c r="AP72" s="10">
        <v>402441910</v>
      </c>
      <c r="AQ72" s="10">
        <v>86657124</v>
      </c>
      <c r="AR72" s="10">
        <v>149598843</v>
      </c>
      <c r="AS72" s="10">
        <v>1905255</v>
      </c>
      <c r="AT72" s="10">
        <v>1560084</v>
      </c>
      <c r="AU72" s="10">
        <v>0</v>
      </c>
      <c r="AV72" s="10">
        <v>31184</v>
      </c>
      <c r="AW72" s="10">
        <v>13894524</v>
      </c>
      <c r="AX72" s="10">
        <v>4498687</v>
      </c>
      <c r="AY72" s="10">
        <v>259500</v>
      </c>
      <c r="AZ72" s="1">
        <v>9927041.8800000008</v>
      </c>
      <c r="BA72" s="1">
        <v>5062791</v>
      </c>
      <c r="BB72" s="19"/>
      <c r="BC72" s="15">
        <v>1900685</v>
      </c>
      <c r="BD72" s="15">
        <v>3726833</v>
      </c>
      <c r="BE72" s="20">
        <v>12603828</v>
      </c>
      <c r="BF72" s="20">
        <v>12603828</v>
      </c>
      <c r="BG72" s="20">
        <v>47144782</v>
      </c>
      <c r="BH72" s="20">
        <v>46567675</v>
      </c>
      <c r="BI72" s="19"/>
      <c r="BJ72" s="19">
        <v>2985586</v>
      </c>
      <c r="BK72" s="19"/>
      <c r="BL72" s="5">
        <v>1281294978</v>
      </c>
      <c r="BM72" s="5">
        <v>1078462673</v>
      </c>
      <c r="BN72" s="15">
        <v>3569331</v>
      </c>
      <c r="BO72" s="3"/>
      <c r="BP72" s="1"/>
      <c r="BQ72" s="5"/>
      <c r="BR72" s="5"/>
      <c r="BS72" s="5"/>
    </row>
    <row r="73" spans="1:71" x14ac:dyDescent="0.25">
      <c r="A73" s="6" t="s">
        <v>127</v>
      </c>
      <c r="B73" s="10">
        <v>405863476</v>
      </c>
      <c r="C73" s="10">
        <v>55409887</v>
      </c>
      <c r="D73" s="10">
        <v>76764206</v>
      </c>
      <c r="E73" s="10">
        <v>0</v>
      </c>
      <c r="F73" s="10">
        <v>25392910</v>
      </c>
      <c r="G73" s="10">
        <v>4120994</v>
      </c>
      <c r="H73" s="10">
        <v>5349410</v>
      </c>
      <c r="I73" s="10">
        <v>414500</v>
      </c>
      <c r="J73" s="10">
        <v>33700</v>
      </c>
      <c r="K73" s="10">
        <v>0</v>
      </c>
      <c r="L73" s="10">
        <v>66529978</v>
      </c>
      <c r="M73" s="10">
        <v>32145625</v>
      </c>
      <c r="N73" s="10">
        <v>972</v>
      </c>
      <c r="O73" s="10">
        <v>152</v>
      </c>
      <c r="P73" s="10">
        <v>5727500</v>
      </c>
      <c r="Q73" s="10">
        <v>355000</v>
      </c>
      <c r="R73" s="10">
        <v>0</v>
      </c>
      <c r="S73" s="10">
        <v>1990085</v>
      </c>
      <c r="T73" s="10">
        <v>1161400</v>
      </c>
      <c r="U73" s="10">
        <v>790329</v>
      </c>
      <c r="V73" s="10">
        <v>5727500</v>
      </c>
      <c r="W73" s="10">
        <v>0</v>
      </c>
      <c r="X73" s="10">
        <v>0</v>
      </c>
      <c r="Y73" s="10">
        <v>1990085</v>
      </c>
      <c r="Z73" s="10">
        <v>457104</v>
      </c>
      <c r="AA73" s="10">
        <v>790329</v>
      </c>
      <c r="AB73" s="10">
        <v>-2511219</v>
      </c>
      <c r="AC73" s="10">
        <v>-60920</v>
      </c>
      <c r="AD73" s="10">
        <v>0</v>
      </c>
      <c r="AE73" s="10">
        <v>0</v>
      </c>
      <c r="AF73" s="10">
        <v>0</v>
      </c>
      <c r="AG73" s="10">
        <v>0</v>
      </c>
      <c r="AH73" s="3"/>
      <c r="AI73" s="3"/>
      <c r="AJ73" s="3"/>
      <c r="AK73" s="1">
        <v>46707203</v>
      </c>
      <c r="AL73" s="1">
        <v>10882078</v>
      </c>
      <c r="AM73" s="10">
        <v>1562246</v>
      </c>
      <c r="AN73" s="10">
        <v>11285067</v>
      </c>
      <c r="AO73" s="10">
        <v>553678</v>
      </c>
      <c r="AP73" s="10">
        <v>5849104</v>
      </c>
      <c r="AQ73" s="10">
        <v>4271535</v>
      </c>
      <c r="AR73" s="10">
        <v>11668243</v>
      </c>
      <c r="AS73" s="10">
        <v>3381002</v>
      </c>
      <c r="AT73" s="10">
        <v>0</v>
      </c>
      <c r="AU73" s="10">
        <v>0</v>
      </c>
      <c r="AV73" s="10">
        <v>0</v>
      </c>
      <c r="AW73" s="10">
        <v>1688699</v>
      </c>
      <c r="AX73" s="10">
        <v>0</v>
      </c>
      <c r="AY73" s="10">
        <v>0</v>
      </c>
      <c r="AZ73" s="1">
        <v>3565085.16</v>
      </c>
      <c r="BA73" s="1">
        <v>1818193</v>
      </c>
      <c r="BB73" s="19">
        <v>26537160.800000001</v>
      </c>
      <c r="BC73" s="15">
        <v>773721</v>
      </c>
      <c r="BD73" s="15">
        <v>1517100</v>
      </c>
      <c r="BE73" s="20">
        <v>7939694</v>
      </c>
      <c r="BF73" s="20">
        <v>6330494</v>
      </c>
      <c r="BG73" s="20">
        <v>17021523</v>
      </c>
      <c r="BH73" s="20">
        <v>16118267</v>
      </c>
      <c r="BI73" s="19"/>
      <c r="BJ73" s="19"/>
      <c r="BK73" s="19"/>
      <c r="BL73" s="5">
        <v>636777805</v>
      </c>
      <c r="BM73" s="5">
        <v>554147849</v>
      </c>
      <c r="BN73" s="15">
        <v>662507</v>
      </c>
      <c r="BO73" s="3"/>
      <c r="BP73" s="1"/>
      <c r="BQ73" s="5"/>
      <c r="BR73" s="5"/>
      <c r="BS73" s="5"/>
    </row>
    <row r="74" spans="1:71" x14ac:dyDescent="0.25">
      <c r="A74" s="6" t="s">
        <v>128</v>
      </c>
      <c r="B74" s="10">
        <v>2027629582</v>
      </c>
      <c r="C74" s="10">
        <v>105529985</v>
      </c>
      <c r="D74" s="10">
        <v>985420965</v>
      </c>
      <c r="E74" s="10">
        <v>1196900</v>
      </c>
      <c r="F74" s="10">
        <v>160371484</v>
      </c>
      <c r="G74" s="10">
        <v>21817301</v>
      </c>
      <c r="H74" s="10">
        <v>9644070</v>
      </c>
      <c r="I74" s="10">
        <v>763469</v>
      </c>
      <c r="J74" s="10">
        <v>219400</v>
      </c>
      <c r="K74" s="10">
        <v>63700</v>
      </c>
      <c r="L74" s="10">
        <v>84224503</v>
      </c>
      <c r="M74" s="10">
        <v>11630</v>
      </c>
      <c r="N74" s="10">
        <v>5460</v>
      </c>
      <c r="O74" s="10">
        <v>788</v>
      </c>
      <c r="P74" s="10">
        <v>21468250</v>
      </c>
      <c r="Q74" s="10">
        <v>3533164</v>
      </c>
      <c r="R74" s="10">
        <v>31726288</v>
      </c>
      <c r="S74" s="10">
        <v>16364582</v>
      </c>
      <c r="T74" s="10">
        <v>265805</v>
      </c>
      <c r="U74" s="10">
        <v>12091674</v>
      </c>
      <c r="V74" s="10">
        <v>21468250</v>
      </c>
      <c r="W74" s="10">
        <v>5178273</v>
      </c>
      <c r="X74" s="10">
        <v>31726288</v>
      </c>
      <c r="Y74" s="10">
        <v>16364582</v>
      </c>
      <c r="Z74" s="10">
        <v>160092</v>
      </c>
      <c r="AA74" s="10">
        <v>12091674</v>
      </c>
      <c r="AB74" s="10">
        <v>-13236542</v>
      </c>
      <c r="AC74" s="10">
        <v>-408973</v>
      </c>
      <c r="AD74" s="10">
        <v>0</v>
      </c>
      <c r="AE74" s="10">
        <v>0</v>
      </c>
      <c r="AF74" s="10">
        <v>0</v>
      </c>
      <c r="AG74" s="10">
        <v>0</v>
      </c>
      <c r="AH74" s="3"/>
      <c r="AI74" s="10">
        <v>63089</v>
      </c>
      <c r="AJ74" s="3"/>
      <c r="AK74" s="1">
        <v>383654782</v>
      </c>
      <c r="AL74" s="1">
        <v>13319531</v>
      </c>
      <c r="AM74" s="10">
        <v>50300</v>
      </c>
      <c r="AN74" s="10">
        <v>219851762</v>
      </c>
      <c r="AO74" s="10">
        <v>31490948</v>
      </c>
      <c r="AP74" s="10">
        <v>67250884</v>
      </c>
      <c r="AQ74" s="10">
        <v>571530744</v>
      </c>
      <c r="AR74" s="10">
        <v>2170234517</v>
      </c>
      <c r="AS74" s="10">
        <v>416722711</v>
      </c>
      <c r="AT74" s="10">
        <v>1723214</v>
      </c>
      <c r="AU74" s="10">
        <v>0</v>
      </c>
      <c r="AV74" s="10">
        <v>0</v>
      </c>
      <c r="AW74" s="10">
        <v>183000</v>
      </c>
      <c r="AX74" s="10">
        <v>1036738</v>
      </c>
      <c r="AY74" s="10">
        <v>2699600</v>
      </c>
      <c r="AZ74" s="1">
        <v>29447581.899999999</v>
      </c>
      <c r="BA74" s="1">
        <v>15018267</v>
      </c>
      <c r="BB74" s="19">
        <v>25619334.23</v>
      </c>
      <c r="BC74" s="15">
        <v>4235812</v>
      </c>
      <c r="BD74" s="15">
        <v>8305514</v>
      </c>
      <c r="BE74" s="20">
        <v>41345335</v>
      </c>
      <c r="BF74" s="20">
        <v>34388133</v>
      </c>
      <c r="BG74" s="20">
        <v>142105738</v>
      </c>
      <c r="BH74" s="20">
        <v>113724753</v>
      </c>
      <c r="BI74" s="19"/>
      <c r="BJ74" s="19">
        <v>36319207</v>
      </c>
      <c r="BK74" s="19"/>
      <c r="BL74" s="5">
        <v>4542177560</v>
      </c>
      <c r="BM74" s="5">
        <v>3941517075</v>
      </c>
      <c r="BN74" s="15">
        <v>17895409</v>
      </c>
      <c r="BO74" s="3"/>
      <c r="BP74" s="1"/>
      <c r="BQ74" s="5"/>
      <c r="BR74" s="5"/>
      <c r="BS74" s="5"/>
    </row>
    <row r="75" spans="1:71" x14ac:dyDescent="0.25">
      <c r="A75" s="6" t="s">
        <v>129</v>
      </c>
      <c r="B75" s="10">
        <v>204063425</v>
      </c>
      <c r="C75" s="10">
        <v>59470938</v>
      </c>
      <c r="D75" s="10">
        <v>70075696</v>
      </c>
      <c r="E75" s="10">
        <v>0</v>
      </c>
      <c r="F75" s="10">
        <v>27994750</v>
      </c>
      <c r="G75" s="10">
        <v>25407900</v>
      </c>
      <c r="H75" s="10">
        <v>6003450</v>
      </c>
      <c r="I75" s="10">
        <v>2890250</v>
      </c>
      <c r="J75" s="10">
        <v>100800</v>
      </c>
      <c r="K75" s="10">
        <v>0</v>
      </c>
      <c r="L75" s="10">
        <v>30442497</v>
      </c>
      <c r="M75" s="10">
        <v>0</v>
      </c>
      <c r="N75" s="10">
        <v>1208</v>
      </c>
      <c r="O75" s="10">
        <v>1049</v>
      </c>
      <c r="P75" s="10">
        <v>3014450</v>
      </c>
      <c r="Q75" s="10">
        <v>1101850</v>
      </c>
      <c r="R75" s="10">
        <v>2405300</v>
      </c>
      <c r="S75" s="10">
        <v>3633150</v>
      </c>
      <c r="T75" s="10">
        <v>1407300</v>
      </c>
      <c r="U75" s="10">
        <v>1282104</v>
      </c>
      <c r="V75" s="10">
        <v>3014450</v>
      </c>
      <c r="W75" s="10">
        <v>1362950</v>
      </c>
      <c r="X75" s="10">
        <v>2405300</v>
      </c>
      <c r="Y75" s="10">
        <v>3633150</v>
      </c>
      <c r="Z75" s="10">
        <v>1694600</v>
      </c>
      <c r="AA75" s="10">
        <v>1282104</v>
      </c>
      <c r="AB75" s="10">
        <v>-4351500</v>
      </c>
      <c r="AC75" s="10">
        <v>0</v>
      </c>
      <c r="AD75" s="10">
        <v>34865</v>
      </c>
      <c r="AE75" s="10">
        <v>0</v>
      </c>
      <c r="AF75" s="10">
        <v>0</v>
      </c>
      <c r="AG75" s="10">
        <v>54171</v>
      </c>
      <c r="AH75" s="10">
        <v>504269</v>
      </c>
      <c r="AI75" s="10">
        <v>3075691</v>
      </c>
      <c r="AJ75" s="10">
        <v>2603992</v>
      </c>
      <c r="AK75" s="1">
        <v>56427368</v>
      </c>
      <c r="AL75" s="1">
        <v>2046298</v>
      </c>
      <c r="AM75" s="10">
        <v>0</v>
      </c>
      <c r="AN75" s="10">
        <v>7415105</v>
      </c>
      <c r="AO75" s="10">
        <v>56497</v>
      </c>
      <c r="AP75" s="10">
        <v>4736487</v>
      </c>
      <c r="AQ75" s="10">
        <v>11057620</v>
      </c>
      <c r="AR75" s="10">
        <v>1761396</v>
      </c>
      <c r="AS75" s="10">
        <v>31900</v>
      </c>
      <c r="AT75" s="10">
        <v>294895</v>
      </c>
      <c r="AU75" s="10">
        <v>0</v>
      </c>
      <c r="AV75" s="10">
        <v>0</v>
      </c>
      <c r="AW75" s="10">
        <v>0</v>
      </c>
      <c r="AX75" s="10">
        <v>0</v>
      </c>
      <c r="AY75" s="10">
        <v>18000</v>
      </c>
      <c r="AZ75" s="1">
        <v>3900336.22</v>
      </c>
      <c r="BA75" s="1">
        <v>1989171</v>
      </c>
      <c r="BB75" s="19"/>
      <c r="BC75" s="15">
        <v>2783534</v>
      </c>
      <c r="BD75" s="15">
        <v>5457909</v>
      </c>
      <c r="BE75" s="20">
        <v>17155759</v>
      </c>
      <c r="BF75" s="20">
        <v>17155759</v>
      </c>
      <c r="BG75" s="20">
        <v>37197170</v>
      </c>
      <c r="BH75" s="20">
        <v>29643579</v>
      </c>
      <c r="BI75" s="19"/>
      <c r="BJ75" s="19"/>
      <c r="BK75" s="19"/>
      <c r="BL75" s="5">
        <v>468368942</v>
      </c>
      <c r="BM75" s="5">
        <v>358323233</v>
      </c>
      <c r="BN75" s="15">
        <v>612100</v>
      </c>
      <c r="BO75" s="3"/>
      <c r="BP75" s="1"/>
      <c r="BQ75" s="5"/>
      <c r="BR75" s="5"/>
      <c r="BS75" s="5"/>
    </row>
    <row r="76" spans="1:71" x14ac:dyDescent="0.25">
      <c r="A76" s="6" t="s">
        <v>130</v>
      </c>
      <c r="B76" s="10">
        <v>161000499</v>
      </c>
      <c r="C76" s="10">
        <v>134234337</v>
      </c>
      <c r="D76" s="10">
        <v>46461485</v>
      </c>
      <c r="E76" s="10">
        <v>0</v>
      </c>
      <c r="F76" s="10">
        <v>21762460</v>
      </c>
      <c r="G76" s="10">
        <v>5676008</v>
      </c>
      <c r="H76" s="10">
        <v>5588200</v>
      </c>
      <c r="I76" s="10">
        <v>312920</v>
      </c>
      <c r="J76" s="10">
        <v>0</v>
      </c>
      <c r="K76" s="10">
        <v>0</v>
      </c>
      <c r="L76" s="10">
        <v>184187800</v>
      </c>
      <c r="M76" s="10">
        <v>0</v>
      </c>
      <c r="N76" s="10">
        <v>950</v>
      </c>
      <c r="O76" s="10">
        <v>205</v>
      </c>
      <c r="P76" s="10">
        <v>3826960</v>
      </c>
      <c r="Q76" s="10">
        <v>1013400</v>
      </c>
      <c r="R76" s="10">
        <v>2266615</v>
      </c>
      <c r="S76" s="10">
        <v>1463059</v>
      </c>
      <c r="T76" s="10">
        <v>395850</v>
      </c>
      <c r="U76" s="10">
        <v>32500</v>
      </c>
      <c r="V76" s="10">
        <v>3826960</v>
      </c>
      <c r="W76" s="10">
        <v>1030300</v>
      </c>
      <c r="X76" s="10">
        <v>2266615</v>
      </c>
      <c r="Y76" s="10">
        <v>1463059</v>
      </c>
      <c r="Z76" s="10">
        <v>725970</v>
      </c>
      <c r="AA76" s="10">
        <v>32500</v>
      </c>
      <c r="AB76" s="10">
        <v>-1674706</v>
      </c>
      <c r="AC76" s="10">
        <v>-22352</v>
      </c>
      <c r="AD76" s="10">
        <v>16396</v>
      </c>
      <c r="AE76" s="10">
        <v>2486</v>
      </c>
      <c r="AF76" s="10">
        <v>4991433</v>
      </c>
      <c r="AG76" s="10">
        <v>151386</v>
      </c>
      <c r="AH76" s="10">
        <v>7848317</v>
      </c>
      <c r="AI76" s="3"/>
      <c r="AJ76" s="10">
        <v>326201</v>
      </c>
      <c r="AK76" s="1">
        <v>51929703</v>
      </c>
      <c r="AL76" s="1">
        <v>1911984</v>
      </c>
      <c r="AM76" s="3"/>
      <c r="AN76" s="10">
        <v>9167058</v>
      </c>
      <c r="AO76" s="10">
        <v>1117222</v>
      </c>
      <c r="AP76" s="10">
        <v>7840947</v>
      </c>
      <c r="AQ76" s="10">
        <v>9795252</v>
      </c>
      <c r="AR76" s="10">
        <v>10320386</v>
      </c>
      <c r="AS76" s="3"/>
      <c r="AT76" s="10">
        <v>3503202</v>
      </c>
      <c r="AU76" s="3"/>
      <c r="AV76" s="3"/>
      <c r="AW76" s="10">
        <v>8983060</v>
      </c>
      <c r="AX76" s="10">
        <v>331514</v>
      </c>
      <c r="AY76" s="10">
        <v>260800</v>
      </c>
      <c r="AZ76" s="1">
        <v>3911311.12</v>
      </c>
      <c r="BA76" s="1">
        <v>1994769</v>
      </c>
      <c r="BB76" s="19">
        <v>11412974.4</v>
      </c>
      <c r="BC76" s="15">
        <v>0</v>
      </c>
      <c r="BD76" s="15">
        <v>0</v>
      </c>
      <c r="BE76" s="20">
        <v>4951072</v>
      </c>
      <c r="BF76" s="20">
        <v>4951072</v>
      </c>
      <c r="BG76" s="20">
        <v>21012631</v>
      </c>
      <c r="BH76" s="20">
        <v>21012631</v>
      </c>
      <c r="BI76" s="19"/>
      <c r="BJ76" s="19"/>
      <c r="BK76" s="19"/>
      <c r="BL76" s="5">
        <v>451750530</v>
      </c>
      <c r="BM76" s="5">
        <v>369950371</v>
      </c>
      <c r="BN76" s="15">
        <v>558226</v>
      </c>
      <c r="BO76" s="3"/>
      <c r="BP76" s="1"/>
      <c r="BQ76" s="5"/>
      <c r="BR76" s="5"/>
      <c r="BS76" s="5"/>
    </row>
    <row r="77" spans="1:71" x14ac:dyDescent="0.25">
      <c r="A77" s="6" t="s">
        <v>131</v>
      </c>
      <c r="B77" s="10">
        <v>2807079999</v>
      </c>
      <c r="C77" s="10">
        <v>243677312</v>
      </c>
      <c r="D77" s="10">
        <v>777773325</v>
      </c>
      <c r="E77" s="10">
        <v>0</v>
      </c>
      <c r="F77" s="10">
        <v>136835709</v>
      </c>
      <c r="G77" s="10">
        <v>28837689</v>
      </c>
      <c r="H77" s="10">
        <v>16739204</v>
      </c>
      <c r="I77" s="10">
        <v>1869217</v>
      </c>
      <c r="J77" s="10">
        <v>505500</v>
      </c>
      <c r="K77" s="10">
        <v>0</v>
      </c>
      <c r="L77" s="10">
        <v>297825606</v>
      </c>
      <c r="M77" s="10">
        <v>154317542</v>
      </c>
      <c r="N77" s="10">
        <v>4781</v>
      </c>
      <c r="O77" s="10">
        <v>989</v>
      </c>
      <c r="P77" s="10">
        <v>84421253</v>
      </c>
      <c r="Q77" s="10">
        <v>3772243</v>
      </c>
      <c r="R77" s="10">
        <v>56117706</v>
      </c>
      <c r="S77" s="10">
        <v>10747663</v>
      </c>
      <c r="T77" s="10">
        <v>3543845</v>
      </c>
      <c r="U77" s="10">
        <v>3069267</v>
      </c>
      <c r="V77" s="10">
        <v>84421253</v>
      </c>
      <c r="W77" s="10">
        <v>100000</v>
      </c>
      <c r="X77" s="10">
        <v>56117706</v>
      </c>
      <c r="Y77" s="10">
        <v>10747663</v>
      </c>
      <c r="Z77" s="10">
        <v>734460</v>
      </c>
      <c r="AA77" s="10">
        <v>3069267</v>
      </c>
      <c r="AB77" s="10">
        <v>-11902811</v>
      </c>
      <c r="AC77" s="10">
        <v>-12378274</v>
      </c>
      <c r="AD77" s="10">
        <v>2166</v>
      </c>
      <c r="AE77" s="10">
        <v>13081</v>
      </c>
      <c r="AF77" s="10">
        <v>80584848</v>
      </c>
      <c r="AG77" s="10">
        <v>240098</v>
      </c>
      <c r="AH77" s="3"/>
      <c r="AI77" s="10">
        <v>1234879</v>
      </c>
      <c r="AJ77" s="3"/>
      <c r="AK77" s="1">
        <v>382295473</v>
      </c>
      <c r="AL77" s="1">
        <v>10946366</v>
      </c>
      <c r="AM77" s="10">
        <v>336613</v>
      </c>
      <c r="AN77" s="10">
        <v>118268423</v>
      </c>
      <c r="AO77" s="10">
        <v>8555128</v>
      </c>
      <c r="AP77" s="10">
        <v>422669279</v>
      </c>
      <c r="AQ77" s="10">
        <v>125232657</v>
      </c>
      <c r="AR77" s="10">
        <v>187146785</v>
      </c>
      <c r="AS77" s="10">
        <v>67597292</v>
      </c>
      <c r="AT77" s="10">
        <v>2787775</v>
      </c>
      <c r="AU77" s="10">
        <v>0</v>
      </c>
      <c r="AV77" s="10">
        <v>0</v>
      </c>
      <c r="AW77" s="10">
        <v>62342816</v>
      </c>
      <c r="AX77" s="10">
        <v>81037</v>
      </c>
      <c r="AY77" s="10">
        <v>1059500</v>
      </c>
      <c r="AZ77" s="1">
        <v>30611853.539999999</v>
      </c>
      <c r="BA77" s="1">
        <v>15612045</v>
      </c>
      <c r="BB77" s="19"/>
      <c r="BC77" s="15">
        <v>1522100</v>
      </c>
      <c r="BD77" s="15">
        <v>2984509</v>
      </c>
      <c r="BE77" s="20">
        <v>37473750</v>
      </c>
      <c r="BF77" s="20">
        <v>37473750</v>
      </c>
      <c r="BG77" s="20">
        <v>92426568</v>
      </c>
      <c r="BH77" s="20">
        <v>88667859</v>
      </c>
      <c r="BI77" s="19"/>
      <c r="BJ77" s="19"/>
      <c r="BK77" s="19"/>
      <c r="BL77" s="5">
        <v>4618339316</v>
      </c>
      <c r="BM77" s="5">
        <v>4081821723</v>
      </c>
      <c r="BN77" s="15">
        <v>3067810</v>
      </c>
      <c r="BO77" s="3"/>
      <c r="BP77" s="1"/>
      <c r="BQ77" s="5"/>
      <c r="BR77" s="5"/>
      <c r="BS77" s="5"/>
    </row>
    <row r="78" spans="1:71" x14ac:dyDescent="0.25">
      <c r="A78" s="6" t="s">
        <v>132</v>
      </c>
      <c r="B78" s="10">
        <v>103465380</v>
      </c>
      <c r="C78" s="10">
        <v>45657115</v>
      </c>
      <c r="D78" s="10">
        <v>33784242</v>
      </c>
      <c r="E78" s="10">
        <v>0</v>
      </c>
      <c r="F78" s="10">
        <v>16055800</v>
      </c>
      <c r="G78" s="10">
        <v>21216980</v>
      </c>
      <c r="H78" s="10">
        <v>8678091</v>
      </c>
      <c r="I78" s="10">
        <v>5960590</v>
      </c>
      <c r="J78" s="10">
        <v>15000</v>
      </c>
      <c r="K78" s="10">
        <v>0</v>
      </c>
      <c r="L78" s="10">
        <v>73123093</v>
      </c>
      <c r="M78" s="10">
        <v>17616750</v>
      </c>
      <c r="N78" s="10">
        <v>835</v>
      </c>
      <c r="O78" s="10">
        <v>991</v>
      </c>
      <c r="P78" s="10">
        <v>652000</v>
      </c>
      <c r="Q78" s="10">
        <v>719350</v>
      </c>
      <c r="R78" s="10">
        <v>1152500</v>
      </c>
      <c r="S78" s="10">
        <v>1596750</v>
      </c>
      <c r="T78" s="10">
        <v>156600</v>
      </c>
      <c r="U78" s="10">
        <v>86000</v>
      </c>
      <c r="V78" s="10">
        <v>652000</v>
      </c>
      <c r="W78" s="10">
        <v>1206000</v>
      </c>
      <c r="X78" s="10">
        <v>1152500</v>
      </c>
      <c r="Y78" s="10">
        <v>1596750</v>
      </c>
      <c r="Z78" s="10">
        <v>174000</v>
      </c>
      <c r="AA78" s="10">
        <v>86000</v>
      </c>
      <c r="AB78" s="10">
        <v>-1258300</v>
      </c>
      <c r="AC78" s="10">
        <v>0</v>
      </c>
      <c r="AD78" s="10">
        <v>148080</v>
      </c>
      <c r="AE78" s="10">
        <v>0</v>
      </c>
      <c r="AF78" s="10">
        <v>0</v>
      </c>
      <c r="AG78" s="10">
        <v>192979</v>
      </c>
      <c r="AH78" s="10">
        <v>10150233</v>
      </c>
      <c r="AI78" s="10">
        <v>32498091</v>
      </c>
      <c r="AJ78" s="10">
        <v>23718616</v>
      </c>
      <c r="AK78" s="1">
        <v>59887590</v>
      </c>
      <c r="AL78" s="1">
        <v>1294284</v>
      </c>
      <c r="AM78" s="10">
        <v>0</v>
      </c>
      <c r="AN78" s="10">
        <v>75222890</v>
      </c>
      <c r="AO78" s="10">
        <v>26811</v>
      </c>
      <c r="AP78" s="10">
        <v>2645611</v>
      </c>
      <c r="AQ78" s="10">
        <v>10617839</v>
      </c>
      <c r="AR78" s="10">
        <v>9441344</v>
      </c>
      <c r="AS78" s="10">
        <v>0</v>
      </c>
      <c r="AT78" s="10">
        <v>3875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">
        <v>4398071.1900000004</v>
      </c>
      <c r="BA78" s="1">
        <v>2243016</v>
      </c>
      <c r="BB78" s="19"/>
      <c r="BC78" s="15">
        <v>0</v>
      </c>
      <c r="BD78" s="15">
        <v>0</v>
      </c>
      <c r="BE78" s="20">
        <v>1837378</v>
      </c>
      <c r="BF78" s="20">
        <v>1814130</v>
      </c>
      <c r="BG78" s="20">
        <v>33845631</v>
      </c>
      <c r="BH78" s="20">
        <v>33845631</v>
      </c>
      <c r="BI78" s="19"/>
      <c r="BJ78" s="19"/>
      <c r="BK78" s="19"/>
      <c r="BL78" s="5">
        <v>434225868</v>
      </c>
      <c r="BM78" s="5">
        <v>335141217</v>
      </c>
      <c r="BN78" s="15">
        <v>274602</v>
      </c>
      <c r="BO78" s="3"/>
      <c r="BP78" s="1"/>
      <c r="BQ78" s="5"/>
      <c r="BR78" s="5"/>
      <c r="BS78" s="5"/>
    </row>
    <row r="79" spans="1:71" x14ac:dyDescent="0.25">
      <c r="A79" s="6" t="s">
        <v>133</v>
      </c>
      <c r="B79" s="10">
        <v>407664290</v>
      </c>
      <c r="C79" s="10">
        <v>174443795</v>
      </c>
      <c r="D79" s="10">
        <v>229973083</v>
      </c>
      <c r="E79" s="10">
        <v>3500000</v>
      </c>
      <c r="F79" s="10">
        <v>36897950</v>
      </c>
      <c r="G79" s="10">
        <v>10245960</v>
      </c>
      <c r="H79" s="10">
        <v>11650800</v>
      </c>
      <c r="I79" s="10">
        <v>1795000</v>
      </c>
      <c r="J79" s="10">
        <v>63700</v>
      </c>
      <c r="K79" s="10">
        <v>33700</v>
      </c>
      <c r="L79" s="10">
        <v>295306762</v>
      </c>
      <c r="M79" s="10">
        <v>103185531</v>
      </c>
      <c r="N79" s="10">
        <v>1484</v>
      </c>
      <c r="O79" s="10">
        <v>406</v>
      </c>
      <c r="P79" s="10">
        <v>6887100</v>
      </c>
      <c r="Q79" s="10">
        <v>1358000</v>
      </c>
      <c r="R79" s="10">
        <v>3378000</v>
      </c>
      <c r="S79" s="10">
        <v>4172849</v>
      </c>
      <c r="T79" s="10">
        <v>1019000</v>
      </c>
      <c r="U79" s="10">
        <v>2502212</v>
      </c>
      <c r="V79" s="10">
        <v>6887100</v>
      </c>
      <c r="W79" s="10">
        <v>1405178</v>
      </c>
      <c r="X79" s="10">
        <v>3378000</v>
      </c>
      <c r="Y79" s="10">
        <v>4172849</v>
      </c>
      <c r="Z79" s="10">
        <v>1536159</v>
      </c>
      <c r="AA79" s="10">
        <v>2502212</v>
      </c>
      <c r="AB79" s="10">
        <v>-1790567</v>
      </c>
      <c r="AC79" s="10">
        <v>-749752</v>
      </c>
      <c r="AD79" s="10">
        <v>56404</v>
      </c>
      <c r="AE79" s="10">
        <v>0</v>
      </c>
      <c r="AF79" s="10">
        <v>0</v>
      </c>
      <c r="AG79" s="10">
        <v>205309</v>
      </c>
      <c r="AH79" s="3"/>
      <c r="AI79" s="10">
        <v>282347</v>
      </c>
      <c r="AJ79" s="3"/>
      <c r="AK79" s="1">
        <v>87392396</v>
      </c>
      <c r="AL79" s="1">
        <v>1722027</v>
      </c>
      <c r="AM79" s="10">
        <v>0</v>
      </c>
      <c r="AN79" s="10">
        <v>35038391</v>
      </c>
      <c r="AO79" s="10">
        <v>4916662</v>
      </c>
      <c r="AP79" s="10">
        <v>237226185</v>
      </c>
      <c r="AQ79" s="10">
        <v>28002734</v>
      </c>
      <c r="AR79" s="10">
        <v>57519761</v>
      </c>
      <c r="AS79" s="10">
        <v>1744537</v>
      </c>
      <c r="AT79" s="10">
        <v>252853</v>
      </c>
      <c r="AU79" s="10">
        <v>0</v>
      </c>
      <c r="AV79" s="10">
        <v>36222</v>
      </c>
      <c r="AW79" s="10">
        <v>54311</v>
      </c>
      <c r="AX79" s="10">
        <v>0</v>
      </c>
      <c r="AY79" s="10">
        <v>0</v>
      </c>
      <c r="AZ79" s="1">
        <v>6823132.54</v>
      </c>
      <c r="BA79" s="1">
        <v>3479798</v>
      </c>
      <c r="BB79" s="19"/>
      <c r="BC79" s="15">
        <v>0</v>
      </c>
      <c r="BD79" s="15">
        <v>0</v>
      </c>
      <c r="BE79" s="20">
        <v>8856822</v>
      </c>
      <c r="BF79" s="20">
        <v>8856822</v>
      </c>
      <c r="BG79" s="20">
        <v>24690609</v>
      </c>
      <c r="BH79" s="20">
        <v>24690609</v>
      </c>
      <c r="BI79" s="19">
        <v>47916277</v>
      </c>
      <c r="BJ79" s="19"/>
      <c r="BK79" s="19"/>
      <c r="BL79" s="5">
        <v>1054379231</v>
      </c>
      <c r="BM79" s="5">
        <v>880321302</v>
      </c>
      <c r="BN79" s="15">
        <v>675000</v>
      </c>
      <c r="BO79" s="3"/>
      <c r="BP79" s="1"/>
      <c r="BQ79" s="5"/>
      <c r="BR79" s="5"/>
      <c r="BS79" s="5"/>
    </row>
    <row r="80" spans="1:71" x14ac:dyDescent="0.25">
      <c r="A80" s="6" t="s">
        <v>134</v>
      </c>
      <c r="B80" s="10">
        <v>1065179084</v>
      </c>
      <c r="C80" s="10">
        <v>169230228</v>
      </c>
      <c r="D80" s="10">
        <v>303415868</v>
      </c>
      <c r="E80" s="10">
        <v>0</v>
      </c>
      <c r="F80" s="10">
        <v>94830074</v>
      </c>
      <c r="G80" s="10">
        <v>16508450</v>
      </c>
      <c r="H80" s="10">
        <v>18131615</v>
      </c>
      <c r="I80" s="10">
        <v>2048909</v>
      </c>
      <c r="J80" s="10">
        <v>461200</v>
      </c>
      <c r="K80" s="10">
        <v>0</v>
      </c>
      <c r="L80" s="10">
        <v>182784930</v>
      </c>
      <c r="M80" s="10">
        <v>140954255</v>
      </c>
      <c r="N80" s="10">
        <v>3509</v>
      </c>
      <c r="O80" s="10">
        <v>612</v>
      </c>
      <c r="P80" s="10">
        <v>25659689</v>
      </c>
      <c r="Q80" s="10">
        <v>22964989</v>
      </c>
      <c r="R80" s="10">
        <v>5454200</v>
      </c>
      <c r="S80" s="10">
        <v>29500478</v>
      </c>
      <c r="T80" s="10">
        <v>1134819</v>
      </c>
      <c r="U80" s="10">
        <v>2062238</v>
      </c>
      <c r="V80" s="10">
        <v>25659689</v>
      </c>
      <c r="W80" s="10">
        <v>29286457</v>
      </c>
      <c r="X80" s="10">
        <v>5454200</v>
      </c>
      <c r="Y80" s="10">
        <v>31066178</v>
      </c>
      <c r="Z80" s="10">
        <v>1687831</v>
      </c>
      <c r="AA80" s="10">
        <v>2062238</v>
      </c>
      <c r="AB80" s="10">
        <v>-8138107</v>
      </c>
      <c r="AC80" s="10">
        <v>-2930953</v>
      </c>
      <c r="AD80" s="10">
        <v>0</v>
      </c>
      <c r="AE80" s="10">
        <v>0</v>
      </c>
      <c r="AF80" s="10">
        <v>0</v>
      </c>
      <c r="AG80" s="10">
        <v>5600</v>
      </c>
      <c r="AH80" s="3"/>
      <c r="AI80" s="3"/>
      <c r="AJ80" s="3"/>
      <c r="AK80" s="1">
        <v>193042927</v>
      </c>
      <c r="AL80" s="1">
        <v>21790904</v>
      </c>
      <c r="AM80" s="10">
        <v>4343945</v>
      </c>
      <c r="AN80" s="10">
        <v>73433069</v>
      </c>
      <c r="AO80" s="10">
        <v>37848791</v>
      </c>
      <c r="AP80" s="10">
        <v>760475840</v>
      </c>
      <c r="AQ80" s="10">
        <v>55393480</v>
      </c>
      <c r="AR80" s="10">
        <v>185059072</v>
      </c>
      <c r="AS80" s="10">
        <v>97149706</v>
      </c>
      <c r="AT80" s="10">
        <v>247543</v>
      </c>
      <c r="AU80" s="3"/>
      <c r="AV80" s="3"/>
      <c r="AW80" s="10">
        <v>75841</v>
      </c>
      <c r="AX80" s="3"/>
      <c r="AY80" s="10">
        <v>46200</v>
      </c>
      <c r="AZ80" s="1">
        <v>15017040.57</v>
      </c>
      <c r="BA80" s="1">
        <v>7658691</v>
      </c>
      <c r="BB80" s="19">
        <v>14086643.24</v>
      </c>
      <c r="BC80" s="15">
        <v>920087</v>
      </c>
      <c r="BD80" s="15">
        <v>1804091</v>
      </c>
      <c r="BE80" s="20">
        <v>13906407</v>
      </c>
      <c r="BF80" s="20">
        <v>11545991</v>
      </c>
      <c r="BG80" s="20">
        <v>62410603</v>
      </c>
      <c r="BH80" s="20">
        <v>61257093</v>
      </c>
      <c r="BI80" s="19"/>
      <c r="BJ80" s="19">
        <v>2837320</v>
      </c>
      <c r="BK80" s="19"/>
      <c r="BL80" s="5">
        <v>2003553533</v>
      </c>
      <c r="BM80" s="5">
        <v>1704500520</v>
      </c>
      <c r="BN80" s="15">
        <v>2003821</v>
      </c>
      <c r="BO80" s="3"/>
      <c r="BP80" s="1"/>
      <c r="BQ80" s="5"/>
      <c r="BR80" s="5"/>
      <c r="BS80" s="5"/>
    </row>
    <row r="81" spans="1:71" x14ac:dyDescent="0.25">
      <c r="A81" s="6" t="s">
        <v>135</v>
      </c>
      <c r="B81" s="10">
        <v>91062391</v>
      </c>
      <c r="C81" s="10">
        <v>35790714</v>
      </c>
      <c r="D81" s="10">
        <v>63694959</v>
      </c>
      <c r="E81" s="10">
        <v>0</v>
      </c>
      <c r="F81" s="10">
        <v>11616525</v>
      </c>
      <c r="G81" s="10">
        <v>23488300</v>
      </c>
      <c r="H81" s="10">
        <v>6103462</v>
      </c>
      <c r="I81" s="10">
        <v>5059000</v>
      </c>
      <c r="J81" s="10">
        <v>67400</v>
      </c>
      <c r="K81" s="10">
        <v>0</v>
      </c>
      <c r="L81" s="10">
        <v>14659437</v>
      </c>
      <c r="M81" s="10">
        <v>3650</v>
      </c>
      <c r="N81" s="10">
        <v>702</v>
      </c>
      <c r="O81" s="10">
        <v>1271</v>
      </c>
      <c r="P81" s="10">
        <v>3238250</v>
      </c>
      <c r="Q81" s="10">
        <v>44600</v>
      </c>
      <c r="R81" s="10">
        <v>6421100</v>
      </c>
      <c r="S81" s="10">
        <v>1748500</v>
      </c>
      <c r="T81" s="10">
        <v>229000</v>
      </c>
      <c r="U81" s="10">
        <v>106000</v>
      </c>
      <c r="V81" s="10">
        <v>3238250</v>
      </c>
      <c r="W81" s="10">
        <v>31500</v>
      </c>
      <c r="X81" s="10">
        <v>6421100</v>
      </c>
      <c r="Y81" s="10">
        <v>1748500</v>
      </c>
      <c r="Z81" s="10">
        <v>374350</v>
      </c>
      <c r="AA81" s="10">
        <v>106000</v>
      </c>
      <c r="AB81" s="10">
        <v>-1845200</v>
      </c>
      <c r="AC81" s="10">
        <v>-88184</v>
      </c>
      <c r="AD81" s="10">
        <v>0</v>
      </c>
      <c r="AE81" s="10">
        <v>0</v>
      </c>
      <c r="AF81" s="10">
        <v>0</v>
      </c>
      <c r="AG81" s="10">
        <v>0</v>
      </c>
      <c r="AH81" s="10">
        <v>3038287</v>
      </c>
      <c r="AI81" s="10">
        <v>188231396</v>
      </c>
      <c r="AJ81" s="10">
        <v>98716896</v>
      </c>
      <c r="AK81" s="1">
        <v>65296233</v>
      </c>
      <c r="AL81" s="1">
        <v>2385183</v>
      </c>
      <c r="AM81" s="3"/>
      <c r="AN81" s="10">
        <v>113652322</v>
      </c>
      <c r="AO81" s="10">
        <v>7278141</v>
      </c>
      <c r="AP81" s="10">
        <v>32363708</v>
      </c>
      <c r="AQ81" s="10">
        <v>9258269</v>
      </c>
      <c r="AR81" s="10">
        <v>9528380</v>
      </c>
      <c r="AS81" s="10">
        <v>1233287</v>
      </c>
      <c r="AT81" s="10">
        <v>152958</v>
      </c>
      <c r="AU81" s="3"/>
      <c r="AV81" s="3"/>
      <c r="AW81" s="3"/>
      <c r="AX81" s="3"/>
      <c r="AY81" s="10">
        <v>6049244</v>
      </c>
      <c r="AZ81" s="1">
        <v>4684338.95</v>
      </c>
      <c r="BA81" s="1">
        <v>2389013</v>
      </c>
      <c r="BB81" s="19"/>
      <c r="BC81" s="15">
        <v>2151524</v>
      </c>
      <c r="BD81" s="15">
        <v>4218674</v>
      </c>
      <c r="BE81" s="20">
        <v>8616112</v>
      </c>
      <c r="BF81" s="20">
        <v>8616112</v>
      </c>
      <c r="BG81" s="20">
        <v>35357324</v>
      </c>
      <c r="BH81" s="20">
        <v>31643139</v>
      </c>
      <c r="BI81" s="19"/>
      <c r="BJ81" s="19"/>
      <c r="BK81" s="19"/>
      <c r="BL81" s="5">
        <v>723204579</v>
      </c>
      <c r="BM81" s="5">
        <v>610723375</v>
      </c>
      <c r="BN81" s="15">
        <v>1282530</v>
      </c>
      <c r="BO81" s="3"/>
      <c r="BP81" s="1"/>
      <c r="BQ81" s="5"/>
      <c r="BR81" s="5"/>
      <c r="BS81" s="5"/>
    </row>
    <row r="82" spans="1:71" x14ac:dyDescent="0.25">
      <c r="A82" s="6" t="s">
        <v>136</v>
      </c>
      <c r="B82" s="10">
        <v>382603596</v>
      </c>
      <c r="C82" s="10">
        <v>100437696</v>
      </c>
      <c r="D82" s="10">
        <v>231648814</v>
      </c>
      <c r="E82" s="10">
        <v>20868446</v>
      </c>
      <c r="F82" s="10">
        <v>37083687</v>
      </c>
      <c r="G82" s="10">
        <v>5281488</v>
      </c>
      <c r="H82" s="10">
        <v>5618947</v>
      </c>
      <c r="I82" s="10">
        <v>794301</v>
      </c>
      <c r="J82" s="10">
        <v>33700</v>
      </c>
      <c r="K82" s="10">
        <v>0</v>
      </c>
      <c r="L82" s="10">
        <v>213668519</v>
      </c>
      <c r="M82" s="10">
        <v>62121270</v>
      </c>
      <c r="N82" s="10">
        <v>1352</v>
      </c>
      <c r="O82" s="10">
        <v>205</v>
      </c>
      <c r="P82" s="10">
        <v>2632964</v>
      </c>
      <c r="Q82" s="10">
        <v>1639865</v>
      </c>
      <c r="R82" s="10">
        <v>4667365</v>
      </c>
      <c r="S82" s="10">
        <v>2505813</v>
      </c>
      <c r="T82" s="10">
        <v>119703</v>
      </c>
      <c r="U82" s="10">
        <v>625215</v>
      </c>
      <c r="V82" s="10">
        <v>2632964</v>
      </c>
      <c r="W82" s="10">
        <v>1814968</v>
      </c>
      <c r="X82" s="10">
        <v>4667365</v>
      </c>
      <c r="Y82" s="10">
        <v>2505813</v>
      </c>
      <c r="Z82" s="10">
        <v>143703</v>
      </c>
      <c r="AA82" s="10">
        <v>625215</v>
      </c>
      <c r="AB82" s="10">
        <v>-3323585</v>
      </c>
      <c r="AC82" s="10">
        <v>-17594277</v>
      </c>
      <c r="AD82" s="3"/>
      <c r="AE82" s="3"/>
      <c r="AF82" s="3"/>
      <c r="AG82" s="10">
        <v>137401</v>
      </c>
      <c r="AH82" s="3"/>
      <c r="AI82" s="10">
        <v>2239097</v>
      </c>
      <c r="AJ82" s="3"/>
      <c r="AK82" s="1">
        <v>86452294</v>
      </c>
      <c r="AL82" s="1">
        <v>1856920</v>
      </c>
      <c r="AM82" s="10">
        <v>0</v>
      </c>
      <c r="AN82" s="10">
        <v>75342039</v>
      </c>
      <c r="AO82" s="10">
        <v>9722625</v>
      </c>
      <c r="AP82" s="10">
        <v>195923738</v>
      </c>
      <c r="AQ82" s="10">
        <v>36067886</v>
      </c>
      <c r="AR82" s="10">
        <v>45308041</v>
      </c>
      <c r="AS82" s="10">
        <v>75032388</v>
      </c>
      <c r="AT82" s="10">
        <v>0</v>
      </c>
      <c r="AU82" s="10">
        <v>0</v>
      </c>
      <c r="AV82" s="10">
        <v>44359</v>
      </c>
      <c r="AW82" s="10">
        <v>21554071</v>
      </c>
      <c r="AX82" s="10">
        <v>0</v>
      </c>
      <c r="AY82" s="10">
        <v>398650</v>
      </c>
      <c r="AZ82" s="1">
        <v>6780755.71</v>
      </c>
      <c r="BA82" s="1">
        <v>3458185</v>
      </c>
      <c r="BB82" s="19">
        <v>15882391.029999999</v>
      </c>
      <c r="BC82" s="15">
        <v>2674406</v>
      </c>
      <c r="BD82" s="15">
        <v>5243933</v>
      </c>
      <c r="BE82" s="20">
        <v>176657884</v>
      </c>
      <c r="BF82" s="20">
        <v>176657884</v>
      </c>
      <c r="BG82" s="20">
        <v>96341586</v>
      </c>
      <c r="BH82" s="20">
        <v>92008957</v>
      </c>
      <c r="BI82" s="19"/>
      <c r="BJ82" s="19"/>
      <c r="BK82" s="19"/>
      <c r="BL82" s="5">
        <v>1201170399</v>
      </c>
      <c r="BM82" s="5">
        <v>838061753</v>
      </c>
      <c r="BN82" s="15">
        <v>496424</v>
      </c>
      <c r="BO82" s="3"/>
      <c r="BP82" s="1"/>
      <c r="BQ82" s="5"/>
      <c r="BR82" s="5"/>
      <c r="BS82" s="5"/>
    </row>
    <row r="83" spans="1:71" x14ac:dyDescent="0.25">
      <c r="A83" s="6" t="s">
        <v>137</v>
      </c>
      <c r="B83" s="10">
        <v>724266950</v>
      </c>
      <c r="C83" s="10">
        <v>137952950</v>
      </c>
      <c r="D83" s="10">
        <v>89436400</v>
      </c>
      <c r="E83" s="10">
        <v>0</v>
      </c>
      <c r="F83" s="10">
        <v>42683200</v>
      </c>
      <c r="G83" s="10">
        <v>11258350</v>
      </c>
      <c r="H83" s="10">
        <v>11818000</v>
      </c>
      <c r="I83" s="10">
        <v>1289000</v>
      </c>
      <c r="J83" s="10">
        <v>134800</v>
      </c>
      <c r="K83" s="10">
        <v>0</v>
      </c>
      <c r="L83" s="10">
        <v>324312878</v>
      </c>
      <c r="M83" s="10">
        <v>475309800</v>
      </c>
      <c r="N83" s="10">
        <v>1807</v>
      </c>
      <c r="O83" s="10">
        <v>445</v>
      </c>
      <c r="P83" s="10">
        <v>19157850</v>
      </c>
      <c r="Q83" s="10">
        <v>1759200</v>
      </c>
      <c r="R83" s="10">
        <v>2832300</v>
      </c>
      <c r="S83" s="10">
        <v>338200</v>
      </c>
      <c r="T83" s="10">
        <v>120500</v>
      </c>
      <c r="U83" s="10">
        <v>124000</v>
      </c>
      <c r="V83" s="10">
        <v>19157850</v>
      </c>
      <c r="W83" s="10">
        <v>1759200</v>
      </c>
      <c r="X83" s="10">
        <v>2832300</v>
      </c>
      <c r="Y83" s="10">
        <v>338200</v>
      </c>
      <c r="Z83" s="10">
        <v>120500</v>
      </c>
      <c r="AA83" s="10">
        <v>124000</v>
      </c>
      <c r="AB83" s="10">
        <v>-3460350</v>
      </c>
      <c r="AC83" s="10">
        <v>0</v>
      </c>
      <c r="AD83" s="10">
        <v>58287</v>
      </c>
      <c r="AE83" s="10">
        <v>0</v>
      </c>
      <c r="AF83" s="10">
        <v>0</v>
      </c>
      <c r="AG83" s="10">
        <v>149869</v>
      </c>
      <c r="AH83" s="3"/>
      <c r="AI83" s="10">
        <v>26961528</v>
      </c>
      <c r="AJ83" s="3"/>
      <c r="AK83" s="1">
        <v>135445726</v>
      </c>
      <c r="AL83" s="1">
        <v>6131827</v>
      </c>
      <c r="AM83" s="10">
        <v>0</v>
      </c>
      <c r="AN83" s="10">
        <v>34968719</v>
      </c>
      <c r="AO83" s="10">
        <v>267653</v>
      </c>
      <c r="AP83" s="10">
        <v>70622786</v>
      </c>
      <c r="AQ83" s="10">
        <v>16617376</v>
      </c>
      <c r="AR83" s="10">
        <v>20786970</v>
      </c>
      <c r="AS83" s="10">
        <v>25785258</v>
      </c>
      <c r="AT83" s="10">
        <v>0</v>
      </c>
      <c r="AU83" s="10">
        <v>0</v>
      </c>
      <c r="AV83" s="10">
        <v>0</v>
      </c>
      <c r="AW83" s="10">
        <v>348343</v>
      </c>
      <c r="AX83" s="10">
        <v>2212</v>
      </c>
      <c r="AY83" s="10">
        <v>0</v>
      </c>
      <c r="AZ83" s="1">
        <v>10432523.42</v>
      </c>
      <c r="BA83" s="1">
        <v>5320587</v>
      </c>
      <c r="BB83" s="19">
        <v>45492275.719999999</v>
      </c>
      <c r="BC83" s="15">
        <v>1422798</v>
      </c>
      <c r="BD83" s="15">
        <v>2789801</v>
      </c>
      <c r="BE83" s="20">
        <v>12954970</v>
      </c>
      <c r="BF83" s="20">
        <v>12682605</v>
      </c>
      <c r="BG83" s="20">
        <v>59412541</v>
      </c>
      <c r="BH83" s="20">
        <v>57771023</v>
      </c>
      <c r="BI83" s="19"/>
      <c r="BJ83" s="19"/>
      <c r="BK83" s="19"/>
      <c r="BL83" s="5">
        <v>1249246142</v>
      </c>
      <c r="BM83" s="5">
        <v>1030471576</v>
      </c>
      <c r="BN83" s="15">
        <v>3199950</v>
      </c>
      <c r="BO83" s="3"/>
      <c r="BP83" s="1"/>
      <c r="BQ83" s="5"/>
      <c r="BR83" s="5"/>
      <c r="BS83" s="5"/>
    </row>
    <row r="84" spans="1:71" x14ac:dyDescent="0.25">
      <c r="A84" s="6" t="s">
        <v>138</v>
      </c>
      <c r="B84" s="10">
        <v>91426253</v>
      </c>
      <c r="C84" s="10">
        <v>31898461</v>
      </c>
      <c r="D84" s="10">
        <v>8679843</v>
      </c>
      <c r="E84" s="10">
        <v>0</v>
      </c>
      <c r="F84" s="10">
        <v>9411775</v>
      </c>
      <c r="G84" s="10">
        <v>8087095</v>
      </c>
      <c r="H84" s="10">
        <v>5512225</v>
      </c>
      <c r="I84" s="10">
        <v>1283270</v>
      </c>
      <c r="J84" s="10">
        <v>0</v>
      </c>
      <c r="K84" s="10">
        <v>0</v>
      </c>
      <c r="L84" s="10">
        <v>22845425</v>
      </c>
      <c r="M84" s="10">
        <v>0</v>
      </c>
      <c r="N84" s="10">
        <v>528</v>
      </c>
      <c r="O84" s="10">
        <v>354</v>
      </c>
      <c r="P84" s="10">
        <v>750500</v>
      </c>
      <c r="Q84" s="10">
        <v>1400</v>
      </c>
      <c r="R84" s="10">
        <v>0</v>
      </c>
      <c r="S84" s="10">
        <v>895090</v>
      </c>
      <c r="T84" s="10">
        <v>105870</v>
      </c>
      <c r="U84" s="10">
        <v>161700</v>
      </c>
      <c r="V84" s="10">
        <v>750500</v>
      </c>
      <c r="W84" s="10">
        <v>27700</v>
      </c>
      <c r="X84" s="10">
        <v>0</v>
      </c>
      <c r="Y84" s="10">
        <v>895090</v>
      </c>
      <c r="Z84" s="10">
        <v>234160</v>
      </c>
      <c r="AA84" s="10">
        <v>161700</v>
      </c>
      <c r="AB84" s="10">
        <v>-2168468</v>
      </c>
      <c r="AC84" s="10">
        <v>-4255348</v>
      </c>
      <c r="AD84" s="10">
        <v>66390</v>
      </c>
      <c r="AE84" s="10">
        <v>0</v>
      </c>
      <c r="AF84" s="10">
        <v>0</v>
      </c>
      <c r="AG84" s="10">
        <v>76881</v>
      </c>
      <c r="AH84" s="3"/>
      <c r="AI84" s="10">
        <v>361677</v>
      </c>
      <c r="AJ84" s="3"/>
      <c r="AK84" s="1">
        <v>23589431</v>
      </c>
      <c r="AL84" s="1">
        <v>1266242</v>
      </c>
      <c r="AM84" s="3"/>
      <c r="AN84" s="10">
        <v>2936490</v>
      </c>
      <c r="AO84" s="10">
        <v>40594</v>
      </c>
      <c r="AP84" s="10">
        <v>4798100</v>
      </c>
      <c r="AQ84" s="10">
        <v>3569616</v>
      </c>
      <c r="AR84" s="10">
        <v>1922674</v>
      </c>
      <c r="AS84" s="3"/>
      <c r="AT84" s="10">
        <v>28922</v>
      </c>
      <c r="AU84" s="3"/>
      <c r="AV84" s="3"/>
      <c r="AW84" s="3"/>
      <c r="AX84" s="3"/>
      <c r="AY84" s="3"/>
      <c r="AZ84" s="1">
        <v>1767557.3</v>
      </c>
      <c r="BA84" s="1">
        <v>901454</v>
      </c>
      <c r="BB84" s="19"/>
      <c r="BC84" s="15">
        <v>0</v>
      </c>
      <c r="BD84" s="15">
        <v>0</v>
      </c>
      <c r="BE84" s="20">
        <v>3584523</v>
      </c>
      <c r="BF84" s="20">
        <v>3584523</v>
      </c>
      <c r="BG84" s="20">
        <v>14789466</v>
      </c>
      <c r="BH84" s="20">
        <v>14789466</v>
      </c>
      <c r="BI84" s="19"/>
      <c r="BJ84" s="19"/>
      <c r="BK84" s="19"/>
      <c r="BL84" s="5">
        <v>183044050</v>
      </c>
      <c r="BM84" s="5">
        <v>138912934</v>
      </c>
      <c r="BN84" s="15">
        <v>231846</v>
      </c>
      <c r="BO84" s="3"/>
      <c r="BP84" s="1"/>
      <c r="BQ84" s="5"/>
      <c r="BR84" s="5"/>
      <c r="BS84" s="5"/>
    </row>
    <row r="85" spans="1:71" x14ac:dyDescent="0.25">
      <c r="A85" s="6" t="s">
        <v>139</v>
      </c>
      <c r="B85" s="10">
        <v>732970646</v>
      </c>
      <c r="C85" s="10">
        <v>222761957</v>
      </c>
      <c r="D85" s="10">
        <v>165364662</v>
      </c>
      <c r="E85" s="10">
        <v>0</v>
      </c>
      <c r="F85" s="10">
        <v>55140697</v>
      </c>
      <c r="G85" s="10">
        <v>8871804</v>
      </c>
      <c r="H85" s="10">
        <v>13587653</v>
      </c>
      <c r="I85" s="10">
        <v>1904742</v>
      </c>
      <c r="J85" s="10">
        <v>67400</v>
      </c>
      <c r="K85" s="10">
        <v>0</v>
      </c>
      <c r="L85" s="10">
        <v>333991767</v>
      </c>
      <c r="M85" s="10">
        <v>173243875</v>
      </c>
      <c r="N85" s="10">
        <v>2078</v>
      </c>
      <c r="O85" s="10">
        <v>328</v>
      </c>
      <c r="P85" s="10">
        <v>8365153</v>
      </c>
      <c r="Q85" s="10">
        <v>4708400</v>
      </c>
      <c r="R85" s="10">
        <v>4389220</v>
      </c>
      <c r="S85" s="10">
        <v>15483178</v>
      </c>
      <c r="T85" s="10">
        <v>1059186</v>
      </c>
      <c r="U85" s="10">
        <v>1657469</v>
      </c>
      <c r="V85" s="10">
        <v>8369753</v>
      </c>
      <c r="W85" s="10">
        <v>4804727</v>
      </c>
      <c r="X85" s="10">
        <v>4389220</v>
      </c>
      <c r="Y85" s="10">
        <v>15719455</v>
      </c>
      <c r="Z85" s="10">
        <v>627017</v>
      </c>
      <c r="AA85" s="10">
        <v>1657469</v>
      </c>
      <c r="AB85" s="10">
        <v>-3291156</v>
      </c>
      <c r="AC85" s="10">
        <v>-148706</v>
      </c>
      <c r="AD85" s="10">
        <v>3439</v>
      </c>
      <c r="AE85" s="10">
        <v>0</v>
      </c>
      <c r="AF85" s="10">
        <v>0</v>
      </c>
      <c r="AG85" s="10">
        <v>139206</v>
      </c>
      <c r="AH85" s="3"/>
      <c r="AI85" s="10">
        <v>88089</v>
      </c>
      <c r="AJ85" s="3"/>
      <c r="AK85" s="1">
        <v>121905716</v>
      </c>
      <c r="AL85" s="1">
        <v>5941777</v>
      </c>
      <c r="AM85" s="10">
        <v>847370</v>
      </c>
      <c r="AN85" s="10">
        <v>34003276</v>
      </c>
      <c r="AO85" s="10">
        <v>9220628</v>
      </c>
      <c r="AP85" s="10">
        <v>230271405</v>
      </c>
      <c r="AQ85" s="10">
        <v>29676061</v>
      </c>
      <c r="AR85" s="10">
        <v>16937220</v>
      </c>
      <c r="AS85" s="10">
        <v>1648352</v>
      </c>
      <c r="AT85" s="10">
        <v>56719</v>
      </c>
      <c r="AU85" s="3"/>
      <c r="AV85" s="3"/>
      <c r="AW85" s="10">
        <v>36302</v>
      </c>
      <c r="AX85" s="10">
        <v>189345</v>
      </c>
      <c r="AY85" s="10">
        <v>28000</v>
      </c>
      <c r="AZ85" s="1">
        <v>9325685.5800000001</v>
      </c>
      <c r="BA85" s="1">
        <v>4756100</v>
      </c>
      <c r="BB85" s="19"/>
      <c r="BC85" s="15">
        <v>1778627</v>
      </c>
      <c r="BD85" s="15">
        <v>3487505</v>
      </c>
      <c r="BE85" s="20">
        <v>37165082</v>
      </c>
      <c r="BF85" s="20">
        <v>37165082</v>
      </c>
      <c r="BG85" s="20">
        <v>60616441</v>
      </c>
      <c r="BH85" s="20">
        <v>55085717</v>
      </c>
      <c r="BI85" s="19"/>
      <c r="BJ85" s="19"/>
      <c r="BK85" s="19"/>
      <c r="BL85" s="5">
        <v>1420718338</v>
      </c>
      <c r="BM85" s="5">
        <v>1194085319</v>
      </c>
      <c r="BN85" s="15">
        <v>774423</v>
      </c>
      <c r="BO85" s="3"/>
      <c r="BP85" s="1"/>
      <c r="BQ85" s="5"/>
      <c r="BR85" s="5"/>
      <c r="BS85" s="5"/>
    </row>
    <row r="86" spans="1:71" x14ac:dyDescent="0.25">
      <c r="A86" s="6" t="s">
        <v>140</v>
      </c>
      <c r="B86" s="10">
        <v>105083542</v>
      </c>
      <c r="C86" s="10">
        <v>106069918</v>
      </c>
      <c r="D86" s="10">
        <v>46512828</v>
      </c>
      <c r="E86" s="10">
        <v>0</v>
      </c>
      <c r="F86" s="10">
        <v>17061100</v>
      </c>
      <c r="G86" s="10">
        <v>5610556</v>
      </c>
      <c r="H86" s="10">
        <v>13256300</v>
      </c>
      <c r="I86" s="10">
        <v>1720247</v>
      </c>
      <c r="J86" s="10">
        <v>70400</v>
      </c>
      <c r="K86" s="10">
        <v>0</v>
      </c>
      <c r="L86" s="10">
        <v>140787028</v>
      </c>
      <c r="M86" s="10">
        <v>0</v>
      </c>
      <c r="N86" s="10">
        <v>993</v>
      </c>
      <c r="O86" s="10">
        <v>281</v>
      </c>
      <c r="P86" s="10">
        <v>2433208</v>
      </c>
      <c r="Q86" s="10">
        <v>3464958</v>
      </c>
      <c r="R86" s="10">
        <v>2038190</v>
      </c>
      <c r="S86" s="10">
        <v>1110158</v>
      </c>
      <c r="T86" s="10">
        <v>1668474</v>
      </c>
      <c r="U86" s="10">
        <v>1725500</v>
      </c>
      <c r="V86" s="10">
        <v>2433208</v>
      </c>
      <c r="W86" s="10">
        <v>3213003</v>
      </c>
      <c r="X86" s="10">
        <v>2038190</v>
      </c>
      <c r="Y86" s="10">
        <v>1110158</v>
      </c>
      <c r="Z86" s="10">
        <v>732902</v>
      </c>
      <c r="AA86" s="10">
        <v>1725500</v>
      </c>
      <c r="AB86" s="10">
        <v>-1503800</v>
      </c>
      <c r="AC86" s="10">
        <v>-28828</v>
      </c>
      <c r="AD86" s="10">
        <v>38</v>
      </c>
      <c r="AE86" s="10">
        <v>0</v>
      </c>
      <c r="AF86" s="10">
        <v>0</v>
      </c>
      <c r="AG86" s="10">
        <v>0</v>
      </c>
      <c r="AH86" s="10">
        <v>2574744</v>
      </c>
      <c r="AI86" s="3"/>
      <c r="AJ86" s="3"/>
      <c r="AK86" s="1">
        <v>43756137</v>
      </c>
      <c r="AL86" s="1">
        <v>928163</v>
      </c>
      <c r="AM86" s="3"/>
      <c r="AN86" s="10">
        <v>9208811</v>
      </c>
      <c r="AO86" s="10">
        <v>1640426</v>
      </c>
      <c r="AP86" s="10">
        <v>76450050</v>
      </c>
      <c r="AQ86" s="10">
        <v>8582349</v>
      </c>
      <c r="AR86" s="10">
        <v>14522913</v>
      </c>
      <c r="AS86" s="10">
        <v>4215643</v>
      </c>
      <c r="AT86" s="10">
        <v>281403</v>
      </c>
      <c r="AU86" s="3"/>
      <c r="AV86" s="3"/>
      <c r="AW86" s="3"/>
      <c r="AX86" s="3"/>
      <c r="AY86" s="10">
        <v>15000</v>
      </c>
      <c r="AZ86" s="1">
        <v>3342513.98</v>
      </c>
      <c r="BA86" s="1">
        <v>1704682</v>
      </c>
      <c r="BB86" s="19"/>
      <c r="BC86" s="15">
        <v>0</v>
      </c>
      <c r="BD86" s="15">
        <v>0</v>
      </c>
      <c r="BE86" s="20">
        <v>14049662</v>
      </c>
      <c r="BF86" s="20">
        <v>14049662</v>
      </c>
      <c r="BG86" s="20">
        <v>35074249</v>
      </c>
      <c r="BH86" s="20">
        <v>35074249</v>
      </c>
      <c r="BI86" s="19"/>
      <c r="BJ86" s="19"/>
      <c r="BK86" s="19"/>
      <c r="BL86" s="5">
        <v>375185511</v>
      </c>
      <c r="BM86" s="5">
        <v>279672618</v>
      </c>
      <c r="BN86" s="15">
        <v>555398</v>
      </c>
      <c r="BO86" s="3"/>
      <c r="BP86" s="1"/>
      <c r="BQ86" s="5"/>
      <c r="BR86" s="5"/>
      <c r="BS86" s="5"/>
    </row>
    <row r="87" spans="1:71" x14ac:dyDescent="0.25">
      <c r="A87" s="6" t="s">
        <v>141</v>
      </c>
      <c r="B87" s="10">
        <v>136553351</v>
      </c>
      <c r="C87" s="10">
        <v>89763100</v>
      </c>
      <c r="D87" s="10">
        <v>43875917</v>
      </c>
      <c r="E87" s="10">
        <v>0</v>
      </c>
      <c r="F87" s="10">
        <v>26066900</v>
      </c>
      <c r="G87" s="10">
        <v>7598008</v>
      </c>
      <c r="H87" s="10">
        <v>10601200</v>
      </c>
      <c r="I87" s="10">
        <v>876100</v>
      </c>
      <c r="J87" s="10">
        <v>31400</v>
      </c>
      <c r="K87" s="10">
        <v>0</v>
      </c>
      <c r="L87" s="10">
        <v>208801626</v>
      </c>
      <c r="M87" s="10">
        <v>298564726</v>
      </c>
      <c r="N87" s="10">
        <v>1178</v>
      </c>
      <c r="O87" s="10">
        <v>303</v>
      </c>
      <c r="P87" s="10">
        <v>1235500</v>
      </c>
      <c r="Q87" s="10">
        <v>1014000</v>
      </c>
      <c r="R87" s="10">
        <v>35000</v>
      </c>
      <c r="S87" s="10">
        <v>158000</v>
      </c>
      <c r="T87" s="10">
        <v>196000</v>
      </c>
      <c r="U87" s="10">
        <v>73050</v>
      </c>
      <c r="V87" s="10">
        <v>1235500</v>
      </c>
      <c r="W87" s="10">
        <v>1218450</v>
      </c>
      <c r="X87" s="10">
        <v>35000</v>
      </c>
      <c r="Y87" s="10">
        <v>158000</v>
      </c>
      <c r="Z87" s="10">
        <v>110000</v>
      </c>
      <c r="AA87" s="10">
        <v>73050</v>
      </c>
      <c r="AB87" s="10">
        <v>-537000</v>
      </c>
      <c r="AC87" s="10">
        <v>-29956</v>
      </c>
      <c r="AD87" s="10">
        <v>87889</v>
      </c>
      <c r="AE87" s="10">
        <v>0</v>
      </c>
      <c r="AF87" s="10">
        <v>0</v>
      </c>
      <c r="AG87" s="10">
        <v>0</v>
      </c>
      <c r="AH87" s="10">
        <v>97327</v>
      </c>
      <c r="AI87" s="10">
        <v>64411</v>
      </c>
      <c r="AJ87" s="3"/>
      <c r="AK87" s="1">
        <v>50513818</v>
      </c>
      <c r="AL87" s="1">
        <v>1055165</v>
      </c>
      <c r="AM87" s="10">
        <v>0</v>
      </c>
      <c r="AN87" s="10">
        <v>11162613</v>
      </c>
      <c r="AO87" s="10">
        <v>125406</v>
      </c>
      <c r="AP87" s="10">
        <v>15686339</v>
      </c>
      <c r="AQ87" s="10">
        <v>20051337</v>
      </c>
      <c r="AR87" s="10">
        <v>8851727</v>
      </c>
      <c r="AS87" s="10">
        <v>0</v>
      </c>
      <c r="AT87" s="10">
        <v>332382</v>
      </c>
      <c r="AU87" s="10">
        <v>0</v>
      </c>
      <c r="AV87" s="10">
        <v>14500</v>
      </c>
      <c r="AW87" s="10">
        <v>0</v>
      </c>
      <c r="AX87" s="10">
        <v>25</v>
      </c>
      <c r="AY87" s="10">
        <v>65000</v>
      </c>
      <c r="AZ87" s="1">
        <v>3996484.9</v>
      </c>
      <c r="BA87" s="1">
        <v>2038207</v>
      </c>
      <c r="BB87" s="19"/>
      <c r="BC87" s="15">
        <v>0</v>
      </c>
      <c r="BD87" s="15">
        <v>0</v>
      </c>
      <c r="BE87" s="20">
        <v>13292928</v>
      </c>
      <c r="BF87" s="20">
        <v>13292928</v>
      </c>
      <c r="BG87" s="20">
        <v>23063935</v>
      </c>
      <c r="BH87" s="20">
        <v>23063449</v>
      </c>
      <c r="BI87" s="19"/>
      <c r="BJ87" s="19"/>
      <c r="BK87" s="19"/>
      <c r="BL87" s="5">
        <v>391657029</v>
      </c>
      <c r="BM87" s="5">
        <v>301693462</v>
      </c>
      <c r="BN87" s="15">
        <v>227200</v>
      </c>
      <c r="BO87" s="3"/>
      <c r="BP87" s="1"/>
      <c r="BQ87" s="5"/>
      <c r="BR87" s="5"/>
      <c r="BS87" s="5"/>
    </row>
    <row r="88" spans="1:71" x14ac:dyDescent="0.25">
      <c r="A88" s="6" t="s">
        <v>142</v>
      </c>
      <c r="B88" s="10">
        <v>721165933</v>
      </c>
      <c r="C88" s="10">
        <v>107753407</v>
      </c>
      <c r="D88" s="10">
        <v>274318711</v>
      </c>
      <c r="E88" s="10">
        <v>0</v>
      </c>
      <c r="F88" s="10">
        <v>47370350</v>
      </c>
      <c r="G88" s="10">
        <v>17642550</v>
      </c>
      <c r="H88" s="10">
        <v>8163700</v>
      </c>
      <c r="I88" s="10">
        <v>2103800</v>
      </c>
      <c r="J88" s="10">
        <v>202200</v>
      </c>
      <c r="K88" s="10">
        <v>0</v>
      </c>
      <c r="L88" s="10">
        <v>185751926</v>
      </c>
      <c r="M88" s="3"/>
      <c r="N88" s="10">
        <v>1724</v>
      </c>
      <c r="O88" s="10">
        <v>640</v>
      </c>
      <c r="P88" s="10">
        <v>8563300</v>
      </c>
      <c r="Q88" s="10">
        <v>2266250</v>
      </c>
      <c r="R88" s="10">
        <v>18123900</v>
      </c>
      <c r="S88" s="10">
        <v>5597700</v>
      </c>
      <c r="T88" s="10">
        <v>1687075</v>
      </c>
      <c r="U88" s="10">
        <v>2811750</v>
      </c>
      <c r="V88" s="10">
        <v>8563300</v>
      </c>
      <c r="W88" s="10">
        <v>2376800</v>
      </c>
      <c r="X88" s="10">
        <v>18123900</v>
      </c>
      <c r="Y88" s="10">
        <v>5597700</v>
      </c>
      <c r="Z88" s="10">
        <v>1557200</v>
      </c>
      <c r="AA88" s="10">
        <v>2811750</v>
      </c>
      <c r="AB88" s="10">
        <v>-2920950</v>
      </c>
      <c r="AC88" s="10">
        <v>-175173</v>
      </c>
      <c r="AD88" s="10">
        <v>5119</v>
      </c>
      <c r="AE88" s="10">
        <v>0</v>
      </c>
      <c r="AF88" s="10">
        <v>0</v>
      </c>
      <c r="AG88" s="10">
        <v>108979</v>
      </c>
      <c r="AH88" s="3"/>
      <c r="AI88" s="10">
        <v>177500</v>
      </c>
      <c r="AJ88" s="3"/>
      <c r="AK88" s="1">
        <v>128014198</v>
      </c>
      <c r="AL88" s="1">
        <v>3747336</v>
      </c>
      <c r="AM88" s="10">
        <v>0</v>
      </c>
      <c r="AN88" s="10">
        <v>49306053</v>
      </c>
      <c r="AO88" s="10">
        <v>1722265</v>
      </c>
      <c r="AP88" s="10">
        <v>141701960</v>
      </c>
      <c r="AQ88" s="10">
        <v>45017044</v>
      </c>
      <c r="AR88" s="10">
        <v>69823080</v>
      </c>
      <c r="AS88" s="10">
        <v>0</v>
      </c>
      <c r="AT88" s="10">
        <v>217119</v>
      </c>
      <c r="AU88" s="10">
        <v>0</v>
      </c>
      <c r="AV88" s="10">
        <v>0</v>
      </c>
      <c r="AW88" s="10">
        <v>12485591</v>
      </c>
      <c r="AX88" s="10">
        <v>0</v>
      </c>
      <c r="AY88" s="10">
        <v>3807750</v>
      </c>
      <c r="AZ88" s="1">
        <v>9737623.6199999992</v>
      </c>
      <c r="BA88" s="1">
        <v>4966188</v>
      </c>
      <c r="BB88" s="19"/>
      <c r="BC88" s="15">
        <v>0</v>
      </c>
      <c r="BD88" s="15">
        <v>0</v>
      </c>
      <c r="BE88" s="20">
        <v>19128775</v>
      </c>
      <c r="BF88" s="20">
        <v>19128775</v>
      </c>
      <c r="BG88" s="20">
        <v>38357805</v>
      </c>
      <c r="BH88" s="20">
        <v>37032506</v>
      </c>
      <c r="BI88" s="19"/>
      <c r="BJ88" s="19"/>
      <c r="BK88" s="19"/>
      <c r="BL88" s="5">
        <v>1392349916</v>
      </c>
      <c r="BM88" s="5">
        <v>1199460913</v>
      </c>
      <c r="BN88" s="15">
        <v>1275100</v>
      </c>
      <c r="BO88" s="3"/>
      <c r="BP88" s="1"/>
      <c r="BQ88" s="5"/>
      <c r="BR88" s="5"/>
      <c r="BS88" s="5"/>
    </row>
    <row r="89" spans="1:71" x14ac:dyDescent="0.25">
      <c r="A89" s="6" t="s">
        <v>143</v>
      </c>
      <c r="B89" s="10">
        <v>122374800</v>
      </c>
      <c r="C89" s="10">
        <v>89646450</v>
      </c>
      <c r="D89" s="10">
        <v>39182040</v>
      </c>
      <c r="E89" s="10">
        <v>0</v>
      </c>
      <c r="F89" s="10">
        <v>15661300</v>
      </c>
      <c r="G89" s="10">
        <v>10723200</v>
      </c>
      <c r="H89" s="10">
        <v>11631700</v>
      </c>
      <c r="I89" s="10">
        <v>4298400</v>
      </c>
      <c r="J89" s="10">
        <v>0</v>
      </c>
      <c r="K89" s="10">
        <v>0</v>
      </c>
      <c r="L89" s="10">
        <v>67758950</v>
      </c>
      <c r="M89" s="10">
        <v>0</v>
      </c>
      <c r="N89" s="10">
        <v>1001</v>
      </c>
      <c r="O89" s="10">
        <v>575</v>
      </c>
      <c r="P89" s="10">
        <v>1151500</v>
      </c>
      <c r="Q89" s="10">
        <v>506500</v>
      </c>
      <c r="R89" s="10">
        <v>575000</v>
      </c>
      <c r="S89" s="10">
        <v>872000</v>
      </c>
      <c r="T89" s="10">
        <v>435500</v>
      </c>
      <c r="U89" s="10">
        <v>873675</v>
      </c>
      <c r="V89" s="10">
        <v>1151500</v>
      </c>
      <c r="W89" s="10">
        <v>558000</v>
      </c>
      <c r="X89" s="10">
        <v>575000</v>
      </c>
      <c r="Y89" s="10">
        <v>872000</v>
      </c>
      <c r="Z89" s="10">
        <v>614500</v>
      </c>
      <c r="AA89" s="10">
        <v>873675</v>
      </c>
      <c r="AB89" s="10">
        <v>-2728400</v>
      </c>
      <c r="AC89" s="10">
        <v>-1281</v>
      </c>
      <c r="AD89" s="10">
        <v>176026</v>
      </c>
      <c r="AE89" s="10">
        <v>0</v>
      </c>
      <c r="AF89" s="10">
        <v>0</v>
      </c>
      <c r="AG89" s="10">
        <v>0</v>
      </c>
      <c r="AH89" s="10">
        <v>716243</v>
      </c>
      <c r="AI89" s="10">
        <v>4400296</v>
      </c>
      <c r="AJ89" s="10">
        <v>2619466</v>
      </c>
      <c r="AK89" s="15">
        <v>58404441</v>
      </c>
      <c r="AL89" s="1">
        <v>1627284</v>
      </c>
      <c r="AM89" s="3"/>
      <c r="AN89" s="10">
        <v>24514530</v>
      </c>
      <c r="AO89" s="10">
        <v>74740</v>
      </c>
      <c r="AP89" s="10">
        <v>2862019</v>
      </c>
      <c r="AQ89" s="10">
        <v>6460253</v>
      </c>
      <c r="AR89" s="10">
        <v>5404696</v>
      </c>
      <c r="AS89" s="3"/>
      <c r="AT89" s="10">
        <v>334075</v>
      </c>
      <c r="AU89" s="3"/>
      <c r="AV89" s="3"/>
      <c r="AW89" s="3"/>
      <c r="AX89" s="3"/>
      <c r="AY89" s="10">
        <v>101200</v>
      </c>
      <c r="AZ89" s="1">
        <v>4605660.16</v>
      </c>
      <c r="BA89" s="1">
        <v>2348887</v>
      </c>
      <c r="BB89" s="19"/>
      <c r="BC89" s="15">
        <v>0</v>
      </c>
      <c r="BD89" s="15">
        <v>0</v>
      </c>
      <c r="BE89" s="20">
        <v>1501638</v>
      </c>
      <c r="BF89" s="20">
        <v>1501638</v>
      </c>
      <c r="BG89" s="20">
        <v>32053918</v>
      </c>
      <c r="BH89" s="20">
        <v>32053918</v>
      </c>
      <c r="BI89" s="19"/>
      <c r="BJ89" s="19"/>
      <c r="BK89" s="19"/>
      <c r="BL89" s="5">
        <v>385924986</v>
      </c>
      <c r="BM89" s="5">
        <v>289988818</v>
      </c>
      <c r="BN89" s="15">
        <v>1943500</v>
      </c>
      <c r="BO89" s="3"/>
      <c r="BP89" s="1"/>
      <c r="BQ89" s="5"/>
      <c r="BR89" s="5"/>
      <c r="BS89" s="5"/>
    </row>
    <row r="90" spans="1:71" x14ac:dyDescent="0.25">
      <c r="A90" s="6" t="s">
        <v>144</v>
      </c>
      <c r="B90" s="10">
        <v>528102425</v>
      </c>
      <c r="C90" s="10">
        <v>139699390</v>
      </c>
      <c r="D90" s="10">
        <v>177267522</v>
      </c>
      <c r="E90" s="10">
        <v>0</v>
      </c>
      <c r="F90" s="10">
        <v>74889110</v>
      </c>
      <c r="G90" s="10">
        <v>30872090</v>
      </c>
      <c r="H90" s="10">
        <v>12092800</v>
      </c>
      <c r="I90" s="10">
        <v>2913600</v>
      </c>
      <c r="J90" s="10">
        <v>33700</v>
      </c>
      <c r="K90" s="10">
        <v>33700</v>
      </c>
      <c r="L90" s="10">
        <v>120885779</v>
      </c>
      <c r="M90" s="10">
        <v>154514790</v>
      </c>
      <c r="N90" s="10">
        <v>2800</v>
      </c>
      <c r="O90" s="10">
        <v>1165</v>
      </c>
      <c r="P90" s="10">
        <v>18687051</v>
      </c>
      <c r="Q90" s="10">
        <v>6414580</v>
      </c>
      <c r="R90" s="10">
        <v>15628070</v>
      </c>
      <c r="S90" s="10">
        <v>9448576</v>
      </c>
      <c r="T90" s="10">
        <v>742700</v>
      </c>
      <c r="U90" s="10">
        <v>6822699</v>
      </c>
      <c r="V90" s="10">
        <v>18687051</v>
      </c>
      <c r="W90" s="10">
        <v>18629200</v>
      </c>
      <c r="X90" s="10">
        <v>15628070</v>
      </c>
      <c r="Y90" s="10">
        <v>9448576</v>
      </c>
      <c r="Z90" s="10">
        <v>618780</v>
      </c>
      <c r="AA90" s="10">
        <v>6822699</v>
      </c>
      <c r="AB90" s="10">
        <v>-15329048</v>
      </c>
      <c r="AC90" s="10">
        <v>-112840</v>
      </c>
      <c r="AD90" s="10">
        <v>66562</v>
      </c>
      <c r="AE90" s="10">
        <v>0</v>
      </c>
      <c r="AF90" s="10">
        <v>7155075</v>
      </c>
      <c r="AG90" s="10">
        <v>216189</v>
      </c>
      <c r="AH90" s="10">
        <v>15953311</v>
      </c>
      <c r="AI90" s="10">
        <v>849531</v>
      </c>
      <c r="AJ90" s="10">
        <v>36189462</v>
      </c>
      <c r="AK90" s="1">
        <v>187927119</v>
      </c>
      <c r="AL90" s="1">
        <v>5350683</v>
      </c>
      <c r="AM90" s="10">
        <v>0</v>
      </c>
      <c r="AN90" s="10">
        <v>92465138</v>
      </c>
      <c r="AO90" s="10">
        <v>5587153</v>
      </c>
      <c r="AP90" s="10">
        <v>29645901</v>
      </c>
      <c r="AQ90" s="10">
        <v>53735624</v>
      </c>
      <c r="AR90" s="10">
        <v>32921712</v>
      </c>
      <c r="AS90" s="10">
        <v>308607</v>
      </c>
      <c r="AT90" s="10">
        <v>1004334</v>
      </c>
      <c r="AU90" s="10">
        <v>0</v>
      </c>
      <c r="AV90" s="10">
        <v>0</v>
      </c>
      <c r="AW90" s="10">
        <v>1301997</v>
      </c>
      <c r="AX90" s="10">
        <v>15320</v>
      </c>
      <c r="AY90" s="10">
        <v>499250</v>
      </c>
      <c r="AZ90" s="1">
        <v>17518435.16</v>
      </c>
      <c r="BA90" s="1">
        <v>8934402</v>
      </c>
      <c r="BB90" s="19">
        <v>6364928.0499999998</v>
      </c>
      <c r="BC90" s="15">
        <v>2773707</v>
      </c>
      <c r="BD90" s="15">
        <v>5438641</v>
      </c>
      <c r="BE90" s="20">
        <v>57373729</v>
      </c>
      <c r="BF90" s="20">
        <v>55073711</v>
      </c>
      <c r="BG90" s="20">
        <v>109670256</v>
      </c>
      <c r="BH90" s="20">
        <v>107666268</v>
      </c>
      <c r="BI90" s="19"/>
      <c r="BJ90" s="19"/>
      <c r="BK90" s="19"/>
      <c r="BL90" s="5">
        <v>1417575446</v>
      </c>
      <c r="BM90" s="5">
        <v>1049849556</v>
      </c>
      <c r="BN90" s="15">
        <v>442700</v>
      </c>
      <c r="BO90" s="3"/>
      <c r="BP90" s="1"/>
      <c r="BQ90" s="5"/>
      <c r="BR90" s="5"/>
      <c r="BS90" s="5"/>
    </row>
    <row r="91" spans="1:71" x14ac:dyDescent="0.25">
      <c r="A91" s="6" t="s">
        <v>145</v>
      </c>
      <c r="B91" s="10">
        <v>1510728120</v>
      </c>
      <c r="C91" s="10">
        <v>303505755</v>
      </c>
      <c r="D91" s="10">
        <v>461055937</v>
      </c>
      <c r="E91" s="10">
        <v>2600000</v>
      </c>
      <c r="F91" s="10">
        <v>72348389</v>
      </c>
      <c r="G91" s="10">
        <v>17644532</v>
      </c>
      <c r="H91" s="10">
        <v>17604740</v>
      </c>
      <c r="I91" s="10">
        <v>1959520</v>
      </c>
      <c r="J91" s="10">
        <v>303300</v>
      </c>
      <c r="K91" s="10">
        <v>0</v>
      </c>
      <c r="L91" s="10">
        <v>585013068</v>
      </c>
      <c r="M91" s="10">
        <v>241866828</v>
      </c>
      <c r="N91" s="10">
        <v>2719</v>
      </c>
      <c r="O91" s="10">
        <v>610</v>
      </c>
      <c r="P91" s="10">
        <v>19290915</v>
      </c>
      <c r="Q91" s="10">
        <v>6679285</v>
      </c>
      <c r="R91" s="10">
        <v>22479700</v>
      </c>
      <c r="S91" s="10">
        <v>4871420</v>
      </c>
      <c r="T91" s="10">
        <v>478675</v>
      </c>
      <c r="U91" s="10">
        <v>2354080</v>
      </c>
      <c r="V91" s="10">
        <v>19290915</v>
      </c>
      <c r="W91" s="10">
        <v>6679285</v>
      </c>
      <c r="X91" s="10">
        <v>22479700</v>
      </c>
      <c r="Y91" s="10">
        <v>4936680</v>
      </c>
      <c r="Z91" s="10">
        <v>478675</v>
      </c>
      <c r="AA91" s="10">
        <v>2354080</v>
      </c>
      <c r="AB91" s="10">
        <v>-13366215</v>
      </c>
      <c r="AC91" s="10">
        <v>-224456</v>
      </c>
      <c r="AD91" s="10">
        <v>29468</v>
      </c>
      <c r="AE91" s="10">
        <v>0</v>
      </c>
      <c r="AF91" s="10">
        <v>0</v>
      </c>
      <c r="AG91" s="10">
        <v>241275</v>
      </c>
      <c r="AH91" s="3"/>
      <c r="AI91" s="10">
        <v>172710</v>
      </c>
      <c r="AJ91" s="3"/>
      <c r="AK91" s="1">
        <v>237221282</v>
      </c>
      <c r="AL91" s="1">
        <v>6825926</v>
      </c>
      <c r="AM91" s="10">
        <v>0</v>
      </c>
      <c r="AN91" s="10">
        <v>66645949</v>
      </c>
      <c r="AO91" s="10">
        <v>6612472</v>
      </c>
      <c r="AP91" s="10">
        <v>364618789</v>
      </c>
      <c r="AQ91" s="10">
        <v>70895881</v>
      </c>
      <c r="AR91" s="10">
        <v>60828403</v>
      </c>
      <c r="AS91" s="15">
        <v>2101498</v>
      </c>
      <c r="AT91" s="10">
        <v>76410</v>
      </c>
      <c r="AU91" s="3"/>
      <c r="AV91" s="3"/>
      <c r="AW91" s="10">
        <v>1565500</v>
      </c>
      <c r="AX91" s="10">
        <v>107661</v>
      </c>
      <c r="AY91" s="10">
        <v>6924650</v>
      </c>
      <c r="AZ91" s="1">
        <v>18197845.27</v>
      </c>
      <c r="BA91" s="1">
        <v>9280901</v>
      </c>
      <c r="BB91" s="19"/>
      <c r="BC91" s="15">
        <v>664593</v>
      </c>
      <c r="BD91" s="15">
        <v>1303124</v>
      </c>
      <c r="BE91" s="20">
        <v>11147429</v>
      </c>
      <c r="BF91" s="20">
        <v>10736725</v>
      </c>
      <c r="BG91" s="20">
        <v>41742241</v>
      </c>
      <c r="BH91" s="20">
        <v>41601159</v>
      </c>
      <c r="BI91" s="19">
        <v>308092209</v>
      </c>
      <c r="BJ91" s="19"/>
      <c r="BK91" s="19"/>
      <c r="BL91" s="5">
        <v>3034039619</v>
      </c>
      <c r="BM91" s="5">
        <v>2419616824</v>
      </c>
      <c r="BN91" s="15">
        <v>3157464</v>
      </c>
      <c r="BO91" s="3"/>
      <c r="BP91" s="1"/>
      <c r="BQ91" s="5"/>
      <c r="BR91" s="5"/>
      <c r="BS91" s="5"/>
    </row>
    <row r="92" spans="1:71" x14ac:dyDescent="0.25">
      <c r="A92" s="6" t="s">
        <v>146</v>
      </c>
      <c r="B92" s="10">
        <v>105138763</v>
      </c>
      <c r="C92" s="10">
        <v>86706860</v>
      </c>
      <c r="D92" s="10">
        <v>16707006</v>
      </c>
      <c r="E92" s="10">
        <v>0</v>
      </c>
      <c r="F92" s="10">
        <v>15439155</v>
      </c>
      <c r="G92" s="10">
        <v>3676400</v>
      </c>
      <c r="H92" s="10">
        <v>6078285</v>
      </c>
      <c r="I92" s="10">
        <v>1001500</v>
      </c>
      <c r="J92" s="10">
        <v>101100</v>
      </c>
      <c r="K92" s="10">
        <v>0</v>
      </c>
      <c r="L92" s="10">
        <v>60042461</v>
      </c>
      <c r="M92" s="10">
        <v>40639560</v>
      </c>
      <c r="N92" s="10">
        <v>674</v>
      </c>
      <c r="O92" s="10">
        <v>157</v>
      </c>
      <c r="P92" s="10">
        <v>2677630</v>
      </c>
      <c r="Q92" s="10">
        <v>1657010</v>
      </c>
      <c r="R92" s="10">
        <v>242500</v>
      </c>
      <c r="S92" s="10">
        <v>1425577</v>
      </c>
      <c r="T92" s="10">
        <v>780375</v>
      </c>
      <c r="U92" s="10">
        <v>8000</v>
      </c>
      <c r="V92" s="10">
        <v>2677630</v>
      </c>
      <c r="W92" s="10">
        <v>1798810</v>
      </c>
      <c r="X92" s="10">
        <v>242500</v>
      </c>
      <c r="Y92" s="10">
        <v>1425577</v>
      </c>
      <c r="Z92" s="10">
        <v>657325</v>
      </c>
      <c r="AA92" s="10">
        <v>8000</v>
      </c>
      <c r="AB92" s="10">
        <v>-605550</v>
      </c>
      <c r="AC92" s="10">
        <v>0</v>
      </c>
      <c r="AD92" s="3"/>
      <c r="AE92" s="3"/>
      <c r="AF92" s="3"/>
      <c r="AG92" s="10">
        <v>81</v>
      </c>
      <c r="AH92" s="3"/>
      <c r="AI92" s="3"/>
      <c r="AJ92" s="3"/>
      <c r="AK92" s="1">
        <v>37320374</v>
      </c>
      <c r="AL92" s="1">
        <v>881151</v>
      </c>
      <c r="AM92" s="10">
        <v>0</v>
      </c>
      <c r="AN92" s="10">
        <v>3168765</v>
      </c>
      <c r="AO92" s="10">
        <v>39474</v>
      </c>
      <c r="AP92" s="10">
        <v>2904961</v>
      </c>
      <c r="AQ92" s="10">
        <v>2154685</v>
      </c>
      <c r="AR92" s="10">
        <v>827045</v>
      </c>
      <c r="AS92" s="10">
        <v>0</v>
      </c>
      <c r="AT92" s="10">
        <v>93072</v>
      </c>
      <c r="AU92" s="10">
        <v>0</v>
      </c>
      <c r="AV92" s="10">
        <v>0</v>
      </c>
      <c r="AW92" s="10">
        <v>5813</v>
      </c>
      <c r="AX92" s="10">
        <v>0</v>
      </c>
      <c r="AY92" s="10">
        <v>0</v>
      </c>
      <c r="AZ92" s="1">
        <v>2900580.66</v>
      </c>
      <c r="BA92" s="1">
        <v>1479296</v>
      </c>
      <c r="BB92" s="19"/>
      <c r="BC92" s="15">
        <v>764929</v>
      </c>
      <c r="BD92" s="15">
        <v>1499860</v>
      </c>
      <c r="BE92" s="20">
        <v>5997430</v>
      </c>
      <c r="BF92" s="20">
        <v>5997430</v>
      </c>
      <c r="BG92" s="20">
        <v>14980109</v>
      </c>
      <c r="BH92" s="20">
        <v>14579444</v>
      </c>
      <c r="BI92" s="19"/>
      <c r="BJ92" s="19"/>
      <c r="BK92" s="19"/>
      <c r="BL92" s="5">
        <v>274938177</v>
      </c>
      <c r="BM92" s="5">
        <v>213915553</v>
      </c>
      <c r="BN92" s="15">
        <v>241950</v>
      </c>
      <c r="BO92" s="3"/>
      <c r="BP92" s="1"/>
      <c r="BQ92" s="5"/>
      <c r="BR92" s="5"/>
      <c r="BS92" s="5"/>
    </row>
    <row r="93" spans="1:71" x14ac:dyDescent="0.25">
      <c r="A93" s="6" t="s">
        <v>147</v>
      </c>
      <c r="B93" s="10">
        <v>339683590</v>
      </c>
      <c r="C93" s="10">
        <v>194233032</v>
      </c>
      <c r="D93" s="10">
        <v>98598976</v>
      </c>
      <c r="E93" s="10">
        <v>0</v>
      </c>
      <c r="F93" s="10">
        <v>43844680</v>
      </c>
      <c r="G93" s="10">
        <v>13184383</v>
      </c>
      <c r="H93" s="10">
        <v>15744137</v>
      </c>
      <c r="I93" s="10">
        <v>2688670</v>
      </c>
      <c r="J93" s="10">
        <v>100070</v>
      </c>
      <c r="K93" s="10">
        <v>67400</v>
      </c>
      <c r="L93" s="10">
        <v>282566508</v>
      </c>
      <c r="M93" s="10">
        <v>6274964</v>
      </c>
      <c r="N93" s="10">
        <v>1968</v>
      </c>
      <c r="O93" s="10">
        <v>573</v>
      </c>
      <c r="P93" s="10">
        <v>6274700</v>
      </c>
      <c r="Q93" s="10">
        <v>4031250</v>
      </c>
      <c r="R93" s="10">
        <v>172500</v>
      </c>
      <c r="S93" s="10">
        <v>3479717</v>
      </c>
      <c r="T93" s="10">
        <v>534150</v>
      </c>
      <c r="U93" s="10">
        <v>17911400</v>
      </c>
      <c r="V93" s="10">
        <v>6274700</v>
      </c>
      <c r="W93" s="10">
        <v>92900</v>
      </c>
      <c r="X93" s="10">
        <v>172500</v>
      </c>
      <c r="Y93" s="10">
        <v>3479717</v>
      </c>
      <c r="Z93" s="10">
        <v>198410</v>
      </c>
      <c r="AA93" s="10">
        <v>17911400</v>
      </c>
      <c r="AB93" s="10">
        <v>-4550775</v>
      </c>
      <c r="AC93" s="10">
        <v>-66561</v>
      </c>
      <c r="AD93" s="10">
        <v>332010</v>
      </c>
      <c r="AE93" s="10">
        <v>19336</v>
      </c>
      <c r="AF93" s="10">
        <v>13728423</v>
      </c>
      <c r="AG93" s="10">
        <v>331985</v>
      </c>
      <c r="AH93" s="10">
        <v>9593932</v>
      </c>
      <c r="AI93" s="10">
        <v>446992</v>
      </c>
      <c r="AJ93" s="10">
        <v>25113634</v>
      </c>
      <c r="AK93" s="1">
        <v>104391247</v>
      </c>
      <c r="AL93" s="1">
        <v>2985073</v>
      </c>
      <c r="AM93" s="10">
        <v>10660</v>
      </c>
      <c r="AN93" s="10">
        <v>84500456</v>
      </c>
      <c r="AO93" s="10">
        <v>3819760</v>
      </c>
      <c r="AP93" s="10">
        <v>103967676</v>
      </c>
      <c r="AQ93" s="10">
        <v>20373237</v>
      </c>
      <c r="AR93" s="10">
        <v>25580825</v>
      </c>
      <c r="AS93" s="10">
        <v>1338632</v>
      </c>
      <c r="AT93" s="10">
        <v>2602205</v>
      </c>
      <c r="AU93" s="10">
        <v>0</v>
      </c>
      <c r="AV93" s="10">
        <v>0</v>
      </c>
      <c r="AW93" s="10">
        <v>2914225</v>
      </c>
      <c r="AX93" s="10">
        <v>665</v>
      </c>
      <c r="AY93" s="10">
        <v>76000</v>
      </c>
      <c r="AZ93" s="1">
        <v>7891002.4199999999</v>
      </c>
      <c r="BA93" s="1">
        <v>4024411</v>
      </c>
      <c r="BB93" s="19">
        <v>7502234.9100000001</v>
      </c>
      <c r="BC93" s="15">
        <v>1672086</v>
      </c>
      <c r="BD93" s="15">
        <v>3278599</v>
      </c>
      <c r="BE93" s="20">
        <v>55679964</v>
      </c>
      <c r="BF93" s="20">
        <v>51972499</v>
      </c>
      <c r="BG93" s="20">
        <v>54553970</v>
      </c>
      <c r="BH93" s="20">
        <v>52456348</v>
      </c>
      <c r="BI93" s="19"/>
      <c r="BJ93" s="19"/>
      <c r="BK93" s="19"/>
      <c r="BL93" s="5">
        <v>993865273</v>
      </c>
      <c r="BM93" s="5">
        <v>776363609</v>
      </c>
      <c r="BN93" s="15">
        <v>595111</v>
      </c>
      <c r="BO93" s="3"/>
      <c r="BP93" s="1"/>
      <c r="BQ93" s="5"/>
      <c r="BR93" s="5"/>
      <c r="BS93" s="5"/>
    </row>
    <row r="94" spans="1:71" x14ac:dyDescent="0.25">
      <c r="A94" s="6" t="s">
        <v>148</v>
      </c>
      <c r="B94" s="10">
        <v>4807996069</v>
      </c>
      <c r="C94" s="10">
        <v>223573305</v>
      </c>
      <c r="D94" s="10">
        <v>408679620</v>
      </c>
      <c r="E94" s="10">
        <v>0</v>
      </c>
      <c r="F94" s="10">
        <v>87370900</v>
      </c>
      <c r="G94" s="10">
        <v>9845300</v>
      </c>
      <c r="H94" s="10">
        <v>5088700</v>
      </c>
      <c r="I94" s="10">
        <v>337000</v>
      </c>
      <c r="J94" s="10">
        <v>101100</v>
      </c>
      <c r="K94" s="10">
        <v>0</v>
      </c>
      <c r="L94" s="10">
        <v>519916111</v>
      </c>
      <c r="M94" s="10">
        <v>168362800</v>
      </c>
      <c r="N94" s="10">
        <v>2763</v>
      </c>
      <c r="O94" s="10">
        <v>306</v>
      </c>
      <c r="P94" s="10">
        <v>92360945</v>
      </c>
      <c r="Q94" s="10">
        <v>7042250</v>
      </c>
      <c r="R94" s="10">
        <v>8459000</v>
      </c>
      <c r="S94" s="10">
        <v>6723500</v>
      </c>
      <c r="T94" s="10">
        <v>1845000</v>
      </c>
      <c r="U94" s="10">
        <v>175500</v>
      </c>
      <c r="V94" s="10">
        <v>92025195</v>
      </c>
      <c r="W94" s="10">
        <v>9075950</v>
      </c>
      <c r="X94" s="10">
        <v>8459000</v>
      </c>
      <c r="Y94" s="10">
        <v>6723500</v>
      </c>
      <c r="Z94" s="10">
        <v>3554000</v>
      </c>
      <c r="AA94" s="10">
        <v>175500</v>
      </c>
      <c r="AB94" s="10">
        <v>-8126872</v>
      </c>
      <c r="AC94" s="10">
        <v>-268461</v>
      </c>
      <c r="AD94" s="10">
        <v>0</v>
      </c>
      <c r="AE94" s="10">
        <v>0</v>
      </c>
      <c r="AF94" s="10">
        <v>0</v>
      </c>
      <c r="AG94" s="10">
        <v>64546</v>
      </c>
      <c r="AH94" s="3"/>
      <c r="AI94" s="10">
        <v>1821815</v>
      </c>
      <c r="AJ94" s="3"/>
      <c r="AK94" s="1">
        <v>381871216</v>
      </c>
      <c r="AL94" s="1">
        <v>14683322</v>
      </c>
      <c r="AM94" s="10">
        <v>5217036</v>
      </c>
      <c r="AN94" s="10">
        <v>52368518</v>
      </c>
      <c r="AO94" s="10">
        <v>832159</v>
      </c>
      <c r="AP94" s="10">
        <v>21052439</v>
      </c>
      <c r="AQ94" s="10">
        <v>30644820</v>
      </c>
      <c r="AR94" s="10">
        <v>31063273</v>
      </c>
      <c r="AS94" s="10">
        <v>3240</v>
      </c>
      <c r="AT94" s="10">
        <v>5358921</v>
      </c>
      <c r="AU94" s="10">
        <v>0</v>
      </c>
      <c r="AV94" s="10">
        <v>0</v>
      </c>
      <c r="AW94" s="10">
        <v>20565</v>
      </c>
      <c r="AX94" s="10">
        <v>106687</v>
      </c>
      <c r="AY94" s="10">
        <v>14700</v>
      </c>
      <c r="AZ94" s="1">
        <v>29253593.469999999</v>
      </c>
      <c r="BA94" s="1">
        <v>14919333</v>
      </c>
      <c r="BB94" s="19">
        <v>12929383.65</v>
      </c>
      <c r="BC94" s="15">
        <v>770101</v>
      </c>
      <c r="BD94" s="15">
        <v>1510001</v>
      </c>
      <c r="BE94" s="20">
        <v>27434584</v>
      </c>
      <c r="BF94" s="20">
        <v>27434584</v>
      </c>
      <c r="BG94" s="20">
        <v>52974091</v>
      </c>
      <c r="BH94" s="20">
        <v>51682244</v>
      </c>
      <c r="BI94" s="19"/>
      <c r="BJ94" s="19"/>
      <c r="BK94" s="19"/>
      <c r="BL94" s="5">
        <v>6017277106</v>
      </c>
      <c r="BM94" s="5">
        <v>5525916306</v>
      </c>
      <c r="BN94" s="15">
        <v>1418000</v>
      </c>
      <c r="BO94" s="3"/>
      <c r="BP94" s="1"/>
      <c r="BQ94" s="5"/>
      <c r="BR94" s="5"/>
      <c r="BS94" s="5"/>
    </row>
    <row r="95" spans="1:71" x14ac:dyDescent="0.25">
      <c r="A95" s="6" t="s">
        <v>149</v>
      </c>
      <c r="B95" s="10">
        <v>250407140</v>
      </c>
      <c r="C95" s="10">
        <v>123944475</v>
      </c>
      <c r="D95" s="10">
        <v>37710750</v>
      </c>
      <c r="E95" s="10">
        <v>0</v>
      </c>
      <c r="F95" s="10">
        <v>19355400</v>
      </c>
      <c r="G95" s="10">
        <v>3279200</v>
      </c>
      <c r="H95" s="10">
        <v>9577100</v>
      </c>
      <c r="I95" s="10">
        <v>787200</v>
      </c>
      <c r="J95" s="10">
        <v>33700</v>
      </c>
      <c r="K95" s="10">
        <v>23500</v>
      </c>
      <c r="L95" s="10">
        <v>292103315</v>
      </c>
      <c r="M95" s="10">
        <v>19879226</v>
      </c>
      <c r="N95" s="10">
        <v>891</v>
      </c>
      <c r="O95" s="10">
        <v>140</v>
      </c>
      <c r="P95" s="10">
        <v>2362300</v>
      </c>
      <c r="Q95" s="10">
        <v>2724200</v>
      </c>
      <c r="R95" s="10">
        <v>1269500</v>
      </c>
      <c r="S95" s="10">
        <v>2126810</v>
      </c>
      <c r="T95" s="10">
        <v>328000</v>
      </c>
      <c r="U95" s="10">
        <v>101200</v>
      </c>
      <c r="V95" s="10">
        <v>2362300</v>
      </c>
      <c r="W95" s="10">
        <v>3164200</v>
      </c>
      <c r="X95" s="10">
        <v>1269500</v>
      </c>
      <c r="Y95" s="10">
        <v>2126810</v>
      </c>
      <c r="Z95" s="10">
        <v>466900</v>
      </c>
      <c r="AA95" s="10">
        <v>101200</v>
      </c>
      <c r="AB95" s="10">
        <v>-1912200</v>
      </c>
      <c r="AC95" s="10">
        <v>-7128</v>
      </c>
      <c r="AD95" s="10">
        <v>72184</v>
      </c>
      <c r="AE95" s="10">
        <v>0</v>
      </c>
      <c r="AF95" s="10">
        <v>0</v>
      </c>
      <c r="AG95" s="10">
        <v>201328</v>
      </c>
      <c r="AH95" s="3"/>
      <c r="AI95" s="3"/>
      <c r="AJ95" s="3"/>
      <c r="AK95" s="1">
        <v>61352693</v>
      </c>
      <c r="AL95" s="1">
        <v>2744729</v>
      </c>
      <c r="AM95" s="10">
        <v>30000</v>
      </c>
      <c r="AN95" s="10">
        <v>8651500</v>
      </c>
      <c r="AO95" s="10">
        <v>106518</v>
      </c>
      <c r="AP95" s="10">
        <v>287770</v>
      </c>
      <c r="AQ95" s="10">
        <v>3131372</v>
      </c>
      <c r="AR95" s="10">
        <v>970437</v>
      </c>
      <c r="AS95" s="10">
        <v>0</v>
      </c>
      <c r="AT95" s="10">
        <v>624394</v>
      </c>
      <c r="AU95" s="10">
        <v>0</v>
      </c>
      <c r="AV95" s="10">
        <v>23093</v>
      </c>
      <c r="AW95" s="10">
        <v>0</v>
      </c>
      <c r="AX95" s="10">
        <v>0</v>
      </c>
      <c r="AY95" s="10">
        <v>87500</v>
      </c>
      <c r="AZ95" s="1">
        <v>4705552.93</v>
      </c>
      <c r="BA95" s="1">
        <v>2399832</v>
      </c>
      <c r="BB95" s="19">
        <v>3950645.01</v>
      </c>
      <c r="BC95" s="15">
        <v>0</v>
      </c>
      <c r="BD95" s="15">
        <v>0</v>
      </c>
      <c r="BE95" s="20">
        <v>41388112</v>
      </c>
      <c r="BF95" s="20">
        <v>41388112</v>
      </c>
      <c r="BG95" s="20">
        <v>41340902</v>
      </c>
      <c r="BH95" s="20">
        <v>41340902</v>
      </c>
      <c r="BI95" s="19"/>
      <c r="BJ95" s="19"/>
      <c r="BK95" s="19"/>
      <c r="BL95" s="5">
        <v>573178023</v>
      </c>
      <c r="BM95" s="5">
        <v>423951755</v>
      </c>
      <c r="BN95" s="15">
        <v>246300</v>
      </c>
      <c r="BO95" s="3"/>
      <c r="BP95" s="1"/>
      <c r="BQ95" s="5"/>
      <c r="BR95" s="5"/>
      <c r="BS95" s="5"/>
    </row>
    <row r="96" spans="1:71" x14ac:dyDescent="0.25">
      <c r="A96" s="6" t="s">
        <v>150</v>
      </c>
      <c r="B96" s="10">
        <v>33730967</v>
      </c>
      <c r="C96" s="10">
        <v>31335700</v>
      </c>
      <c r="D96" s="10">
        <v>11618800</v>
      </c>
      <c r="E96" s="10">
        <v>0</v>
      </c>
      <c r="F96" s="10">
        <v>8330200</v>
      </c>
      <c r="G96" s="10">
        <v>6828600</v>
      </c>
      <c r="H96" s="10">
        <v>6111100</v>
      </c>
      <c r="I96" s="10">
        <v>2266500</v>
      </c>
      <c r="J96" s="10">
        <v>26000</v>
      </c>
      <c r="K96" s="10">
        <v>0</v>
      </c>
      <c r="L96" s="10">
        <v>19189500</v>
      </c>
      <c r="M96" s="10">
        <v>19760641</v>
      </c>
      <c r="N96" s="10">
        <v>419</v>
      </c>
      <c r="O96" s="10">
        <v>312</v>
      </c>
      <c r="P96" s="10">
        <v>618000</v>
      </c>
      <c r="Q96" s="10">
        <v>438000</v>
      </c>
      <c r="R96" s="10">
        <v>832500</v>
      </c>
      <c r="S96" s="10">
        <v>466600</v>
      </c>
      <c r="T96" s="10">
        <v>334900</v>
      </c>
      <c r="U96" s="10">
        <v>0</v>
      </c>
      <c r="V96" s="10">
        <v>618000</v>
      </c>
      <c r="W96" s="10">
        <v>438000</v>
      </c>
      <c r="X96" s="10">
        <v>832500</v>
      </c>
      <c r="Y96" s="10">
        <v>466600</v>
      </c>
      <c r="Z96" s="10">
        <v>334900</v>
      </c>
      <c r="AA96" s="10">
        <v>0</v>
      </c>
      <c r="AB96" s="10">
        <v>-805200</v>
      </c>
      <c r="AC96" s="10">
        <v>0</v>
      </c>
      <c r="AD96" s="10">
        <v>49788</v>
      </c>
      <c r="AE96" s="10">
        <v>0</v>
      </c>
      <c r="AF96" s="10">
        <v>0</v>
      </c>
      <c r="AG96" s="10">
        <v>105580</v>
      </c>
      <c r="AH96" s="10">
        <v>0</v>
      </c>
      <c r="AI96" s="10">
        <v>1389668</v>
      </c>
      <c r="AJ96" s="10">
        <v>1786545</v>
      </c>
      <c r="AK96" s="1">
        <v>16385701</v>
      </c>
      <c r="AL96" s="1">
        <v>462903</v>
      </c>
      <c r="AM96" s="10">
        <v>0</v>
      </c>
      <c r="AN96" s="10">
        <v>1870913</v>
      </c>
      <c r="AO96" s="10">
        <v>5229</v>
      </c>
      <c r="AP96" s="10">
        <v>0</v>
      </c>
      <c r="AQ96" s="10">
        <v>494484</v>
      </c>
      <c r="AR96" s="10">
        <v>0</v>
      </c>
      <c r="AS96" s="10">
        <v>0</v>
      </c>
      <c r="AT96" s="10">
        <v>0</v>
      </c>
      <c r="AU96" s="10">
        <v>0</v>
      </c>
      <c r="AV96" s="10">
        <v>0</v>
      </c>
      <c r="AW96" s="10">
        <v>0</v>
      </c>
      <c r="AX96" s="10">
        <v>0</v>
      </c>
      <c r="AY96" s="10">
        <v>0</v>
      </c>
      <c r="AZ96" s="1">
        <v>1290561.67</v>
      </c>
      <c r="BA96" s="1">
        <v>658186</v>
      </c>
      <c r="BB96" s="19"/>
      <c r="BC96" s="15">
        <v>0</v>
      </c>
      <c r="BD96" s="15">
        <v>0</v>
      </c>
      <c r="BE96" s="20">
        <v>624071</v>
      </c>
      <c r="BF96" s="20">
        <v>624071</v>
      </c>
      <c r="BG96" s="20">
        <v>15431873</v>
      </c>
      <c r="BH96" s="20">
        <v>15431873</v>
      </c>
      <c r="BI96" s="19"/>
      <c r="BJ96" s="19"/>
      <c r="BK96" s="19"/>
      <c r="BL96" s="5">
        <v>115795040</v>
      </c>
      <c r="BM96" s="5">
        <v>82232306</v>
      </c>
      <c r="BN96" s="15">
        <v>270800</v>
      </c>
      <c r="BO96" s="3"/>
      <c r="BP96" s="1"/>
      <c r="BQ96" s="5"/>
      <c r="BR96" s="5"/>
      <c r="BS96" s="5"/>
    </row>
    <row r="97" spans="1:71" x14ac:dyDescent="0.25">
      <c r="A97" s="6" t="s">
        <v>151</v>
      </c>
      <c r="B97" s="10">
        <v>313526370</v>
      </c>
      <c r="C97" s="10">
        <v>152310121</v>
      </c>
      <c r="D97" s="10">
        <v>61238726</v>
      </c>
      <c r="E97" s="10">
        <v>0</v>
      </c>
      <c r="F97" s="10">
        <v>22147550</v>
      </c>
      <c r="G97" s="10">
        <v>5412600</v>
      </c>
      <c r="H97" s="10">
        <v>12406085</v>
      </c>
      <c r="I97" s="10">
        <v>1329900</v>
      </c>
      <c r="J97" s="10">
        <v>101100</v>
      </c>
      <c r="K97" s="10">
        <v>33700</v>
      </c>
      <c r="L97" s="10">
        <v>251935931</v>
      </c>
      <c r="M97" s="10">
        <v>112952327</v>
      </c>
      <c r="N97" s="10">
        <v>1068</v>
      </c>
      <c r="O97" s="10">
        <v>211</v>
      </c>
      <c r="P97" s="10">
        <v>6009722</v>
      </c>
      <c r="Q97" s="10">
        <v>9928342</v>
      </c>
      <c r="R97" s="10">
        <v>379090</v>
      </c>
      <c r="S97" s="10">
        <v>8630227</v>
      </c>
      <c r="T97" s="10">
        <v>2389289</v>
      </c>
      <c r="U97" s="10">
        <v>1082342</v>
      </c>
      <c r="V97" s="10">
        <v>6009722</v>
      </c>
      <c r="W97" s="10">
        <v>13038970</v>
      </c>
      <c r="X97" s="10">
        <v>379090</v>
      </c>
      <c r="Y97" s="10">
        <v>8630227</v>
      </c>
      <c r="Z97" s="10">
        <v>2114460</v>
      </c>
      <c r="AA97" s="10">
        <v>1082342</v>
      </c>
      <c r="AB97" s="10">
        <v>-1346750</v>
      </c>
      <c r="AC97" s="10">
        <v>0</v>
      </c>
      <c r="AD97" s="10">
        <v>62</v>
      </c>
      <c r="AE97" s="10">
        <v>0</v>
      </c>
      <c r="AF97" s="10">
        <v>0</v>
      </c>
      <c r="AG97" s="10">
        <v>154341</v>
      </c>
      <c r="AH97" s="3"/>
      <c r="AI97" s="10">
        <v>3028129</v>
      </c>
      <c r="AJ97" s="3"/>
      <c r="AK97" s="1">
        <v>79623389</v>
      </c>
      <c r="AL97" s="1">
        <v>2090794</v>
      </c>
      <c r="AM97" s="10">
        <v>0</v>
      </c>
      <c r="AN97" s="10">
        <v>21268500</v>
      </c>
      <c r="AO97" s="10">
        <v>3562533</v>
      </c>
      <c r="AP97" s="10">
        <v>65348773</v>
      </c>
      <c r="AQ97" s="10">
        <v>5402215</v>
      </c>
      <c r="AR97" s="10">
        <v>8996877</v>
      </c>
      <c r="AS97" s="10">
        <v>0</v>
      </c>
      <c r="AT97" s="10">
        <v>195437</v>
      </c>
      <c r="AU97" s="10">
        <v>0</v>
      </c>
      <c r="AV97" s="10">
        <v>0</v>
      </c>
      <c r="AW97" s="10">
        <v>0</v>
      </c>
      <c r="AX97" s="10">
        <v>593976</v>
      </c>
      <c r="AY97" s="10">
        <v>566285</v>
      </c>
      <c r="AZ97" s="1">
        <v>6084507.9800000004</v>
      </c>
      <c r="BA97" s="1">
        <v>3103099</v>
      </c>
      <c r="BB97" s="19">
        <v>2713574.37</v>
      </c>
      <c r="BC97" s="15">
        <v>2151524</v>
      </c>
      <c r="BD97" s="15">
        <v>4218674</v>
      </c>
      <c r="BE97" s="20">
        <v>8764834</v>
      </c>
      <c r="BF97" s="20">
        <v>8764834</v>
      </c>
      <c r="BG97" s="20">
        <v>51302622</v>
      </c>
      <c r="BH97" s="20">
        <v>46634411</v>
      </c>
      <c r="BI97" s="19"/>
      <c r="BJ97" s="19"/>
      <c r="BK97" s="19"/>
      <c r="BL97" s="5">
        <v>702704645</v>
      </c>
      <c r="BM97" s="5">
        <v>560336594</v>
      </c>
      <c r="BN97" s="15">
        <v>457542</v>
      </c>
      <c r="BO97" s="3"/>
      <c r="BP97" s="1"/>
      <c r="BQ97" s="5"/>
      <c r="BR97" s="5"/>
      <c r="BS97" s="5"/>
    </row>
    <row r="98" spans="1:71" x14ac:dyDescent="0.25">
      <c r="A98" s="6" t="s">
        <v>152</v>
      </c>
      <c r="B98" s="10">
        <v>420019329</v>
      </c>
      <c r="C98" s="10">
        <v>56307341</v>
      </c>
      <c r="D98" s="10">
        <v>277048339</v>
      </c>
      <c r="E98" s="10">
        <v>0</v>
      </c>
      <c r="F98" s="10">
        <v>59967600</v>
      </c>
      <c r="G98" s="10">
        <v>41852713</v>
      </c>
      <c r="H98" s="10">
        <v>12520100</v>
      </c>
      <c r="I98" s="10">
        <v>4451700</v>
      </c>
      <c r="J98" s="10">
        <v>495600</v>
      </c>
      <c r="K98" s="10">
        <v>202200</v>
      </c>
      <c r="L98" s="10">
        <v>59667093</v>
      </c>
      <c r="M98" s="10">
        <v>41092834</v>
      </c>
      <c r="N98" s="10">
        <v>2395</v>
      </c>
      <c r="O98" s="10">
        <v>1640</v>
      </c>
      <c r="P98" s="10">
        <v>3765000</v>
      </c>
      <c r="Q98" s="10">
        <v>0</v>
      </c>
      <c r="R98" s="10">
        <v>2161000</v>
      </c>
      <c r="S98" s="10">
        <v>1334000</v>
      </c>
      <c r="T98" s="10">
        <v>139200</v>
      </c>
      <c r="U98" s="10">
        <v>330000</v>
      </c>
      <c r="V98" s="10">
        <v>3765000</v>
      </c>
      <c r="W98" s="10">
        <v>0</v>
      </c>
      <c r="X98" s="10">
        <v>2161000</v>
      </c>
      <c r="Y98" s="10">
        <v>1334000</v>
      </c>
      <c r="Z98" s="10">
        <v>139200</v>
      </c>
      <c r="AA98" s="10">
        <v>330000</v>
      </c>
      <c r="AB98" s="10">
        <v>-9842270</v>
      </c>
      <c r="AC98" s="10">
        <v>-4118724</v>
      </c>
      <c r="AD98" s="10">
        <v>149506</v>
      </c>
      <c r="AE98" s="10">
        <v>35</v>
      </c>
      <c r="AF98" s="10">
        <v>0</v>
      </c>
      <c r="AG98" s="10">
        <v>172935</v>
      </c>
      <c r="AH98" s="10">
        <v>31543238</v>
      </c>
      <c r="AI98" s="10">
        <v>185385175</v>
      </c>
      <c r="AJ98" s="10">
        <v>228240104</v>
      </c>
      <c r="AK98" s="1">
        <v>167607983</v>
      </c>
      <c r="AL98" s="1">
        <v>4500968</v>
      </c>
      <c r="AM98" s="10">
        <v>133000</v>
      </c>
      <c r="AN98" s="10">
        <v>261526063</v>
      </c>
      <c r="AO98" s="10">
        <v>19953492</v>
      </c>
      <c r="AP98" s="10">
        <v>108999073</v>
      </c>
      <c r="AQ98" s="10">
        <v>64948202</v>
      </c>
      <c r="AR98" s="10">
        <v>32906865</v>
      </c>
      <c r="AS98" s="10">
        <v>738405</v>
      </c>
      <c r="AT98" s="10">
        <v>467160</v>
      </c>
      <c r="AU98" s="10">
        <v>0</v>
      </c>
      <c r="AV98" s="10">
        <v>0</v>
      </c>
      <c r="AW98" s="10">
        <v>35573586</v>
      </c>
      <c r="AX98" s="10">
        <v>9244</v>
      </c>
      <c r="AY98" s="10">
        <v>9768750</v>
      </c>
      <c r="AZ98" s="1">
        <v>12669320.5</v>
      </c>
      <c r="BA98" s="1">
        <v>6461353</v>
      </c>
      <c r="BB98" s="19"/>
      <c r="BC98" s="15">
        <v>5392256</v>
      </c>
      <c r="BD98" s="15">
        <v>10573051</v>
      </c>
      <c r="BE98" s="20">
        <v>10940137</v>
      </c>
      <c r="BF98" s="20">
        <v>10940137</v>
      </c>
      <c r="BG98" s="20">
        <v>65431447</v>
      </c>
      <c r="BH98" s="20">
        <v>57487408</v>
      </c>
      <c r="BI98" s="19"/>
      <c r="BJ98" s="19"/>
      <c r="BK98" s="19"/>
      <c r="BL98" s="5">
        <v>1797361388</v>
      </c>
      <c r="BM98" s="5">
        <v>1544971283</v>
      </c>
      <c r="BN98" s="15">
        <v>1160600</v>
      </c>
      <c r="BO98" s="3"/>
      <c r="BP98" s="1"/>
      <c r="BQ98" s="5"/>
      <c r="BR98" s="5"/>
      <c r="BS98" s="5"/>
    </row>
    <row r="99" spans="1:71" x14ac:dyDescent="0.25">
      <c r="A99" s="6" t="s">
        <v>153</v>
      </c>
      <c r="B99" s="10">
        <v>920442717</v>
      </c>
      <c r="C99" s="10">
        <v>146777587</v>
      </c>
      <c r="D99" s="10">
        <v>369228429</v>
      </c>
      <c r="E99" s="10">
        <v>0</v>
      </c>
      <c r="F99" s="10">
        <v>126421240</v>
      </c>
      <c r="G99" s="10">
        <v>117727925</v>
      </c>
      <c r="H99" s="10">
        <v>28591800</v>
      </c>
      <c r="I99" s="10">
        <v>17889350</v>
      </c>
      <c r="J99" s="10">
        <v>572900</v>
      </c>
      <c r="K99" s="10">
        <v>235900</v>
      </c>
      <c r="L99" s="10">
        <v>140983307</v>
      </c>
      <c r="M99" s="10">
        <v>193258737</v>
      </c>
      <c r="N99" s="10">
        <v>5383</v>
      </c>
      <c r="O99" s="10">
        <v>5123</v>
      </c>
      <c r="P99" s="10">
        <v>12006900</v>
      </c>
      <c r="Q99" s="10">
        <v>949000</v>
      </c>
      <c r="R99" s="10">
        <v>3693322</v>
      </c>
      <c r="S99" s="10">
        <v>7159028</v>
      </c>
      <c r="T99" s="10">
        <v>1184100</v>
      </c>
      <c r="U99" s="10">
        <v>3317213</v>
      </c>
      <c r="V99" s="10">
        <v>12006900</v>
      </c>
      <c r="W99" s="10">
        <v>1101200</v>
      </c>
      <c r="X99" s="10">
        <v>3693322</v>
      </c>
      <c r="Y99" s="10">
        <v>7159028</v>
      </c>
      <c r="Z99" s="10">
        <v>1426300</v>
      </c>
      <c r="AA99" s="10">
        <v>3317213</v>
      </c>
      <c r="AB99" s="10">
        <v>-3772846</v>
      </c>
      <c r="AC99" s="10">
        <v>-960392</v>
      </c>
      <c r="AD99" s="10">
        <v>376158</v>
      </c>
      <c r="AE99" s="10">
        <v>0</v>
      </c>
      <c r="AF99" s="10">
        <v>0</v>
      </c>
      <c r="AG99" s="10">
        <v>410944</v>
      </c>
      <c r="AH99" s="10">
        <v>17085311</v>
      </c>
      <c r="AI99" s="10">
        <v>898175923</v>
      </c>
      <c r="AJ99" s="10">
        <v>296573837</v>
      </c>
      <c r="AK99" s="1">
        <v>391604139</v>
      </c>
      <c r="AL99" s="1">
        <v>8813969</v>
      </c>
      <c r="AM99" s="3"/>
      <c r="AN99" s="10">
        <v>446658932</v>
      </c>
      <c r="AO99" s="10">
        <v>13636868</v>
      </c>
      <c r="AP99" s="10">
        <v>216708758</v>
      </c>
      <c r="AQ99" s="10">
        <v>102363139</v>
      </c>
      <c r="AR99" s="10">
        <v>51876912</v>
      </c>
      <c r="AS99" s="10">
        <v>2056899</v>
      </c>
      <c r="AT99" s="10">
        <v>31253</v>
      </c>
      <c r="AU99" s="3"/>
      <c r="AV99" s="3"/>
      <c r="AW99" s="10">
        <v>16</v>
      </c>
      <c r="AX99" s="10">
        <v>6684</v>
      </c>
      <c r="AY99" s="10">
        <v>857132</v>
      </c>
      <c r="AZ99" s="1">
        <v>29418953.449999999</v>
      </c>
      <c r="BA99" s="1">
        <v>15003666</v>
      </c>
      <c r="BB99" s="19"/>
      <c r="BC99" s="15">
        <v>5736190</v>
      </c>
      <c r="BD99" s="15">
        <v>11247430</v>
      </c>
      <c r="BE99" s="20">
        <v>33894167</v>
      </c>
      <c r="BF99" s="20">
        <v>33894167</v>
      </c>
      <c r="BG99" s="20">
        <v>166725574</v>
      </c>
      <c r="BH99" s="20">
        <v>155675053</v>
      </c>
      <c r="BI99" s="19"/>
      <c r="BJ99" s="19"/>
      <c r="BK99" s="19"/>
      <c r="BL99" s="5">
        <v>3821669927</v>
      </c>
      <c r="BM99" s="5">
        <v>3210942743</v>
      </c>
      <c r="BN99" s="15">
        <v>12885117</v>
      </c>
      <c r="BO99" s="3"/>
      <c r="BP99" s="1"/>
      <c r="BQ99" s="5"/>
      <c r="BR99" s="5"/>
      <c r="BS99" s="5"/>
    </row>
    <row r="100" spans="1:71" x14ac:dyDescent="0.25">
      <c r="A100" s="6" t="s">
        <v>154</v>
      </c>
      <c r="B100" s="10">
        <v>227830817</v>
      </c>
      <c r="C100" s="10">
        <v>51695437</v>
      </c>
      <c r="D100" s="10">
        <v>71761003</v>
      </c>
      <c r="E100" s="10">
        <v>0</v>
      </c>
      <c r="F100" s="10">
        <v>19850227</v>
      </c>
      <c r="G100" s="10">
        <v>12197905</v>
      </c>
      <c r="H100" s="10">
        <v>4248040</v>
      </c>
      <c r="I100" s="10">
        <v>1304035</v>
      </c>
      <c r="J100" s="10">
        <v>33700</v>
      </c>
      <c r="K100" s="10">
        <v>0</v>
      </c>
      <c r="L100" s="10">
        <v>23740122</v>
      </c>
      <c r="M100" s="10">
        <v>25075838</v>
      </c>
      <c r="N100" s="10">
        <v>830</v>
      </c>
      <c r="O100" s="10">
        <v>480</v>
      </c>
      <c r="P100" s="10">
        <v>3861370</v>
      </c>
      <c r="Q100" s="10">
        <v>0</v>
      </c>
      <c r="R100" s="10">
        <v>188600</v>
      </c>
      <c r="S100" s="10">
        <v>73110</v>
      </c>
      <c r="T100" s="10">
        <v>20490</v>
      </c>
      <c r="U100" s="10">
        <v>0</v>
      </c>
      <c r="V100" s="10">
        <v>3861370</v>
      </c>
      <c r="W100" s="10">
        <v>23110</v>
      </c>
      <c r="X100" s="10">
        <v>188600</v>
      </c>
      <c r="Y100" s="10">
        <v>73110</v>
      </c>
      <c r="Z100" s="10">
        <v>0</v>
      </c>
      <c r="AA100" s="10">
        <v>0</v>
      </c>
      <c r="AB100" s="10">
        <v>-2393665</v>
      </c>
      <c r="AC100" s="10">
        <v>-1309517</v>
      </c>
      <c r="AD100" s="10">
        <v>63793</v>
      </c>
      <c r="AE100" s="10">
        <v>0</v>
      </c>
      <c r="AF100" s="10">
        <v>0</v>
      </c>
      <c r="AG100" s="10">
        <v>78488</v>
      </c>
      <c r="AH100" s="10">
        <v>485094</v>
      </c>
      <c r="AI100" s="10">
        <v>526742</v>
      </c>
      <c r="AJ100" s="3"/>
      <c r="AK100" s="1">
        <v>63440417</v>
      </c>
      <c r="AL100" s="1">
        <v>1238942</v>
      </c>
      <c r="AM100" s="10">
        <v>0</v>
      </c>
      <c r="AN100" s="10">
        <v>8841668</v>
      </c>
      <c r="AO100" s="10">
        <v>29197</v>
      </c>
      <c r="AP100" s="10">
        <v>5858138</v>
      </c>
      <c r="AQ100" s="10">
        <v>9026729</v>
      </c>
      <c r="AR100" s="10">
        <v>4735590</v>
      </c>
      <c r="AS100" s="10">
        <v>0</v>
      </c>
      <c r="AT100" s="10">
        <v>3921</v>
      </c>
      <c r="AU100" s="10">
        <v>0</v>
      </c>
      <c r="AV100" s="10">
        <v>0</v>
      </c>
      <c r="AW100" s="10">
        <v>0</v>
      </c>
      <c r="AX100" s="10">
        <v>3032119</v>
      </c>
      <c r="AY100" s="10">
        <v>140945</v>
      </c>
      <c r="AZ100" s="1">
        <v>4719753.1900000004</v>
      </c>
      <c r="BA100" s="1">
        <v>2407074</v>
      </c>
      <c r="BB100" s="19"/>
      <c r="BC100" s="15">
        <v>0</v>
      </c>
      <c r="BD100" s="15">
        <v>0</v>
      </c>
      <c r="BE100" s="20">
        <v>8290584</v>
      </c>
      <c r="BF100" s="20">
        <v>8290584</v>
      </c>
      <c r="BG100" s="20">
        <v>38749868</v>
      </c>
      <c r="BH100" s="20">
        <v>38749868</v>
      </c>
      <c r="BI100" s="19"/>
      <c r="BJ100" s="19"/>
      <c r="BK100" s="19"/>
      <c r="BL100" s="5">
        <v>484323572</v>
      </c>
      <c r="BM100" s="5">
        <v>370196687</v>
      </c>
      <c r="BN100" s="15">
        <v>74149</v>
      </c>
      <c r="BO100" s="3"/>
      <c r="BP100" s="1"/>
      <c r="BQ100" s="5"/>
      <c r="BR100" s="5"/>
      <c r="BS100" s="5"/>
    </row>
    <row r="101" spans="1:71" x14ac:dyDescent="0.25">
      <c r="A101" s="6" t="s">
        <v>155</v>
      </c>
      <c r="B101" s="10">
        <v>1982171135</v>
      </c>
      <c r="C101" s="10">
        <v>309869763</v>
      </c>
      <c r="D101" s="10">
        <v>692160600</v>
      </c>
      <c r="E101" s="10">
        <v>0</v>
      </c>
      <c r="F101" s="10">
        <v>149821693</v>
      </c>
      <c r="G101" s="10">
        <v>37952191</v>
      </c>
      <c r="H101" s="10">
        <v>32297500</v>
      </c>
      <c r="I101" s="10">
        <v>4928900</v>
      </c>
      <c r="J101" s="10">
        <v>337000</v>
      </c>
      <c r="K101" s="10">
        <v>33700</v>
      </c>
      <c r="L101" s="10">
        <v>645551817</v>
      </c>
      <c r="M101" s="10">
        <v>0</v>
      </c>
      <c r="N101" s="10">
        <v>5671</v>
      </c>
      <c r="O101" s="10">
        <v>1409</v>
      </c>
      <c r="P101" s="10">
        <v>29568020</v>
      </c>
      <c r="Q101" s="10">
        <v>4166168</v>
      </c>
      <c r="R101" s="10">
        <v>6728000</v>
      </c>
      <c r="S101" s="10">
        <v>1128080</v>
      </c>
      <c r="T101" s="10">
        <v>20000</v>
      </c>
      <c r="U101" s="10">
        <v>50000</v>
      </c>
      <c r="V101" s="10">
        <v>29568020</v>
      </c>
      <c r="W101" s="10">
        <v>4660000</v>
      </c>
      <c r="X101" s="10">
        <v>6728000</v>
      </c>
      <c r="Y101" s="10">
        <v>1128080</v>
      </c>
      <c r="Z101" s="10">
        <v>20000</v>
      </c>
      <c r="AA101" s="10">
        <v>50000</v>
      </c>
      <c r="AB101" s="10">
        <v>-25311587</v>
      </c>
      <c r="AC101" s="10">
        <v>-2153440</v>
      </c>
      <c r="AD101" s="10">
        <v>46447</v>
      </c>
      <c r="AE101" s="10">
        <v>0</v>
      </c>
      <c r="AF101" s="10">
        <v>0</v>
      </c>
      <c r="AG101" s="10">
        <v>0</v>
      </c>
      <c r="AH101" s="10">
        <v>944667</v>
      </c>
      <c r="AI101" s="10">
        <v>1949282</v>
      </c>
      <c r="AJ101" s="10">
        <v>1597</v>
      </c>
      <c r="AK101" s="1">
        <v>337244051</v>
      </c>
      <c r="AL101" s="1">
        <v>26373491</v>
      </c>
      <c r="AM101" s="10">
        <v>5407897</v>
      </c>
      <c r="AN101" s="10">
        <v>145190552</v>
      </c>
      <c r="AO101" s="10">
        <v>14707550</v>
      </c>
      <c r="AP101" s="10">
        <v>208024954</v>
      </c>
      <c r="AQ101" s="10">
        <v>118657791</v>
      </c>
      <c r="AR101" s="10">
        <v>86267834</v>
      </c>
      <c r="AS101" s="10">
        <v>1632676</v>
      </c>
      <c r="AT101" s="10">
        <v>4553138</v>
      </c>
      <c r="AU101" s="10">
        <v>0</v>
      </c>
      <c r="AV101" s="10">
        <v>42269</v>
      </c>
      <c r="AW101" s="10">
        <v>0</v>
      </c>
      <c r="AX101" s="10">
        <v>5114433</v>
      </c>
      <c r="AY101" s="10">
        <v>1444940</v>
      </c>
      <c r="AZ101" s="1">
        <v>25770078.460000001</v>
      </c>
      <c r="BA101" s="1">
        <v>13142740</v>
      </c>
      <c r="BB101" s="19"/>
      <c r="BC101" s="15">
        <v>3914118</v>
      </c>
      <c r="BD101" s="15">
        <v>7674741</v>
      </c>
      <c r="BE101" s="20">
        <v>22032815</v>
      </c>
      <c r="BF101" s="20">
        <v>22032815</v>
      </c>
      <c r="BG101" s="20">
        <v>131122921</v>
      </c>
      <c r="BH101" s="20">
        <v>120288941</v>
      </c>
      <c r="BI101" s="19"/>
      <c r="BJ101" s="19"/>
      <c r="BK101" s="19"/>
      <c r="BL101" s="5">
        <v>3788649093</v>
      </c>
      <c r="BM101" s="5">
        <v>3265652937</v>
      </c>
      <c r="BN101" s="15">
        <v>4710000</v>
      </c>
      <c r="BO101" s="3"/>
      <c r="BP101" s="1"/>
      <c r="BQ101" s="5"/>
      <c r="BR101" s="5"/>
      <c r="BS101" s="5"/>
    </row>
    <row r="102" spans="1:71" x14ac:dyDescent="0.25">
      <c r="A102" s="6" t="s">
        <v>156</v>
      </c>
      <c r="B102" s="10">
        <v>19261041</v>
      </c>
      <c r="C102" s="10">
        <v>32655152</v>
      </c>
      <c r="D102" s="10">
        <v>2930555</v>
      </c>
      <c r="E102" s="10">
        <v>0</v>
      </c>
      <c r="F102" s="10">
        <v>3587822</v>
      </c>
      <c r="G102" s="10">
        <v>776400</v>
      </c>
      <c r="H102" s="10">
        <v>3271526</v>
      </c>
      <c r="I102" s="10">
        <v>534825</v>
      </c>
      <c r="J102" s="10">
        <v>0</v>
      </c>
      <c r="K102" s="10">
        <v>0</v>
      </c>
      <c r="L102" s="10">
        <v>44541302</v>
      </c>
      <c r="M102" s="3"/>
      <c r="N102" s="10">
        <v>220</v>
      </c>
      <c r="O102" s="10">
        <v>43</v>
      </c>
      <c r="P102" s="10">
        <v>672400</v>
      </c>
      <c r="Q102" s="10">
        <v>1219328</v>
      </c>
      <c r="R102" s="10">
        <v>76508</v>
      </c>
      <c r="S102" s="10">
        <v>196200</v>
      </c>
      <c r="T102" s="10">
        <v>115508</v>
      </c>
      <c r="U102" s="10">
        <v>8000</v>
      </c>
      <c r="V102" s="10">
        <v>672400</v>
      </c>
      <c r="W102" s="10">
        <v>1219328</v>
      </c>
      <c r="X102" s="10">
        <v>76508</v>
      </c>
      <c r="Y102" s="10">
        <v>196200</v>
      </c>
      <c r="Z102" s="10">
        <v>115508</v>
      </c>
      <c r="AA102" s="10">
        <v>8000</v>
      </c>
      <c r="AB102" s="10">
        <v>-230161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3"/>
      <c r="AI102" s="3"/>
      <c r="AJ102" s="3"/>
      <c r="AK102" s="1">
        <v>11216003</v>
      </c>
      <c r="AL102" s="1">
        <v>237356</v>
      </c>
      <c r="AM102" s="10">
        <v>0</v>
      </c>
      <c r="AN102" s="10">
        <v>706828</v>
      </c>
      <c r="AO102" s="10">
        <v>244</v>
      </c>
      <c r="AP102" s="10">
        <v>1215</v>
      </c>
      <c r="AQ102" s="10">
        <v>198505</v>
      </c>
      <c r="AR102" s="10">
        <v>77050</v>
      </c>
      <c r="AS102" s="10">
        <v>0</v>
      </c>
      <c r="AT102" s="10">
        <v>0</v>
      </c>
      <c r="AU102" s="10">
        <v>0</v>
      </c>
      <c r="AV102" s="10">
        <v>0</v>
      </c>
      <c r="AW102" s="10">
        <v>0</v>
      </c>
      <c r="AX102" s="10">
        <v>0</v>
      </c>
      <c r="AY102" s="10">
        <v>6000</v>
      </c>
      <c r="AZ102" s="1">
        <v>848162.65</v>
      </c>
      <c r="BA102" s="1">
        <v>432563</v>
      </c>
      <c r="BB102" s="19"/>
      <c r="BC102" s="15">
        <v>0</v>
      </c>
      <c r="BD102" s="15">
        <v>0</v>
      </c>
      <c r="BE102" s="20">
        <v>2300429</v>
      </c>
      <c r="BF102" s="20">
        <v>2300429</v>
      </c>
      <c r="BG102" s="20">
        <v>10828368</v>
      </c>
      <c r="BH102" s="20">
        <v>10828368</v>
      </c>
      <c r="BI102" s="19"/>
      <c r="BJ102" s="19"/>
      <c r="BK102" s="19"/>
      <c r="BL102" s="5">
        <v>80767044</v>
      </c>
      <c r="BM102" s="5">
        <v>55752325</v>
      </c>
      <c r="BN102" s="15">
        <v>71800</v>
      </c>
      <c r="BO102" s="3"/>
      <c r="BP102" s="1"/>
      <c r="BQ102" s="5"/>
      <c r="BR102" s="5"/>
      <c r="BS102" s="5"/>
    </row>
    <row r="103" spans="1:71" x14ac:dyDescent="0.25">
      <c r="A103" s="6" t="s">
        <v>157</v>
      </c>
      <c r="B103" s="10">
        <v>221126532</v>
      </c>
      <c r="C103" s="10">
        <v>74494760</v>
      </c>
      <c r="D103" s="10">
        <v>62607275</v>
      </c>
      <c r="E103" s="10">
        <v>0</v>
      </c>
      <c r="F103" s="10">
        <v>32317700</v>
      </c>
      <c r="G103" s="10">
        <v>14525800</v>
      </c>
      <c r="H103" s="10">
        <v>12150000</v>
      </c>
      <c r="I103" s="10">
        <v>2312900</v>
      </c>
      <c r="J103" s="10">
        <v>33700</v>
      </c>
      <c r="K103" s="10">
        <v>9000</v>
      </c>
      <c r="L103" s="10">
        <v>79049114</v>
      </c>
      <c r="M103" s="10">
        <v>52930050</v>
      </c>
      <c r="N103" s="10">
        <v>1274</v>
      </c>
      <c r="O103" s="10">
        <v>485</v>
      </c>
      <c r="P103" s="10">
        <v>1358300</v>
      </c>
      <c r="Q103" s="10">
        <v>39000</v>
      </c>
      <c r="R103" s="10">
        <v>0</v>
      </c>
      <c r="S103" s="10">
        <v>4394950</v>
      </c>
      <c r="T103" s="10">
        <v>103400</v>
      </c>
      <c r="U103" s="10">
        <v>489000</v>
      </c>
      <c r="V103" s="10">
        <v>1358300</v>
      </c>
      <c r="W103" s="10">
        <v>39000</v>
      </c>
      <c r="X103" s="10">
        <v>0</v>
      </c>
      <c r="Y103" s="10">
        <v>4394950</v>
      </c>
      <c r="Z103" s="10">
        <v>106500</v>
      </c>
      <c r="AA103" s="10">
        <v>0</v>
      </c>
      <c r="AB103" s="10">
        <v>-5090850</v>
      </c>
      <c r="AC103" s="10">
        <v>-133349</v>
      </c>
      <c r="AD103" s="10">
        <v>80923</v>
      </c>
      <c r="AE103" s="10">
        <v>0</v>
      </c>
      <c r="AF103" s="10">
        <v>0</v>
      </c>
      <c r="AG103" s="10">
        <v>252</v>
      </c>
      <c r="AH103" s="3"/>
      <c r="AI103" s="10">
        <v>159645</v>
      </c>
      <c r="AJ103" s="10">
        <v>0</v>
      </c>
      <c r="AK103" s="1">
        <v>68607106</v>
      </c>
      <c r="AL103" s="1">
        <v>1829110</v>
      </c>
      <c r="AM103" s="10">
        <v>27000</v>
      </c>
      <c r="AN103" s="10">
        <v>12323098</v>
      </c>
      <c r="AO103" s="10">
        <v>142804</v>
      </c>
      <c r="AP103" s="10">
        <v>8711587</v>
      </c>
      <c r="AQ103" s="10">
        <v>7080204</v>
      </c>
      <c r="AR103" s="10">
        <v>2904040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293895</v>
      </c>
      <c r="AY103" s="10">
        <v>30000</v>
      </c>
      <c r="AZ103" s="1">
        <v>5226069.5599999996</v>
      </c>
      <c r="BA103" s="1">
        <v>2665295</v>
      </c>
      <c r="BB103" s="19"/>
      <c r="BC103" s="15">
        <v>2085840</v>
      </c>
      <c r="BD103" s="15">
        <v>4089883</v>
      </c>
      <c r="BE103" s="20">
        <v>3867485</v>
      </c>
      <c r="BF103" s="20">
        <v>3867485</v>
      </c>
      <c r="BG103" s="20">
        <v>32368377</v>
      </c>
      <c r="BH103" s="20">
        <v>29448457</v>
      </c>
      <c r="BI103" s="19"/>
      <c r="BJ103" s="19"/>
      <c r="BK103" s="19"/>
      <c r="BL103" s="5">
        <v>486437611</v>
      </c>
      <c r="BM103" s="5">
        <v>377934318</v>
      </c>
      <c r="BN103" s="15">
        <v>539308</v>
      </c>
      <c r="BO103" s="3"/>
      <c r="BP103" s="1"/>
      <c r="BQ103" s="5"/>
      <c r="BR103" s="5"/>
      <c r="BS103" s="5"/>
    </row>
    <row r="104" spans="1:71" x14ac:dyDescent="0.25">
      <c r="A104" s="6" t="s">
        <v>158</v>
      </c>
      <c r="B104" s="10">
        <v>485205575</v>
      </c>
      <c r="C104" s="10">
        <v>91999179</v>
      </c>
      <c r="D104" s="10">
        <v>269617851</v>
      </c>
      <c r="E104" s="10">
        <v>0</v>
      </c>
      <c r="F104" s="10">
        <v>36627200</v>
      </c>
      <c r="G104" s="10">
        <v>9284686</v>
      </c>
      <c r="H104" s="10">
        <v>11769553</v>
      </c>
      <c r="I104" s="10">
        <v>1735675</v>
      </c>
      <c r="J104" s="10">
        <v>223000</v>
      </c>
      <c r="K104" s="10">
        <v>0</v>
      </c>
      <c r="L104" s="10">
        <v>83602036</v>
      </c>
      <c r="M104" s="10">
        <v>1950</v>
      </c>
      <c r="N104" s="10">
        <v>1569</v>
      </c>
      <c r="O104" s="10">
        <v>400</v>
      </c>
      <c r="P104" s="10">
        <v>10453710</v>
      </c>
      <c r="Q104" s="10">
        <v>1972032</v>
      </c>
      <c r="R104" s="10">
        <v>10551415</v>
      </c>
      <c r="S104" s="10">
        <v>4568017</v>
      </c>
      <c r="T104" s="10">
        <v>680732</v>
      </c>
      <c r="U104" s="10">
        <v>2476067</v>
      </c>
      <c r="V104" s="10">
        <v>10453710</v>
      </c>
      <c r="W104" s="10">
        <v>2480426</v>
      </c>
      <c r="X104" s="10">
        <v>10551415</v>
      </c>
      <c r="Y104" s="10">
        <v>4568017</v>
      </c>
      <c r="Z104" s="10">
        <v>1041952</v>
      </c>
      <c r="AA104" s="10">
        <v>2476067</v>
      </c>
      <c r="AB104" s="10">
        <v>-4272576</v>
      </c>
      <c r="AC104" s="10">
        <v>-57799</v>
      </c>
      <c r="AD104" s="10">
        <v>1056</v>
      </c>
      <c r="AE104" s="10">
        <v>0</v>
      </c>
      <c r="AF104" s="10">
        <v>0</v>
      </c>
      <c r="AG104" s="10">
        <v>88143</v>
      </c>
      <c r="AH104" s="3"/>
      <c r="AI104" s="10">
        <v>69661</v>
      </c>
      <c r="AJ104" s="3"/>
      <c r="AK104" s="1">
        <v>97343805</v>
      </c>
      <c r="AL104" s="1">
        <v>4868864</v>
      </c>
      <c r="AM104" s="10">
        <v>1268795</v>
      </c>
      <c r="AN104" s="10">
        <v>40203334</v>
      </c>
      <c r="AO104" s="10">
        <v>5050417</v>
      </c>
      <c r="AP104" s="10">
        <v>63202874</v>
      </c>
      <c r="AQ104" s="10">
        <v>30270000</v>
      </c>
      <c r="AR104" s="10">
        <v>25888690</v>
      </c>
      <c r="AS104" s="10">
        <v>23664195</v>
      </c>
      <c r="AT104" s="10">
        <v>296620</v>
      </c>
      <c r="AU104" s="10">
        <v>314469</v>
      </c>
      <c r="AV104" s="10">
        <v>0</v>
      </c>
      <c r="AW104" s="10">
        <v>7670</v>
      </c>
      <c r="AX104" s="10">
        <v>5171</v>
      </c>
      <c r="AY104" s="10">
        <v>211000</v>
      </c>
      <c r="AZ104" s="1">
        <v>7347223.2699999996</v>
      </c>
      <c r="BA104" s="1">
        <v>3747084</v>
      </c>
      <c r="BB104" s="19"/>
      <c r="BC104" s="15">
        <v>0</v>
      </c>
      <c r="BD104" s="15">
        <v>0</v>
      </c>
      <c r="BE104" s="20">
        <v>20543134</v>
      </c>
      <c r="BF104" s="20">
        <v>20543134</v>
      </c>
      <c r="BG104" s="20">
        <v>41451654</v>
      </c>
      <c r="BH104" s="20">
        <v>41451654</v>
      </c>
      <c r="BI104" s="19"/>
      <c r="BJ104" s="19"/>
      <c r="BK104" s="19"/>
      <c r="BL104" s="5">
        <v>1090370558</v>
      </c>
      <c r="BM104" s="5">
        <v>922416017</v>
      </c>
      <c r="BN104" s="15">
        <v>3707662</v>
      </c>
      <c r="BO104" s="3"/>
      <c r="BP104" s="1"/>
      <c r="BQ104" s="5"/>
      <c r="BR104" s="5"/>
      <c r="BS104" s="5"/>
    </row>
    <row r="105" spans="1:71" x14ac:dyDescent="0.25">
      <c r="A105" s="6" t="s">
        <v>159</v>
      </c>
      <c r="B105" s="10">
        <v>498372730</v>
      </c>
      <c r="C105" s="10">
        <v>121342830</v>
      </c>
      <c r="D105" s="10">
        <v>132014728</v>
      </c>
      <c r="E105" s="10">
        <v>10000000</v>
      </c>
      <c r="F105" s="10">
        <v>46267000</v>
      </c>
      <c r="G105" s="10">
        <v>14720150</v>
      </c>
      <c r="H105" s="10">
        <v>14754550</v>
      </c>
      <c r="I105" s="10">
        <v>1620700</v>
      </c>
      <c r="J105" s="10">
        <v>67400</v>
      </c>
      <c r="K105" s="10">
        <v>127100</v>
      </c>
      <c r="L105" s="10">
        <v>262588270</v>
      </c>
      <c r="M105" s="10">
        <v>0</v>
      </c>
      <c r="N105" s="10">
        <v>1973</v>
      </c>
      <c r="O105" s="10">
        <v>587</v>
      </c>
      <c r="P105" s="10">
        <v>147161655</v>
      </c>
      <c r="Q105" s="10">
        <v>1792200</v>
      </c>
      <c r="R105" s="10">
        <v>1592100</v>
      </c>
      <c r="S105" s="10">
        <v>1465085</v>
      </c>
      <c r="T105" s="10">
        <v>140458060</v>
      </c>
      <c r="U105" s="10">
        <v>782350</v>
      </c>
      <c r="V105" s="10">
        <v>147161655</v>
      </c>
      <c r="W105" s="10">
        <v>1792200</v>
      </c>
      <c r="X105" s="10">
        <v>1592100</v>
      </c>
      <c r="Y105" s="10">
        <v>1465085</v>
      </c>
      <c r="Z105" s="10">
        <v>140268260</v>
      </c>
      <c r="AA105" s="10">
        <v>782350</v>
      </c>
      <c r="AB105" s="10">
        <v>-3438875</v>
      </c>
      <c r="AC105" s="10">
        <v>-50908</v>
      </c>
      <c r="AD105" s="10">
        <v>127506</v>
      </c>
      <c r="AE105" s="10">
        <v>0</v>
      </c>
      <c r="AF105" s="10">
        <v>0</v>
      </c>
      <c r="AG105" s="10">
        <v>2405</v>
      </c>
      <c r="AH105" s="10">
        <v>164250</v>
      </c>
      <c r="AI105" s="3"/>
      <c r="AJ105" s="3"/>
      <c r="AK105" s="1">
        <v>80860977</v>
      </c>
      <c r="AL105" s="1">
        <v>18512292</v>
      </c>
      <c r="AM105" s="10">
        <v>17771729</v>
      </c>
      <c r="AN105" s="10">
        <v>28761911</v>
      </c>
      <c r="AO105" s="10">
        <v>1066281</v>
      </c>
      <c r="AP105" s="10">
        <v>66692407</v>
      </c>
      <c r="AQ105" s="10">
        <v>25499277</v>
      </c>
      <c r="AR105" s="10">
        <v>69108065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7700</v>
      </c>
      <c r="AY105" s="10">
        <v>5126000</v>
      </c>
      <c r="AZ105" s="1">
        <v>6210482.3099999996</v>
      </c>
      <c r="BA105" s="1">
        <v>3167346</v>
      </c>
      <c r="BB105" s="19"/>
      <c r="BC105" s="15">
        <v>0</v>
      </c>
      <c r="BD105" s="15">
        <v>0</v>
      </c>
      <c r="BE105" s="20">
        <v>3104530</v>
      </c>
      <c r="BF105" s="20">
        <v>3104530</v>
      </c>
      <c r="BG105" s="20">
        <v>49252995</v>
      </c>
      <c r="BH105" s="20">
        <v>49252995</v>
      </c>
      <c r="BI105" s="19"/>
      <c r="BJ105" s="19"/>
      <c r="BK105" s="19"/>
      <c r="BL105" s="5">
        <v>962120147</v>
      </c>
      <c r="BM105" s="5">
        <v>807222007</v>
      </c>
      <c r="BN105" s="15">
        <v>4912500</v>
      </c>
      <c r="BO105" s="3"/>
      <c r="BP105" s="1"/>
      <c r="BQ105" s="5"/>
      <c r="BR105" s="5"/>
      <c r="BS105" s="5"/>
    </row>
    <row r="106" spans="1:71" x14ac:dyDescent="0.25">
      <c r="A106" s="6" t="s">
        <v>160</v>
      </c>
      <c r="B106" s="10">
        <v>2193311575</v>
      </c>
      <c r="C106" s="10">
        <v>283012172</v>
      </c>
      <c r="D106" s="10">
        <v>890401576</v>
      </c>
      <c r="E106" s="10">
        <v>340000000</v>
      </c>
      <c r="F106" s="10">
        <v>57132196</v>
      </c>
      <c r="G106" s="10">
        <v>8504357</v>
      </c>
      <c r="H106" s="10">
        <v>10545821</v>
      </c>
      <c r="I106" s="10">
        <v>789424</v>
      </c>
      <c r="J106" s="10">
        <v>0</v>
      </c>
      <c r="K106" s="10">
        <v>0</v>
      </c>
      <c r="L106" s="10">
        <v>537320155</v>
      </c>
      <c r="M106" s="10">
        <v>217752471</v>
      </c>
      <c r="N106" s="10">
        <v>2036</v>
      </c>
      <c r="O106" s="10">
        <v>289</v>
      </c>
      <c r="P106" s="10">
        <v>69422652</v>
      </c>
      <c r="Q106" s="10">
        <v>4975537</v>
      </c>
      <c r="R106" s="10">
        <v>35406518</v>
      </c>
      <c r="S106" s="10">
        <v>7384234</v>
      </c>
      <c r="T106" s="10">
        <v>1891903</v>
      </c>
      <c r="U106" s="10">
        <v>188607846</v>
      </c>
      <c r="V106" s="10">
        <v>69422652</v>
      </c>
      <c r="W106" s="10">
        <v>7087916</v>
      </c>
      <c r="X106" s="10">
        <v>35406518</v>
      </c>
      <c r="Y106" s="10">
        <v>7384234</v>
      </c>
      <c r="Z106" s="10">
        <v>3442353</v>
      </c>
      <c r="AA106" s="10">
        <v>188607846</v>
      </c>
      <c r="AB106" s="10">
        <v>-8494570</v>
      </c>
      <c r="AC106" s="10">
        <v>-2647352</v>
      </c>
      <c r="AD106" s="10">
        <v>0</v>
      </c>
      <c r="AE106" s="10">
        <v>0</v>
      </c>
      <c r="AF106" s="10">
        <v>0</v>
      </c>
      <c r="AG106" s="10">
        <v>151756</v>
      </c>
      <c r="AH106" s="10">
        <v>0</v>
      </c>
      <c r="AI106" s="10">
        <v>843565</v>
      </c>
      <c r="AJ106" s="3"/>
      <c r="AK106" s="1">
        <v>291558215</v>
      </c>
      <c r="AL106" s="1">
        <v>6310870</v>
      </c>
      <c r="AM106" s="10">
        <v>0</v>
      </c>
      <c r="AN106" s="10">
        <v>85514056</v>
      </c>
      <c r="AO106" s="10">
        <v>9173949</v>
      </c>
      <c r="AP106" s="10">
        <v>197604670</v>
      </c>
      <c r="AQ106" s="10">
        <v>104525661</v>
      </c>
      <c r="AR106" s="10">
        <v>104348872</v>
      </c>
      <c r="AS106" s="10">
        <v>89166352</v>
      </c>
      <c r="AT106" s="10">
        <v>11737878</v>
      </c>
      <c r="AU106" s="10">
        <v>0</v>
      </c>
      <c r="AV106" s="10">
        <v>15261</v>
      </c>
      <c r="AW106" s="10">
        <v>0</v>
      </c>
      <c r="AX106" s="10">
        <v>3471481</v>
      </c>
      <c r="AY106" s="10">
        <v>6103867</v>
      </c>
      <c r="AZ106" s="1">
        <v>21904311.16</v>
      </c>
      <c r="BA106" s="1">
        <v>11171199</v>
      </c>
      <c r="BB106" s="19"/>
      <c r="BC106" s="15">
        <v>3308485</v>
      </c>
      <c r="BD106" s="15">
        <v>6487225</v>
      </c>
      <c r="BE106" s="20">
        <v>49952278</v>
      </c>
      <c r="BF106" s="20">
        <v>49916667</v>
      </c>
      <c r="BG106" s="20">
        <v>73176716</v>
      </c>
      <c r="BH106" s="20">
        <v>64045624</v>
      </c>
      <c r="BI106" s="19"/>
      <c r="BJ106" s="19"/>
      <c r="BK106" s="19"/>
      <c r="BL106" s="5">
        <v>3993093614</v>
      </c>
      <c r="BM106" s="5">
        <v>3566782554</v>
      </c>
      <c r="BN106" s="15">
        <v>3805295</v>
      </c>
      <c r="BO106" s="3"/>
      <c r="BP106" s="1"/>
      <c r="BQ106" s="5"/>
      <c r="BR106" s="5"/>
      <c r="BS106" s="5"/>
    </row>
    <row r="107" spans="1:71" x14ac:dyDescent="0.25">
      <c r="A107" s="6" t="s">
        <v>161</v>
      </c>
      <c r="B107" s="10">
        <v>1723877956</v>
      </c>
      <c r="C107" s="10">
        <v>424998506</v>
      </c>
      <c r="D107" s="10">
        <v>458821275</v>
      </c>
      <c r="E107" s="10">
        <v>0</v>
      </c>
      <c r="F107" s="10">
        <v>68252181</v>
      </c>
      <c r="G107" s="10">
        <v>5524300</v>
      </c>
      <c r="H107" s="10">
        <v>16802100</v>
      </c>
      <c r="I107" s="10">
        <v>1035500</v>
      </c>
      <c r="J107" s="10">
        <v>101100</v>
      </c>
      <c r="K107" s="10">
        <v>0</v>
      </c>
      <c r="L107" s="10">
        <v>710630582</v>
      </c>
      <c r="M107" s="10">
        <v>275482425</v>
      </c>
      <c r="N107" s="10">
        <v>2549</v>
      </c>
      <c r="O107" s="10">
        <v>196</v>
      </c>
      <c r="P107" s="10">
        <v>27039487</v>
      </c>
      <c r="Q107" s="10">
        <v>5511576</v>
      </c>
      <c r="R107" s="10">
        <v>759000</v>
      </c>
      <c r="S107" s="10">
        <v>12051606</v>
      </c>
      <c r="T107" s="10">
        <v>4402250</v>
      </c>
      <c r="U107" s="10">
        <v>3815476</v>
      </c>
      <c r="V107" s="10">
        <v>27039487</v>
      </c>
      <c r="W107" s="10">
        <v>6993344</v>
      </c>
      <c r="X107" s="10">
        <v>759000</v>
      </c>
      <c r="Y107" s="10">
        <v>12051606</v>
      </c>
      <c r="Z107" s="10">
        <v>2036165</v>
      </c>
      <c r="AA107" s="10">
        <v>3815476</v>
      </c>
      <c r="AB107" s="10">
        <v>-9507345</v>
      </c>
      <c r="AC107" s="10">
        <v>-1267230</v>
      </c>
      <c r="AD107" s="10">
        <v>147</v>
      </c>
      <c r="AE107" s="10">
        <v>0</v>
      </c>
      <c r="AF107" s="10">
        <v>3712425</v>
      </c>
      <c r="AG107" s="10">
        <v>234038</v>
      </c>
      <c r="AH107" s="3"/>
      <c r="AI107" s="3"/>
      <c r="AJ107" s="3"/>
      <c r="AK107" s="1">
        <v>238825432</v>
      </c>
      <c r="AL107" s="1">
        <v>5893052</v>
      </c>
      <c r="AM107" s="10">
        <v>7000</v>
      </c>
      <c r="AN107" s="10">
        <v>120892493</v>
      </c>
      <c r="AO107" s="10">
        <v>7079461</v>
      </c>
      <c r="AP107" s="10">
        <v>304125870</v>
      </c>
      <c r="AQ107" s="10">
        <v>78871166</v>
      </c>
      <c r="AR107" s="10">
        <v>98833524</v>
      </c>
      <c r="AS107" s="10">
        <v>17058678</v>
      </c>
      <c r="AT107" s="10">
        <v>1792178</v>
      </c>
      <c r="AU107" s="10">
        <v>0</v>
      </c>
      <c r="AV107" s="10">
        <v>0</v>
      </c>
      <c r="AW107" s="10">
        <v>1605659</v>
      </c>
      <c r="AX107" s="10">
        <v>575620</v>
      </c>
      <c r="AY107" s="10">
        <v>303500</v>
      </c>
      <c r="AZ107" s="1">
        <v>18245661.100000001</v>
      </c>
      <c r="BA107" s="1">
        <v>9305287</v>
      </c>
      <c r="BB107" s="19"/>
      <c r="BC107" s="15">
        <v>3868088</v>
      </c>
      <c r="BD107" s="15">
        <v>7584486</v>
      </c>
      <c r="BE107" s="20">
        <v>39007458</v>
      </c>
      <c r="BF107" s="20">
        <v>38457136</v>
      </c>
      <c r="BG107" s="20">
        <v>67802168</v>
      </c>
      <c r="BH107" s="20">
        <v>60224162</v>
      </c>
      <c r="BI107" s="19"/>
      <c r="BJ107" s="19"/>
      <c r="BK107" s="19"/>
      <c r="BL107" s="5">
        <v>3171114014</v>
      </c>
      <c r="BM107" s="5">
        <v>2814540857</v>
      </c>
      <c r="BN107" s="15">
        <v>1910564</v>
      </c>
      <c r="BO107" s="3"/>
      <c r="BP107" s="1"/>
      <c r="BQ107" s="5"/>
      <c r="BR107" s="5"/>
      <c r="BS107" s="5"/>
    </row>
    <row r="108" spans="1:71" x14ac:dyDescent="0.25">
      <c r="A108" s="6" t="s">
        <v>162</v>
      </c>
      <c r="B108" s="10">
        <v>490952758</v>
      </c>
      <c r="C108" s="10">
        <v>174189450</v>
      </c>
      <c r="D108" s="10">
        <v>293804804</v>
      </c>
      <c r="E108" s="10">
        <v>0</v>
      </c>
      <c r="F108" s="10">
        <v>38850144</v>
      </c>
      <c r="G108" s="10">
        <v>4625800</v>
      </c>
      <c r="H108" s="10">
        <v>6195500</v>
      </c>
      <c r="I108" s="10">
        <v>572900</v>
      </c>
      <c r="J108" s="10">
        <v>0</v>
      </c>
      <c r="K108" s="10">
        <v>0</v>
      </c>
      <c r="L108" s="10">
        <v>339547609</v>
      </c>
      <c r="M108" s="10">
        <v>87949470</v>
      </c>
      <c r="N108" s="10">
        <v>1369</v>
      </c>
      <c r="O108" s="10">
        <v>163</v>
      </c>
      <c r="P108" s="10">
        <v>10423408</v>
      </c>
      <c r="Q108" s="10">
        <v>2835750</v>
      </c>
      <c r="R108" s="10">
        <v>4951396</v>
      </c>
      <c r="S108" s="10">
        <v>5064106</v>
      </c>
      <c r="T108" s="10">
        <v>2333500</v>
      </c>
      <c r="U108" s="10">
        <v>6029445</v>
      </c>
      <c r="V108" s="10">
        <v>10423408</v>
      </c>
      <c r="W108" s="10">
        <v>2897651</v>
      </c>
      <c r="X108" s="10">
        <v>4951396</v>
      </c>
      <c r="Y108" s="10">
        <v>5064106</v>
      </c>
      <c r="Z108" s="10">
        <v>3026000</v>
      </c>
      <c r="AA108" s="10">
        <v>6029445</v>
      </c>
      <c r="AB108" s="10">
        <v>-4584600</v>
      </c>
      <c r="AC108" s="10">
        <v>-12951514</v>
      </c>
      <c r="AD108" s="10">
        <v>0</v>
      </c>
      <c r="AE108" s="10">
        <v>0</v>
      </c>
      <c r="AF108" s="10">
        <v>0</v>
      </c>
      <c r="AG108" s="10">
        <v>0</v>
      </c>
      <c r="AH108" s="10">
        <v>175297</v>
      </c>
      <c r="AI108" s="10">
        <v>217597</v>
      </c>
      <c r="AJ108" s="3"/>
      <c r="AK108" s="1">
        <v>87632537</v>
      </c>
      <c r="AL108" s="1">
        <v>2241319</v>
      </c>
      <c r="AM108" s="10">
        <v>0</v>
      </c>
      <c r="AN108" s="10">
        <v>45517758</v>
      </c>
      <c r="AO108" s="10">
        <v>5498255</v>
      </c>
      <c r="AP108" s="10">
        <v>193711481</v>
      </c>
      <c r="AQ108" s="10">
        <v>47686494</v>
      </c>
      <c r="AR108" s="10">
        <v>48070003</v>
      </c>
      <c r="AS108" s="10">
        <v>11835389</v>
      </c>
      <c r="AT108" s="10">
        <v>18271781</v>
      </c>
      <c r="AU108" s="10">
        <v>0</v>
      </c>
      <c r="AV108" s="10">
        <v>1461782</v>
      </c>
      <c r="AW108" s="10">
        <v>1613477</v>
      </c>
      <c r="AX108" s="10">
        <v>96740</v>
      </c>
      <c r="AY108" s="10">
        <v>172000</v>
      </c>
      <c r="AZ108" s="1">
        <v>6749539.8099999996</v>
      </c>
      <c r="BA108" s="1">
        <v>3442265</v>
      </c>
      <c r="BB108" s="19"/>
      <c r="BC108" s="15">
        <v>748896</v>
      </c>
      <c r="BD108" s="15">
        <v>1468423</v>
      </c>
      <c r="BE108" s="20">
        <v>8866781</v>
      </c>
      <c r="BF108" s="20">
        <v>8866781</v>
      </c>
      <c r="BG108" s="20">
        <v>20828771</v>
      </c>
      <c r="BH108" s="20">
        <v>19131295</v>
      </c>
      <c r="BI108" s="19"/>
      <c r="BJ108" s="19">
        <v>4283464</v>
      </c>
      <c r="BK108" s="19"/>
      <c r="BL108" s="5">
        <v>1184388970</v>
      </c>
      <c r="BM108" s="5">
        <v>1058042413</v>
      </c>
      <c r="BN108" s="15">
        <v>1674747</v>
      </c>
      <c r="BO108" s="3"/>
      <c r="BP108" s="1"/>
      <c r="BQ108" s="5"/>
      <c r="BR108" s="5"/>
      <c r="BS108" s="5"/>
    </row>
    <row r="109" spans="1:71" x14ac:dyDescent="0.25">
      <c r="A109" s="6" t="s">
        <v>163</v>
      </c>
      <c r="B109" s="10">
        <v>770830141</v>
      </c>
      <c r="C109" s="10">
        <v>154858348</v>
      </c>
      <c r="D109" s="10">
        <v>51233630</v>
      </c>
      <c r="E109" s="10">
        <v>0</v>
      </c>
      <c r="F109" s="10">
        <v>23788500</v>
      </c>
      <c r="G109" s="10">
        <v>5717900</v>
      </c>
      <c r="H109" s="10">
        <v>6888973</v>
      </c>
      <c r="I109" s="10">
        <v>941900</v>
      </c>
      <c r="J109" s="10">
        <v>33700</v>
      </c>
      <c r="K109" s="10">
        <v>0</v>
      </c>
      <c r="L109" s="10">
        <v>173262464</v>
      </c>
      <c r="M109" s="10">
        <v>108322347</v>
      </c>
      <c r="N109" s="10">
        <v>935</v>
      </c>
      <c r="O109" s="10">
        <v>207</v>
      </c>
      <c r="P109" s="10">
        <v>25449450</v>
      </c>
      <c r="Q109" s="10">
        <v>34769385</v>
      </c>
      <c r="R109" s="10">
        <v>2739060</v>
      </c>
      <c r="S109" s="10">
        <v>38148337</v>
      </c>
      <c r="T109" s="10">
        <v>16879899</v>
      </c>
      <c r="U109" s="10">
        <v>195300</v>
      </c>
      <c r="V109" s="10">
        <v>25449450</v>
      </c>
      <c r="W109" s="10">
        <v>43985341</v>
      </c>
      <c r="X109" s="10">
        <v>2739060</v>
      </c>
      <c r="Y109" s="10">
        <v>38148337</v>
      </c>
      <c r="Z109" s="10">
        <v>3272040</v>
      </c>
      <c r="AA109" s="10">
        <v>195300</v>
      </c>
      <c r="AB109" s="10">
        <v>-5714744</v>
      </c>
      <c r="AC109" s="10">
        <v>-426000</v>
      </c>
      <c r="AD109" s="10">
        <v>21801</v>
      </c>
      <c r="AE109" s="10">
        <v>0</v>
      </c>
      <c r="AF109" s="10">
        <v>165934043</v>
      </c>
      <c r="AG109" s="10">
        <v>94224</v>
      </c>
      <c r="AH109" s="3"/>
      <c r="AI109" s="3"/>
      <c r="AJ109" s="3"/>
      <c r="AK109" s="1">
        <v>96393827</v>
      </c>
      <c r="AL109" s="1">
        <v>6195707</v>
      </c>
      <c r="AM109" s="10">
        <v>794147</v>
      </c>
      <c r="AN109" s="10">
        <v>8090070</v>
      </c>
      <c r="AO109" s="10">
        <v>19541</v>
      </c>
      <c r="AP109" s="10">
        <v>169187</v>
      </c>
      <c r="AQ109" s="10">
        <v>2433257</v>
      </c>
      <c r="AR109" s="10">
        <v>168627</v>
      </c>
      <c r="AS109" s="10">
        <v>0</v>
      </c>
      <c r="AT109" s="10">
        <v>1015347</v>
      </c>
      <c r="AU109" s="10">
        <v>0</v>
      </c>
      <c r="AV109" s="10">
        <v>0</v>
      </c>
      <c r="AW109" s="10">
        <v>0</v>
      </c>
      <c r="AX109" s="10">
        <v>14581</v>
      </c>
      <c r="AY109" s="10">
        <v>127200</v>
      </c>
      <c r="AZ109" s="1">
        <v>7318851.9400000004</v>
      </c>
      <c r="BA109" s="1">
        <v>3732614</v>
      </c>
      <c r="BB109" s="19"/>
      <c r="BC109" s="15">
        <v>0</v>
      </c>
      <c r="BD109" s="15">
        <v>0</v>
      </c>
      <c r="BE109" s="20">
        <v>307781</v>
      </c>
      <c r="BF109" s="20">
        <v>307781</v>
      </c>
      <c r="BG109" s="20">
        <v>17573515</v>
      </c>
      <c r="BH109" s="20">
        <v>17573515</v>
      </c>
      <c r="BI109" s="19"/>
      <c r="BJ109" s="19"/>
      <c r="BK109" s="19"/>
      <c r="BL109" s="5">
        <v>1111668431</v>
      </c>
      <c r="BM109" s="5">
        <v>987464987</v>
      </c>
      <c r="BN109" s="15">
        <v>133413</v>
      </c>
      <c r="BO109" s="3"/>
      <c r="BP109" s="1"/>
      <c r="BQ109" s="5"/>
      <c r="BR109" s="5"/>
      <c r="BS109" s="5"/>
    </row>
    <row r="110" spans="1:71" x14ac:dyDescent="0.25">
      <c r="A110" s="6" t="s">
        <v>164</v>
      </c>
      <c r="B110" s="10">
        <v>566777726</v>
      </c>
      <c r="C110" s="10">
        <v>119587329</v>
      </c>
      <c r="D110" s="10">
        <v>247798609</v>
      </c>
      <c r="E110" s="10">
        <v>0</v>
      </c>
      <c r="F110" s="10">
        <v>54280185</v>
      </c>
      <c r="G110" s="10">
        <v>20460791</v>
      </c>
      <c r="H110" s="10">
        <v>11780975</v>
      </c>
      <c r="I110" s="10">
        <v>2154400</v>
      </c>
      <c r="J110" s="10">
        <v>168500</v>
      </c>
      <c r="K110" s="10">
        <v>58700</v>
      </c>
      <c r="L110" s="10">
        <v>238765798</v>
      </c>
      <c r="M110" s="10">
        <v>83261205</v>
      </c>
      <c r="N110" s="10">
        <v>2045</v>
      </c>
      <c r="O110" s="10">
        <v>744</v>
      </c>
      <c r="P110" s="10">
        <v>5854368</v>
      </c>
      <c r="Q110" s="10">
        <v>696900</v>
      </c>
      <c r="R110" s="10">
        <v>1989250</v>
      </c>
      <c r="S110" s="10">
        <v>3158990</v>
      </c>
      <c r="T110" s="10">
        <v>136240</v>
      </c>
      <c r="U110" s="10">
        <v>4048593</v>
      </c>
      <c r="V110" s="10">
        <v>5854368</v>
      </c>
      <c r="W110" s="10">
        <v>704000</v>
      </c>
      <c r="X110" s="10">
        <v>1989250</v>
      </c>
      <c r="Y110" s="10">
        <v>3158990</v>
      </c>
      <c r="Z110" s="10">
        <v>85000</v>
      </c>
      <c r="AA110" s="10">
        <v>4048593</v>
      </c>
      <c r="AB110" s="10">
        <v>-4646282</v>
      </c>
      <c r="AC110" s="10">
        <v>-849113</v>
      </c>
      <c r="AD110" s="10">
        <v>50858</v>
      </c>
      <c r="AE110" s="10">
        <v>0</v>
      </c>
      <c r="AF110" s="10">
        <v>0</v>
      </c>
      <c r="AG110" s="10">
        <v>136367</v>
      </c>
      <c r="AH110" s="3"/>
      <c r="AI110" s="10">
        <v>13435</v>
      </c>
      <c r="AJ110" s="3"/>
      <c r="AK110" s="1">
        <v>109812204</v>
      </c>
      <c r="AL110" s="1">
        <v>4534992</v>
      </c>
      <c r="AM110" s="10">
        <v>4657532</v>
      </c>
      <c r="AN110" s="10">
        <v>67480091</v>
      </c>
      <c r="AO110" s="10">
        <v>1190921</v>
      </c>
      <c r="AP110" s="10">
        <v>50786723</v>
      </c>
      <c r="AQ110" s="10">
        <v>35374724</v>
      </c>
      <c r="AR110" s="10">
        <v>24822590</v>
      </c>
      <c r="AS110" s="10">
        <v>91768698</v>
      </c>
      <c r="AT110" s="10">
        <v>329035</v>
      </c>
      <c r="AU110" s="10">
        <v>0</v>
      </c>
      <c r="AV110" s="10">
        <v>0</v>
      </c>
      <c r="AW110" s="10">
        <v>47002</v>
      </c>
      <c r="AX110" s="10">
        <v>4929</v>
      </c>
      <c r="AY110" s="10">
        <v>403000</v>
      </c>
      <c r="AZ110" s="1">
        <v>8805348.6799999997</v>
      </c>
      <c r="BA110" s="1">
        <v>4490728</v>
      </c>
      <c r="BB110" s="19"/>
      <c r="BC110" s="15">
        <v>0</v>
      </c>
      <c r="BD110" s="15">
        <v>0</v>
      </c>
      <c r="BE110" s="20">
        <v>11497573</v>
      </c>
      <c r="BF110" s="20">
        <v>11497573</v>
      </c>
      <c r="BG110" s="20">
        <v>39827440</v>
      </c>
      <c r="BH110" s="20">
        <v>39825767</v>
      </c>
      <c r="BI110" s="19"/>
      <c r="BJ110" s="19"/>
      <c r="BK110" s="19"/>
      <c r="BL110" s="5">
        <v>1208384099</v>
      </c>
      <c r="BM110" s="5">
        <v>1038222835</v>
      </c>
      <c r="BN110" s="15">
        <v>1468000</v>
      </c>
      <c r="BO110" s="3"/>
      <c r="BP110" s="1"/>
      <c r="BQ110" s="5"/>
      <c r="BR110" s="5"/>
      <c r="BS110" s="5"/>
    </row>
    <row r="111" spans="1:71" x14ac:dyDescent="0.25">
      <c r="A111" s="6" t="s">
        <v>165</v>
      </c>
      <c r="B111" s="10">
        <v>185231138</v>
      </c>
      <c r="C111" s="10">
        <v>142728009</v>
      </c>
      <c r="D111" s="10">
        <v>53596603</v>
      </c>
      <c r="E111" s="10">
        <v>0</v>
      </c>
      <c r="F111" s="10">
        <v>24841835</v>
      </c>
      <c r="G111" s="10">
        <v>3869622</v>
      </c>
      <c r="H111" s="10">
        <v>9168438</v>
      </c>
      <c r="I111" s="10">
        <v>319700</v>
      </c>
      <c r="J111" s="10">
        <v>0</v>
      </c>
      <c r="K111" s="10">
        <v>0</v>
      </c>
      <c r="L111" s="10">
        <v>278271936</v>
      </c>
      <c r="M111" s="10">
        <v>55856339</v>
      </c>
      <c r="N111" s="10">
        <v>1086</v>
      </c>
      <c r="O111" s="10">
        <v>143</v>
      </c>
      <c r="P111" s="10">
        <v>4492340</v>
      </c>
      <c r="Q111" s="10">
        <v>3764560</v>
      </c>
      <c r="R111" s="10">
        <v>578940</v>
      </c>
      <c r="S111" s="10">
        <v>1233101</v>
      </c>
      <c r="T111" s="10">
        <v>23825</v>
      </c>
      <c r="U111" s="10">
        <v>136500</v>
      </c>
      <c r="V111" s="10">
        <v>4492340</v>
      </c>
      <c r="W111" s="10">
        <v>3764560</v>
      </c>
      <c r="X111" s="10">
        <v>578940</v>
      </c>
      <c r="Y111" s="10">
        <v>1233101</v>
      </c>
      <c r="Z111" s="10">
        <v>23825</v>
      </c>
      <c r="AA111" s="10">
        <v>136500</v>
      </c>
      <c r="AB111" s="10">
        <v>-1872983</v>
      </c>
      <c r="AC111" s="10">
        <v>-20932</v>
      </c>
      <c r="AD111" s="10">
        <v>70880</v>
      </c>
      <c r="AE111" s="10">
        <v>94366</v>
      </c>
      <c r="AF111" s="10">
        <v>83814787</v>
      </c>
      <c r="AG111" s="10">
        <v>227397</v>
      </c>
      <c r="AH111" s="10">
        <v>285264</v>
      </c>
      <c r="AI111" s="10">
        <v>4944</v>
      </c>
      <c r="AJ111" s="3"/>
      <c r="AK111" s="1">
        <v>54263801</v>
      </c>
      <c r="AL111" s="1">
        <v>1145373</v>
      </c>
      <c r="AM111" s="10">
        <v>0</v>
      </c>
      <c r="AN111" s="10">
        <v>7178932</v>
      </c>
      <c r="AO111" s="10">
        <v>101201</v>
      </c>
      <c r="AP111" s="10">
        <v>15205637</v>
      </c>
      <c r="AQ111" s="10">
        <v>8173324</v>
      </c>
      <c r="AR111" s="10">
        <v>10638271</v>
      </c>
      <c r="AS111" s="10">
        <v>62764</v>
      </c>
      <c r="AT111" s="10">
        <v>4761105</v>
      </c>
      <c r="AU111" s="10">
        <v>0</v>
      </c>
      <c r="AV111" s="10">
        <v>2307715</v>
      </c>
      <c r="AW111" s="10">
        <v>5555472</v>
      </c>
      <c r="AX111" s="10">
        <v>3808</v>
      </c>
      <c r="AY111" s="10">
        <v>0</v>
      </c>
      <c r="AZ111" s="1">
        <v>4088487.47</v>
      </c>
      <c r="BA111" s="1">
        <v>2085129</v>
      </c>
      <c r="BB111" s="19"/>
      <c r="BC111" s="15">
        <v>1149720</v>
      </c>
      <c r="BD111" s="15">
        <v>2254354</v>
      </c>
      <c r="BE111" s="20">
        <v>6137487</v>
      </c>
      <c r="BF111" s="20">
        <v>6137487</v>
      </c>
      <c r="BG111" s="20">
        <v>50792133</v>
      </c>
      <c r="BH111" s="20">
        <v>36585093</v>
      </c>
      <c r="BI111" s="19"/>
      <c r="BJ111" s="19"/>
      <c r="BK111" s="19"/>
      <c r="BL111" s="5">
        <v>498666018</v>
      </c>
      <c r="BM111" s="5">
        <v>397299415</v>
      </c>
      <c r="BN111" s="15">
        <v>855372</v>
      </c>
      <c r="BO111" s="3"/>
      <c r="BP111" s="1"/>
      <c r="BQ111" s="5"/>
      <c r="BR111" s="5"/>
      <c r="BS111" s="5"/>
    </row>
    <row r="112" spans="1:71" x14ac:dyDescent="0.25">
      <c r="A112" s="6" t="s">
        <v>166</v>
      </c>
      <c r="B112" s="10">
        <v>551540549</v>
      </c>
      <c r="C112" s="10">
        <v>83357784</v>
      </c>
      <c r="D112" s="10">
        <v>75400699</v>
      </c>
      <c r="E112" s="10">
        <v>0</v>
      </c>
      <c r="F112" s="10">
        <v>42047915</v>
      </c>
      <c r="G112" s="10">
        <v>8441288</v>
      </c>
      <c r="H112" s="10">
        <v>5543332</v>
      </c>
      <c r="I112" s="10">
        <v>600349</v>
      </c>
      <c r="J112" s="10">
        <v>100400</v>
      </c>
      <c r="K112" s="10">
        <v>0</v>
      </c>
      <c r="L112" s="10">
        <v>321930684</v>
      </c>
      <c r="M112" s="10">
        <v>48873143</v>
      </c>
      <c r="N112" s="10">
        <v>1510</v>
      </c>
      <c r="O112" s="10">
        <v>302</v>
      </c>
      <c r="P112" s="10">
        <v>16554940</v>
      </c>
      <c r="Q112" s="10">
        <v>2562500</v>
      </c>
      <c r="R112" s="10">
        <v>682360</v>
      </c>
      <c r="S112" s="10">
        <v>2174965</v>
      </c>
      <c r="T112" s="10">
        <v>42500</v>
      </c>
      <c r="U112" s="10">
        <v>844000</v>
      </c>
      <c r="V112" s="10">
        <v>16554940</v>
      </c>
      <c r="W112" s="10">
        <v>2562500</v>
      </c>
      <c r="X112" s="10">
        <v>682360</v>
      </c>
      <c r="Y112" s="10">
        <v>2174965</v>
      </c>
      <c r="Z112" s="10">
        <v>137658</v>
      </c>
      <c r="AA112" s="10">
        <v>844000</v>
      </c>
      <c r="AB112" s="10">
        <v>-3305036</v>
      </c>
      <c r="AC112" s="10">
        <v>-16014</v>
      </c>
      <c r="AD112" s="10">
        <v>66579</v>
      </c>
      <c r="AE112" s="10">
        <v>0</v>
      </c>
      <c r="AF112" s="10">
        <v>0</v>
      </c>
      <c r="AG112" s="10">
        <v>1041</v>
      </c>
      <c r="AH112" s="3"/>
      <c r="AI112" s="10">
        <v>109863</v>
      </c>
      <c r="AJ112" s="3"/>
      <c r="AK112" s="1">
        <v>79836604</v>
      </c>
      <c r="AL112" s="1">
        <v>12256616</v>
      </c>
      <c r="AM112" s="10">
        <v>1075487</v>
      </c>
      <c r="AN112" s="10">
        <v>11162054</v>
      </c>
      <c r="AO112" s="10">
        <v>359587</v>
      </c>
      <c r="AP112" s="10">
        <v>49476780</v>
      </c>
      <c r="AQ112" s="10">
        <v>14037453</v>
      </c>
      <c r="AR112" s="10">
        <v>11139527</v>
      </c>
      <c r="AS112" s="10">
        <v>4581666</v>
      </c>
      <c r="AT112" s="10">
        <v>1731120</v>
      </c>
      <c r="AU112" s="10">
        <v>0</v>
      </c>
      <c r="AV112" s="10">
        <v>0</v>
      </c>
      <c r="AW112" s="10">
        <v>150780106</v>
      </c>
      <c r="AX112" s="10">
        <v>7754</v>
      </c>
      <c r="AY112" s="10">
        <v>150000</v>
      </c>
      <c r="AZ112" s="1">
        <v>5989159.3899999997</v>
      </c>
      <c r="BA112" s="1">
        <v>3054471</v>
      </c>
      <c r="BB112" s="19">
        <v>21668689.210000001</v>
      </c>
      <c r="BC112" s="15">
        <v>0</v>
      </c>
      <c r="BD112" s="15">
        <v>0</v>
      </c>
      <c r="BE112" s="20">
        <v>3330710</v>
      </c>
      <c r="BF112" s="20">
        <v>3330710</v>
      </c>
      <c r="BG112" s="20">
        <v>20662615</v>
      </c>
      <c r="BH112" s="20">
        <v>20659269</v>
      </c>
      <c r="BI112" s="19"/>
      <c r="BJ112" s="19"/>
      <c r="BK112" s="19"/>
      <c r="BL112" s="5">
        <v>855105659</v>
      </c>
      <c r="BM112" s="5">
        <v>735967989</v>
      </c>
      <c r="BN112" s="15">
        <v>523737</v>
      </c>
      <c r="BO112" s="3"/>
      <c r="BP112" s="1"/>
      <c r="BQ112" s="5"/>
      <c r="BR112" s="5"/>
      <c r="BS112" s="5"/>
    </row>
    <row r="113" spans="1:71" x14ac:dyDescent="0.25">
      <c r="A113" s="6" t="s">
        <v>167</v>
      </c>
      <c r="B113" s="10">
        <v>189912500</v>
      </c>
      <c r="C113" s="10">
        <v>80429100</v>
      </c>
      <c r="D113" s="10">
        <v>16500400</v>
      </c>
      <c r="E113" s="10">
        <v>0</v>
      </c>
      <c r="F113" s="10">
        <v>14118400</v>
      </c>
      <c r="G113" s="10">
        <v>4054500</v>
      </c>
      <c r="H113" s="10">
        <v>5607900</v>
      </c>
      <c r="I113" s="10">
        <v>915800</v>
      </c>
      <c r="J113" s="10">
        <v>0</v>
      </c>
      <c r="K113" s="10">
        <v>0</v>
      </c>
      <c r="L113" s="10">
        <v>110615200</v>
      </c>
      <c r="M113" s="10">
        <v>54166500</v>
      </c>
      <c r="N113" s="10">
        <v>615</v>
      </c>
      <c r="O113" s="10">
        <v>165</v>
      </c>
      <c r="P113" s="10">
        <v>4547200</v>
      </c>
      <c r="Q113" s="10">
        <v>3176900</v>
      </c>
      <c r="R113" s="10">
        <v>217000</v>
      </c>
      <c r="S113" s="10">
        <v>3284900</v>
      </c>
      <c r="T113" s="10">
        <v>1004200</v>
      </c>
      <c r="U113" s="10">
        <v>167000</v>
      </c>
      <c r="V113" s="10">
        <v>4547200</v>
      </c>
      <c r="W113" s="10">
        <v>3711100</v>
      </c>
      <c r="X113" s="10">
        <v>217000</v>
      </c>
      <c r="Y113" s="10">
        <v>3284900</v>
      </c>
      <c r="Z113" s="10">
        <v>793400</v>
      </c>
      <c r="AA113" s="10">
        <v>167000</v>
      </c>
      <c r="AB113" s="10">
        <v>-1575800</v>
      </c>
      <c r="AC113" s="10">
        <v>-491342</v>
      </c>
      <c r="AD113" s="10">
        <v>41646</v>
      </c>
      <c r="AE113" s="10">
        <v>88740</v>
      </c>
      <c r="AF113" s="10">
        <v>39821900</v>
      </c>
      <c r="AG113" s="10">
        <v>82898</v>
      </c>
      <c r="AH113" s="3"/>
      <c r="AI113" s="10">
        <v>23177</v>
      </c>
      <c r="AJ113" s="3"/>
      <c r="AK113" s="1">
        <v>47979988</v>
      </c>
      <c r="AL113" s="1">
        <v>1700591</v>
      </c>
      <c r="AM113" s="10">
        <v>4000</v>
      </c>
      <c r="AN113" s="10">
        <v>12731475</v>
      </c>
      <c r="AO113" s="10">
        <v>31523</v>
      </c>
      <c r="AP113" s="10">
        <v>481364</v>
      </c>
      <c r="AQ113" s="10">
        <v>1066623</v>
      </c>
      <c r="AR113" s="10">
        <v>188098</v>
      </c>
      <c r="AS113" s="10">
        <v>0</v>
      </c>
      <c r="AT113" s="10">
        <v>18813</v>
      </c>
      <c r="AU113" s="10">
        <v>0</v>
      </c>
      <c r="AV113" s="10">
        <v>0</v>
      </c>
      <c r="AW113" s="10">
        <v>0</v>
      </c>
      <c r="AX113" s="10">
        <v>14642</v>
      </c>
      <c r="AY113" s="10">
        <v>0</v>
      </c>
      <c r="AZ113" s="1">
        <v>3738596.8</v>
      </c>
      <c r="BA113" s="1">
        <v>1906684</v>
      </c>
      <c r="BB113" s="19">
        <v>16760312.09</v>
      </c>
      <c r="BC113" s="15">
        <v>0</v>
      </c>
      <c r="BD113" s="15">
        <v>0</v>
      </c>
      <c r="BE113" s="20">
        <v>76622087</v>
      </c>
      <c r="BF113" s="20">
        <v>76622087</v>
      </c>
      <c r="BG113" s="20">
        <v>33617869</v>
      </c>
      <c r="BH113" s="20">
        <v>33617869</v>
      </c>
      <c r="BI113" s="19"/>
      <c r="BJ113" s="19"/>
      <c r="BK113" s="19"/>
      <c r="BL113" s="5">
        <v>462522017</v>
      </c>
      <c r="BM113" s="5">
        <v>300694798</v>
      </c>
      <c r="BN113" s="15">
        <v>375000</v>
      </c>
      <c r="BO113" s="3"/>
      <c r="BP113" s="1"/>
      <c r="BQ113" s="5"/>
      <c r="BR113" s="5"/>
      <c r="BS113" s="5"/>
    </row>
    <row r="114" spans="1:71" x14ac:dyDescent="0.25">
      <c r="A114" s="6" t="s">
        <v>168</v>
      </c>
      <c r="B114" s="10">
        <v>240593648</v>
      </c>
      <c r="C114" s="10">
        <v>134296676</v>
      </c>
      <c r="D114" s="10">
        <v>85072488</v>
      </c>
      <c r="E114" s="10">
        <v>1310000</v>
      </c>
      <c r="F114" s="10">
        <v>31751329</v>
      </c>
      <c r="G114" s="10">
        <v>7481502</v>
      </c>
      <c r="H114" s="10">
        <v>4957845</v>
      </c>
      <c r="I114" s="10">
        <v>337000</v>
      </c>
      <c r="J114" s="10">
        <v>100880</v>
      </c>
      <c r="K114" s="10">
        <v>33700</v>
      </c>
      <c r="L114" s="10">
        <v>383660771</v>
      </c>
      <c r="M114" s="10">
        <v>0</v>
      </c>
      <c r="N114" s="10">
        <v>1197</v>
      </c>
      <c r="O114" s="10">
        <v>269</v>
      </c>
      <c r="P114" s="10">
        <v>2634515</v>
      </c>
      <c r="Q114" s="10">
        <v>1221540</v>
      </c>
      <c r="R114" s="10">
        <v>2802540</v>
      </c>
      <c r="S114" s="10">
        <v>2823757</v>
      </c>
      <c r="T114" s="10">
        <v>1072365</v>
      </c>
      <c r="U114" s="10">
        <v>546645</v>
      </c>
      <c r="V114" s="10">
        <v>2634515</v>
      </c>
      <c r="W114" s="10">
        <v>1398680</v>
      </c>
      <c r="X114" s="10">
        <v>2802540</v>
      </c>
      <c r="Y114" s="10">
        <v>2823757</v>
      </c>
      <c r="Z114" s="10">
        <v>1059840</v>
      </c>
      <c r="AA114" s="10">
        <v>546645</v>
      </c>
      <c r="AB114" s="10">
        <v>-3598297</v>
      </c>
      <c r="AC114" s="10">
        <v>-233393</v>
      </c>
      <c r="AD114" s="10">
        <v>7968</v>
      </c>
      <c r="AE114" s="10">
        <v>90003</v>
      </c>
      <c r="AF114" s="10">
        <v>34417401</v>
      </c>
      <c r="AG114" s="10">
        <v>192798</v>
      </c>
      <c r="AH114" s="10">
        <v>41345995</v>
      </c>
      <c r="AI114" s="3"/>
      <c r="AJ114" s="10">
        <v>16008938</v>
      </c>
      <c r="AK114" s="1">
        <v>86304694</v>
      </c>
      <c r="AL114" s="1">
        <v>3344448</v>
      </c>
      <c r="AM114" s="10">
        <v>0</v>
      </c>
      <c r="AN114" s="10">
        <v>59759914</v>
      </c>
      <c r="AO114" s="10">
        <v>3918211</v>
      </c>
      <c r="AP114" s="10">
        <v>57203331</v>
      </c>
      <c r="AQ114" s="10">
        <v>28315128</v>
      </c>
      <c r="AR114" s="10">
        <v>16445452</v>
      </c>
      <c r="AS114" s="10">
        <v>75280499</v>
      </c>
      <c r="AT114" s="10">
        <v>425202</v>
      </c>
      <c r="AU114" s="10">
        <v>0</v>
      </c>
      <c r="AV114" s="10">
        <v>23651</v>
      </c>
      <c r="AW114" s="10">
        <v>31573</v>
      </c>
      <c r="AX114" s="10">
        <v>954450</v>
      </c>
      <c r="AY114" s="10">
        <v>1649638</v>
      </c>
      <c r="AZ114" s="1">
        <v>6583050.96</v>
      </c>
      <c r="BA114" s="1">
        <v>3357356</v>
      </c>
      <c r="BB114" s="19">
        <v>33281191.170000002</v>
      </c>
      <c r="BC114" s="15">
        <v>0</v>
      </c>
      <c r="BD114" s="15">
        <v>0</v>
      </c>
      <c r="BE114" s="20">
        <v>1279196</v>
      </c>
      <c r="BF114" s="20">
        <v>1279196</v>
      </c>
      <c r="BG114" s="20">
        <v>24000289</v>
      </c>
      <c r="BH114" s="20">
        <v>24000289</v>
      </c>
      <c r="BI114" s="19"/>
      <c r="BJ114" s="19"/>
      <c r="BK114" s="19"/>
      <c r="BL114" s="5">
        <v>727596981</v>
      </c>
      <c r="BM114" s="5">
        <v>609310998</v>
      </c>
      <c r="BN114" s="15">
        <v>999315</v>
      </c>
      <c r="BO114" s="3"/>
      <c r="BP114" s="1"/>
      <c r="BQ114" s="5"/>
      <c r="BR114" s="5"/>
      <c r="BS114" s="5"/>
    </row>
    <row r="115" spans="1:71" x14ac:dyDescent="0.25">
      <c r="A115" s="6" t="s">
        <v>169</v>
      </c>
      <c r="B115" s="10">
        <v>3801800262</v>
      </c>
      <c r="C115" s="10">
        <v>363268940</v>
      </c>
      <c r="D115" s="10">
        <v>2012964930</v>
      </c>
      <c r="E115" s="10">
        <v>209727000</v>
      </c>
      <c r="F115" s="10">
        <v>174625550</v>
      </c>
      <c r="G115" s="10">
        <v>21442320</v>
      </c>
      <c r="H115" s="10">
        <v>22100760</v>
      </c>
      <c r="I115" s="10">
        <v>1804490</v>
      </c>
      <c r="J115" s="10">
        <v>337000</v>
      </c>
      <c r="K115" s="10">
        <v>33700</v>
      </c>
      <c r="L115" s="10">
        <v>582662790</v>
      </c>
      <c r="M115" s="10">
        <v>0</v>
      </c>
      <c r="N115" s="10">
        <v>5972</v>
      </c>
      <c r="O115" s="10">
        <v>740</v>
      </c>
      <c r="P115" s="10">
        <v>68780860</v>
      </c>
      <c r="Q115" s="10">
        <v>6089610</v>
      </c>
      <c r="R115" s="10">
        <v>55335950</v>
      </c>
      <c r="S115" s="10">
        <v>4891960</v>
      </c>
      <c r="T115" s="10">
        <v>128700</v>
      </c>
      <c r="U115" s="10">
        <v>2823460</v>
      </c>
      <c r="V115" s="10">
        <v>68780860</v>
      </c>
      <c r="W115" s="10">
        <v>6089610</v>
      </c>
      <c r="X115" s="10">
        <v>55335950</v>
      </c>
      <c r="Y115" s="10">
        <v>4891960</v>
      </c>
      <c r="Z115" s="10">
        <v>128700</v>
      </c>
      <c r="AA115" s="10">
        <v>2823460</v>
      </c>
      <c r="AB115" s="10">
        <v>-15829585</v>
      </c>
      <c r="AC115" s="10">
        <v>-609765</v>
      </c>
      <c r="AD115" s="10">
        <v>72423</v>
      </c>
      <c r="AE115" s="10">
        <v>0</v>
      </c>
      <c r="AF115" s="10">
        <v>0</v>
      </c>
      <c r="AG115" s="10">
        <v>0</v>
      </c>
      <c r="AH115" s="10">
        <v>6801738</v>
      </c>
      <c r="AI115" s="10">
        <v>979137</v>
      </c>
      <c r="AJ115" s="3"/>
      <c r="AK115" s="1">
        <v>544197512</v>
      </c>
      <c r="AL115" s="1">
        <v>14290080</v>
      </c>
      <c r="AM115" s="10">
        <v>98000</v>
      </c>
      <c r="AN115" s="10">
        <v>320281132</v>
      </c>
      <c r="AO115" s="10">
        <v>27651591</v>
      </c>
      <c r="AP115" s="10">
        <v>649487608</v>
      </c>
      <c r="AQ115" s="10">
        <v>342530343</v>
      </c>
      <c r="AR115" s="10">
        <v>227240000</v>
      </c>
      <c r="AS115" s="10">
        <v>58359950</v>
      </c>
      <c r="AT115" s="10">
        <v>1928641</v>
      </c>
      <c r="AU115" s="10">
        <v>0</v>
      </c>
      <c r="AV115" s="10">
        <v>161658</v>
      </c>
      <c r="AW115" s="10">
        <v>122115662</v>
      </c>
      <c r="AX115" s="10">
        <v>492662</v>
      </c>
      <c r="AY115" s="10">
        <v>24448341</v>
      </c>
      <c r="AZ115" s="1">
        <v>40938637.600000001</v>
      </c>
      <c r="BA115" s="1">
        <v>20878705</v>
      </c>
      <c r="BB115" s="19"/>
      <c r="BC115" s="15">
        <v>2392018</v>
      </c>
      <c r="BD115" s="15">
        <v>4690232</v>
      </c>
      <c r="BE115" s="20">
        <v>28096850</v>
      </c>
      <c r="BF115" s="20">
        <v>28096850</v>
      </c>
      <c r="BG115" s="20">
        <v>129964579</v>
      </c>
      <c r="BH115" s="20">
        <v>124962703</v>
      </c>
      <c r="BI115" s="19"/>
      <c r="BJ115" s="19">
        <v>27583917</v>
      </c>
      <c r="BK115" s="19"/>
      <c r="BL115" s="5">
        <v>7638679858</v>
      </c>
      <c r="BM115" s="5">
        <v>6876278073</v>
      </c>
      <c r="BN115" s="15">
        <v>4201690</v>
      </c>
      <c r="BO115" s="3"/>
      <c r="BP115" s="1"/>
      <c r="BQ115" s="5"/>
      <c r="BR115" s="5"/>
      <c r="BS115" s="5"/>
    </row>
    <row r="116" spans="1:71" x14ac:dyDescent="0.25">
      <c r="A116" s="6" t="s">
        <v>170</v>
      </c>
      <c r="B116" s="10">
        <v>229445664</v>
      </c>
      <c r="C116" s="10">
        <v>146895700</v>
      </c>
      <c r="D116" s="10">
        <v>72085940</v>
      </c>
      <c r="E116" s="10">
        <v>0</v>
      </c>
      <c r="F116" s="10">
        <v>24284700</v>
      </c>
      <c r="G116" s="10">
        <v>5056100</v>
      </c>
      <c r="H116" s="10">
        <v>12214400</v>
      </c>
      <c r="I116" s="10">
        <v>1841700</v>
      </c>
      <c r="J116" s="10">
        <v>28000</v>
      </c>
      <c r="K116" s="10">
        <v>0</v>
      </c>
      <c r="L116" s="10">
        <v>269539260</v>
      </c>
      <c r="M116" s="10">
        <v>102797000</v>
      </c>
      <c r="N116" s="10">
        <v>1120</v>
      </c>
      <c r="O116" s="10">
        <v>226</v>
      </c>
      <c r="P116" s="10">
        <v>4445970</v>
      </c>
      <c r="Q116" s="10">
        <v>4103100</v>
      </c>
      <c r="R116" s="10">
        <v>4897340</v>
      </c>
      <c r="S116" s="10">
        <v>2162400</v>
      </c>
      <c r="T116" s="10">
        <v>1022500</v>
      </c>
      <c r="U116" s="10">
        <v>140400</v>
      </c>
      <c r="V116" s="10">
        <v>4445970</v>
      </c>
      <c r="W116" s="10">
        <v>4227500</v>
      </c>
      <c r="X116" s="10">
        <v>4897340</v>
      </c>
      <c r="Y116" s="10">
        <v>2156400</v>
      </c>
      <c r="Z116" s="10">
        <v>1053800</v>
      </c>
      <c r="AA116" s="10">
        <v>140400</v>
      </c>
      <c r="AB116" s="10">
        <v>-1439700</v>
      </c>
      <c r="AC116" s="10">
        <v>0</v>
      </c>
      <c r="AD116" s="10">
        <v>44039</v>
      </c>
      <c r="AE116" s="10">
        <v>0</v>
      </c>
      <c r="AF116" s="10">
        <v>0</v>
      </c>
      <c r="AG116" s="10">
        <v>179668</v>
      </c>
      <c r="AH116" s="3"/>
      <c r="AI116" s="10">
        <v>50202</v>
      </c>
      <c r="AJ116" s="3"/>
      <c r="AK116" s="1">
        <v>60280380</v>
      </c>
      <c r="AL116" s="1">
        <v>1206641</v>
      </c>
      <c r="AM116" s="3"/>
      <c r="AN116" s="10">
        <v>23569635</v>
      </c>
      <c r="AO116" s="10">
        <v>1427760</v>
      </c>
      <c r="AP116" s="10">
        <v>66362541</v>
      </c>
      <c r="AQ116" s="10">
        <v>22958807</v>
      </c>
      <c r="AR116" s="10">
        <v>13270000</v>
      </c>
      <c r="AS116" s="10">
        <v>5986717</v>
      </c>
      <c r="AT116" s="10">
        <v>157603</v>
      </c>
      <c r="AU116" s="3"/>
      <c r="AV116" s="3"/>
      <c r="AW116" s="10">
        <v>31746</v>
      </c>
      <c r="AX116" s="10">
        <v>15030</v>
      </c>
      <c r="AY116" s="10">
        <v>572500</v>
      </c>
      <c r="AZ116" s="1">
        <v>4658346.43</v>
      </c>
      <c r="BA116" s="1">
        <v>2375757</v>
      </c>
      <c r="BB116" s="19"/>
      <c r="BC116" s="15">
        <v>0</v>
      </c>
      <c r="BD116" s="15">
        <v>0</v>
      </c>
      <c r="BE116" s="20">
        <v>1308899</v>
      </c>
      <c r="BF116" s="20">
        <v>1308899</v>
      </c>
      <c r="BG116" s="20">
        <v>19768345</v>
      </c>
      <c r="BH116" s="20">
        <v>19761681</v>
      </c>
      <c r="BI116" s="19"/>
      <c r="BJ116" s="19"/>
      <c r="BK116" s="19"/>
      <c r="BL116" s="5">
        <v>581367066</v>
      </c>
      <c r="BM116" s="5">
        <v>496433708</v>
      </c>
      <c r="BN116" s="15">
        <v>359500</v>
      </c>
      <c r="BO116" s="3"/>
      <c r="BP116" s="1"/>
      <c r="BQ116" s="5"/>
      <c r="BR116" s="5"/>
      <c r="BS116" s="5"/>
    </row>
    <row r="117" spans="1:71" x14ac:dyDescent="0.25">
      <c r="A117" s="6" t="s">
        <v>171</v>
      </c>
      <c r="B117" s="10">
        <v>413762279</v>
      </c>
      <c r="C117" s="10">
        <v>121475880</v>
      </c>
      <c r="D117" s="10">
        <v>104502478</v>
      </c>
      <c r="E117" s="10">
        <v>0</v>
      </c>
      <c r="F117" s="10">
        <v>42708440</v>
      </c>
      <c r="G117" s="10">
        <v>15343475</v>
      </c>
      <c r="H117" s="10">
        <v>14379188</v>
      </c>
      <c r="I117" s="10">
        <v>2234923</v>
      </c>
      <c r="J117" s="10">
        <v>138660</v>
      </c>
      <c r="K117" s="10">
        <v>65700</v>
      </c>
      <c r="L117" s="10">
        <v>262416035</v>
      </c>
      <c r="M117" s="10">
        <v>76681288</v>
      </c>
      <c r="N117" s="10">
        <v>1932</v>
      </c>
      <c r="O117" s="10">
        <v>658</v>
      </c>
      <c r="P117" s="10">
        <v>15721969</v>
      </c>
      <c r="Q117" s="10">
        <v>2731950</v>
      </c>
      <c r="R117" s="10">
        <v>1463600</v>
      </c>
      <c r="S117" s="10">
        <v>2572444</v>
      </c>
      <c r="T117" s="10">
        <v>394023</v>
      </c>
      <c r="U117" s="10">
        <v>640000</v>
      </c>
      <c r="V117" s="10">
        <v>15721969</v>
      </c>
      <c r="W117" s="10">
        <v>2731950</v>
      </c>
      <c r="X117" s="10">
        <v>1463600</v>
      </c>
      <c r="Y117" s="10">
        <v>2572444</v>
      </c>
      <c r="Z117" s="10">
        <v>1304084</v>
      </c>
      <c r="AA117" s="10">
        <v>640000</v>
      </c>
      <c r="AB117" s="10">
        <v>-2292167</v>
      </c>
      <c r="AC117" s="10">
        <v>-2254</v>
      </c>
      <c r="AD117" s="10">
        <v>179079</v>
      </c>
      <c r="AE117" s="10">
        <v>7178</v>
      </c>
      <c r="AF117" s="10">
        <v>8692011</v>
      </c>
      <c r="AG117" s="10">
        <v>241238</v>
      </c>
      <c r="AH117" s="10">
        <v>760017</v>
      </c>
      <c r="AI117" s="10">
        <v>111871</v>
      </c>
      <c r="AJ117" s="3"/>
      <c r="AK117" s="1">
        <v>80570128</v>
      </c>
      <c r="AL117" s="1">
        <v>11805605</v>
      </c>
      <c r="AM117" s="10">
        <v>8168408</v>
      </c>
      <c r="AN117" s="10">
        <v>20873218</v>
      </c>
      <c r="AO117" s="10">
        <v>640090</v>
      </c>
      <c r="AP117" s="10">
        <v>44618332</v>
      </c>
      <c r="AQ117" s="10">
        <v>17184409</v>
      </c>
      <c r="AR117" s="10">
        <v>27387930</v>
      </c>
      <c r="AS117" s="10">
        <v>322525</v>
      </c>
      <c r="AT117" s="10">
        <v>6018219</v>
      </c>
      <c r="AU117" s="10">
        <v>0</v>
      </c>
      <c r="AV117" s="10">
        <v>0</v>
      </c>
      <c r="AW117" s="10">
        <v>0</v>
      </c>
      <c r="AX117" s="10">
        <v>0</v>
      </c>
      <c r="AY117" s="10">
        <v>244500</v>
      </c>
      <c r="AZ117" s="1">
        <v>6151093.29</v>
      </c>
      <c r="BA117" s="1">
        <v>3137058</v>
      </c>
      <c r="BB117" s="19"/>
      <c r="BC117" s="15">
        <v>0</v>
      </c>
      <c r="BD117" s="15">
        <v>0</v>
      </c>
      <c r="BE117" s="20">
        <v>1013486</v>
      </c>
      <c r="BF117" s="20">
        <v>1013486</v>
      </c>
      <c r="BG117" s="20">
        <v>23516535</v>
      </c>
      <c r="BH117" s="20">
        <v>23516535</v>
      </c>
      <c r="BI117" s="19"/>
      <c r="BJ117" s="19"/>
      <c r="BK117" s="19"/>
      <c r="BL117" s="5">
        <v>799353054</v>
      </c>
      <c r="BM117" s="5">
        <v>679310242</v>
      </c>
      <c r="BN117" s="15">
        <v>798000</v>
      </c>
      <c r="BO117" s="3"/>
      <c r="BP117" s="1"/>
      <c r="BQ117" s="5"/>
      <c r="BR117" s="5"/>
      <c r="BS117" s="5"/>
    </row>
    <row r="118" spans="1:71" x14ac:dyDescent="0.25">
      <c r="A118" s="6" t="s">
        <v>172</v>
      </c>
      <c r="B118" s="10">
        <v>177285180</v>
      </c>
      <c r="C118" s="10">
        <v>125421648</v>
      </c>
      <c r="D118" s="10">
        <v>47560295</v>
      </c>
      <c r="E118" s="10">
        <v>9360000</v>
      </c>
      <c r="F118" s="10">
        <v>28851150</v>
      </c>
      <c r="G118" s="10">
        <v>6298100</v>
      </c>
      <c r="H118" s="10">
        <v>7341498</v>
      </c>
      <c r="I118" s="10">
        <v>755160</v>
      </c>
      <c r="J118" s="10">
        <v>0</v>
      </c>
      <c r="K118" s="10">
        <v>0</v>
      </c>
      <c r="L118" s="10">
        <v>178034040</v>
      </c>
      <c r="M118" s="10">
        <v>46909600</v>
      </c>
      <c r="N118" s="10">
        <v>1260</v>
      </c>
      <c r="O118" s="10">
        <v>265</v>
      </c>
      <c r="P118" s="10">
        <v>2358800</v>
      </c>
      <c r="Q118" s="10">
        <v>633500</v>
      </c>
      <c r="R118" s="10">
        <v>402700</v>
      </c>
      <c r="S118" s="10">
        <v>181400</v>
      </c>
      <c r="T118" s="10">
        <v>0</v>
      </c>
      <c r="U118" s="10">
        <v>0</v>
      </c>
      <c r="V118" s="10">
        <v>2358800</v>
      </c>
      <c r="W118" s="10">
        <v>633500</v>
      </c>
      <c r="X118" s="10">
        <v>402700</v>
      </c>
      <c r="Y118" s="10">
        <v>181400</v>
      </c>
      <c r="Z118" s="10">
        <v>0</v>
      </c>
      <c r="AA118" s="10">
        <v>0</v>
      </c>
      <c r="AB118" s="10">
        <v>-801701</v>
      </c>
      <c r="AC118" s="10">
        <v>0</v>
      </c>
      <c r="AD118" s="10">
        <v>62154</v>
      </c>
      <c r="AE118" s="10">
        <v>49362</v>
      </c>
      <c r="AF118" s="10">
        <v>4042831</v>
      </c>
      <c r="AG118" s="10">
        <v>198729</v>
      </c>
      <c r="AH118" s="10">
        <v>16822213</v>
      </c>
      <c r="AI118" s="3"/>
      <c r="AJ118" s="10">
        <v>21996845</v>
      </c>
      <c r="AK118" s="1">
        <v>75323725</v>
      </c>
      <c r="AL118" s="1">
        <v>2279669</v>
      </c>
      <c r="AM118" s="10">
        <v>0</v>
      </c>
      <c r="AN118" s="10">
        <v>71154354</v>
      </c>
      <c r="AO118" s="10">
        <v>2885050</v>
      </c>
      <c r="AP118" s="10">
        <v>29931716</v>
      </c>
      <c r="AQ118" s="10">
        <v>10522162</v>
      </c>
      <c r="AR118" s="10">
        <v>7265486</v>
      </c>
      <c r="AS118" s="10">
        <v>0</v>
      </c>
      <c r="AT118" s="10">
        <v>1079972</v>
      </c>
      <c r="AU118" s="10">
        <v>0</v>
      </c>
      <c r="AV118" s="10">
        <v>0</v>
      </c>
      <c r="AW118" s="10">
        <v>3215665</v>
      </c>
      <c r="AX118" s="10">
        <v>1350034</v>
      </c>
      <c r="AY118" s="10">
        <v>1413000</v>
      </c>
      <c r="AZ118" s="1">
        <v>5879072.1100000003</v>
      </c>
      <c r="BA118" s="1">
        <v>2998327</v>
      </c>
      <c r="BB118" s="19">
        <v>2055133.52</v>
      </c>
      <c r="BC118" s="15">
        <v>1059212</v>
      </c>
      <c r="BD118" s="15">
        <v>2076886</v>
      </c>
      <c r="BE118" s="20">
        <v>21750693</v>
      </c>
      <c r="BF118" s="20">
        <v>21151068</v>
      </c>
      <c r="BG118" s="20">
        <v>54528676</v>
      </c>
      <c r="BH118" s="20">
        <v>52873702</v>
      </c>
      <c r="BI118" s="19"/>
      <c r="BJ118" s="19"/>
      <c r="BK118" s="19"/>
      <c r="BL118" s="5">
        <v>629333450</v>
      </c>
      <c r="BM118" s="5">
        <v>473647747</v>
      </c>
      <c r="BN118" s="15">
        <v>919326</v>
      </c>
      <c r="BO118" s="3"/>
      <c r="BP118" s="1"/>
      <c r="BQ118" s="5"/>
      <c r="BR118" s="5"/>
      <c r="BS118" s="5"/>
    </row>
    <row r="119" spans="1:71" x14ac:dyDescent="0.25">
      <c r="A119" s="6" t="s">
        <v>173</v>
      </c>
      <c r="B119" s="10">
        <v>606405603</v>
      </c>
      <c r="C119" s="10">
        <v>127465728</v>
      </c>
      <c r="D119" s="10">
        <v>199674000</v>
      </c>
      <c r="E119" s="10">
        <v>3600000</v>
      </c>
      <c r="F119" s="10">
        <v>76725650</v>
      </c>
      <c r="G119" s="10">
        <v>24399693</v>
      </c>
      <c r="H119" s="10">
        <v>14833130</v>
      </c>
      <c r="I119" s="10">
        <v>2667375</v>
      </c>
      <c r="J119" s="10">
        <v>54100</v>
      </c>
      <c r="K119" s="10">
        <v>0</v>
      </c>
      <c r="L119" s="10">
        <v>398995559</v>
      </c>
      <c r="M119" s="10">
        <v>42623705</v>
      </c>
      <c r="N119" s="10">
        <v>3234</v>
      </c>
      <c r="O119" s="10">
        <v>1029</v>
      </c>
      <c r="P119" s="10">
        <v>3766875</v>
      </c>
      <c r="Q119" s="10">
        <v>246500</v>
      </c>
      <c r="R119" s="10">
        <v>705370</v>
      </c>
      <c r="S119" s="10">
        <v>5643920</v>
      </c>
      <c r="T119" s="10">
        <v>1445420</v>
      </c>
      <c r="U119" s="10">
        <v>4456600</v>
      </c>
      <c r="V119" s="10">
        <v>3766875</v>
      </c>
      <c r="W119" s="10">
        <v>192700</v>
      </c>
      <c r="X119" s="10">
        <v>705370</v>
      </c>
      <c r="Y119" s="10">
        <v>5643920</v>
      </c>
      <c r="Z119" s="10">
        <v>2043120</v>
      </c>
      <c r="AA119" s="10">
        <v>4456600</v>
      </c>
      <c r="AB119" s="10">
        <v>-10452863</v>
      </c>
      <c r="AC119" s="10">
        <v>-248685</v>
      </c>
      <c r="AD119" s="10">
        <v>200642</v>
      </c>
      <c r="AE119" s="10">
        <v>0</v>
      </c>
      <c r="AF119" s="10">
        <v>0</v>
      </c>
      <c r="AG119" s="10">
        <v>205307</v>
      </c>
      <c r="AH119" s="10">
        <v>1633677</v>
      </c>
      <c r="AI119" s="10">
        <v>47617513</v>
      </c>
      <c r="AJ119" s="10">
        <v>4239631</v>
      </c>
      <c r="AK119" s="1">
        <v>162655837</v>
      </c>
      <c r="AL119" s="1">
        <v>6132759</v>
      </c>
      <c r="AM119" s="10">
        <v>3429868</v>
      </c>
      <c r="AN119" s="10">
        <v>45011941</v>
      </c>
      <c r="AO119" s="10">
        <v>2750186</v>
      </c>
      <c r="AP119" s="10">
        <v>51749489</v>
      </c>
      <c r="AQ119" s="10">
        <v>78201339</v>
      </c>
      <c r="AR119" s="10">
        <v>20408130</v>
      </c>
      <c r="AS119" s="10">
        <v>3770449</v>
      </c>
      <c r="AT119" s="10">
        <v>24352</v>
      </c>
      <c r="AU119" s="10">
        <v>0</v>
      </c>
      <c r="AV119" s="10">
        <v>0</v>
      </c>
      <c r="AW119" s="10">
        <v>0</v>
      </c>
      <c r="AX119" s="10">
        <v>0</v>
      </c>
      <c r="AY119" s="10">
        <v>15000</v>
      </c>
      <c r="AZ119" s="1">
        <v>12283783.59</v>
      </c>
      <c r="BA119" s="1">
        <v>6264730</v>
      </c>
      <c r="BB119" s="19"/>
      <c r="BC119" s="15">
        <v>10344898</v>
      </c>
      <c r="BD119" s="15">
        <v>20284114</v>
      </c>
      <c r="BE119" s="20">
        <v>44488369</v>
      </c>
      <c r="BF119" s="20">
        <v>44488369</v>
      </c>
      <c r="BG119" s="20">
        <v>59003741</v>
      </c>
      <c r="BH119" s="20">
        <v>50955511</v>
      </c>
      <c r="BI119" s="19"/>
      <c r="BJ119" s="19"/>
      <c r="BK119" s="19"/>
      <c r="BL119" s="5">
        <v>1393841722</v>
      </c>
      <c r="BM119" s="5">
        <v>1112999618</v>
      </c>
      <c r="BN119" s="15">
        <v>1370326</v>
      </c>
      <c r="BO119" s="3"/>
      <c r="BP119" s="1"/>
      <c r="BQ119" s="5"/>
      <c r="BR119" s="5"/>
      <c r="BS119" s="5"/>
    </row>
    <row r="120" spans="1:71" x14ac:dyDescent="0.25">
      <c r="A120" s="6" t="s">
        <v>174</v>
      </c>
      <c r="B120" s="10">
        <v>53206525</v>
      </c>
      <c r="C120" s="10">
        <v>61615400</v>
      </c>
      <c r="D120" s="10">
        <v>33345850</v>
      </c>
      <c r="E120" s="10">
        <v>0</v>
      </c>
      <c r="F120" s="10">
        <v>7255600</v>
      </c>
      <c r="G120" s="10">
        <v>10242000</v>
      </c>
      <c r="H120" s="10">
        <v>7207400</v>
      </c>
      <c r="I120" s="10">
        <v>4393900</v>
      </c>
      <c r="J120" s="10">
        <v>0</v>
      </c>
      <c r="K120" s="10">
        <v>0</v>
      </c>
      <c r="L120" s="10">
        <v>62679551</v>
      </c>
      <c r="M120" s="10">
        <v>0</v>
      </c>
      <c r="N120" s="10">
        <v>487</v>
      </c>
      <c r="O120" s="10">
        <v>573</v>
      </c>
      <c r="P120" s="10">
        <v>695100</v>
      </c>
      <c r="Q120" s="10">
        <v>492000</v>
      </c>
      <c r="R120" s="10">
        <v>215000</v>
      </c>
      <c r="S120" s="10">
        <v>514800</v>
      </c>
      <c r="T120" s="10">
        <v>410000</v>
      </c>
      <c r="U120" s="10">
        <v>175000</v>
      </c>
      <c r="V120" s="10">
        <v>695100</v>
      </c>
      <c r="W120" s="10">
        <v>565000</v>
      </c>
      <c r="X120" s="10">
        <v>215000</v>
      </c>
      <c r="Y120" s="10">
        <v>514800</v>
      </c>
      <c r="Z120" s="10">
        <v>450000</v>
      </c>
      <c r="AA120" s="10">
        <v>175000</v>
      </c>
      <c r="AB120" s="10">
        <v>-2099300</v>
      </c>
      <c r="AC120" s="10">
        <v>-1425</v>
      </c>
      <c r="AD120" s="10">
        <v>87207</v>
      </c>
      <c r="AE120" s="10">
        <v>0</v>
      </c>
      <c r="AF120" s="10">
        <v>0</v>
      </c>
      <c r="AG120" s="10">
        <v>116474</v>
      </c>
      <c r="AH120" s="10">
        <v>12392321</v>
      </c>
      <c r="AI120" s="10">
        <v>11476</v>
      </c>
      <c r="AJ120" s="10">
        <v>1637</v>
      </c>
      <c r="AK120" s="1">
        <v>34958005</v>
      </c>
      <c r="AL120" s="1">
        <v>465056</v>
      </c>
      <c r="AM120" s="10">
        <v>0</v>
      </c>
      <c r="AN120" s="10">
        <v>4905396</v>
      </c>
      <c r="AO120" s="10">
        <v>6276</v>
      </c>
      <c r="AP120" s="10">
        <v>170190</v>
      </c>
      <c r="AQ120" s="10">
        <v>10812127</v>
      </c>
      <c r="AR120" s="10">
        <v>2301496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">
        <v>2619942.79</v>
      </c>
      <c r="BA120" s="1">
        <v>1336171</v>
      </c>
      <c r="BB120" s="19"/>
      <c r="BC120" s="15">
        <v>0</v>
      </c>
      <c r="BD120" s="15">
        <v>0</v>
      </c>
      <c r="BE120" s="20">
        <v>420584</v>
      </c>
      <c r="BF120" s="20">
        <v>420584</v>
      </c>
      <c r="BG120" s="20">
        <v>20725133</v>
      </c>
      <c r="BH120" s="20">
        <v>20725133</v>
      </c>
      <c r="BI120" s="19"/>
      <c r="BJ120" s="19"/>
      <c r="BK120" s="19"/>
      <c r="BL120" s="5">
        <v>234201957</v>
      </c>
      <c r="BM120" s="5">
        <v>176297008</v>
      </c>
      <c r="BN120" s="15">
        <v>532000</v>
      </c>
      <c r="BO120" s="3"/>
      <c r="BP120" s="1"/>
      <c r="BQ120" s="5"/>
      <c r="BR120" s="5"/>
      <c r="BS120" s="5"/>
    </row>
    <row r="121" spans="1:71" ht="15.75" thickBot="1" x14ac:dyDescent="0.3">
      <c r="A121" s="9" t="s">
        <v>175</v>
      </c>
      <c r="B121" s="11">
        <v>1278067910</v>
      </c>
      <c r="C121" s="11">
        <v>484329200</v>
      </c>
      <c r="D121" s="11">
        <v>255099420</v>
      </c>
      <c r="E121" s="11">
        <v>0</v>
      </c>
      <c r="F121" s="11">
        <v>51778000</v>
      </c>
      <c r="G121" s="11">
        <v>6451000</v>
      </c>
      <c r="H121" s="11">
        <v>6770900</v>
      </c>
      <c r="I121" s="11">
        <v>370700</v>
      </c>
      <c r="J121" s="11">
        <v>168500</v>
      </c>
      <c r="K121" s="11">
        <v>33700</v>
      </c>
      <c r="L121" s="11">
        <v>1035533660</v>
      </c>
      <c r="M121" s="11">
        <v>250189200</v>
      </c>
      <c r="N121" s="11">
        <v>1759</v>
      </c>
      <c r="O121" s="11">
        <v>204</v>
      </c>
      <c r="P121" s="11">
        <v>17018040</v>
      </c>
      <c r="Q121" s="11">
        <v>3324000</v>
      </c>
      <c r="R121" s="11">
        <v>675000</v>
      </c>
      <c r="S121" s="11">
        <v>587600</v>
      </c>
      <c r="T121" s="11">
        <v>0</v>
      </c>
      <c r="U121" s="11">
        <v>0</v>
      </c>
      <c r="V121" s="11">
        <v>17018040</v>
      </c>
      <c r="W121" s="11">
        <v>3549000</v>
      </c>
      <c r="X121" s="11">
        <v>675000</v>
      </c>
      <c r="Y121" s="11">
        <v>587600</v>
      </c>
      <c r="Z121" s="11">
        <v>0</v>
      </c>
      <c r="AA121" s="11">
        <v>0</v>
      </c>
      <c r="AB121" s="11">
        <v>-2963800</v>
      </c>
      <c r="AC121" s="11">
        <v>-1257023</v>
      </c>
      <c r="AD121" s="11">
        <v>0</v>
      </c>
      <c r="AE121" s="11">
        <v>0</v>
      </c>
      <c r="AF121" s="11">
        <v>0</v>
      </c>
      <c r="AG121" s="11">
        <v>106966</v>
      </c>
      <c r="AH121" s="11"/>
      <c r="AI121" s="11"/>
      <c r="AJ121" s="11"/>
      <c r="AK121" s="37">
        <v>161826330</v>
      </c>
      <c r="AL121" s="37">
        <v>4902849</v>
      </c>
      <c r="AM121" s="11"/>
      <c r="AN121" s="11">
        <v>36138815</v>
      </c>
      <c r="AO121" s="11">
        <v>7279538</v>
      </c>
      <c r="AP121" s="11">
        <v>105724111</v>
      </c>
      <c r="AQ121" s="11">
        <v>17210410</v>
      </c>
      <c r="AR121" s="11">
        <v>30103069</v>
      </c>
      <c r="AS121" s="11">
        <v>10077426</v>
      </c>
      <c r="AT121" s="11">
        <v>188262711</v>
      </c>
      <c r="AU121" s="11"/>
      <c r="AV121" s="11"/>
      <c r="AW121" s="11"/>
      <c r="AX121" s="11">
        <v>3143</v>
      </c>
      <c r="AY121" s="11">
        <v>427000</v>
      </c>
      <c r="AZ121" s="21">
        <v>12476244.710000001</v>
      </c>
      <c r="BA121" s="21">
        <v>6362885</v>
      </c>
      <c r="BB121" s="22"/>
      <c r="BC121" s="23">
        <v>845611</v>
      </c>
      <c r="BD121" s="23">
        <v>1658060</v>
      </c>
      <c r="BE121" s="23">
        <v>8523571</v>
      </c>
      <c r="BF121" s="23">
        <v>7892193</v>
      </c>
      <c r="BG121" s="23">
        <v>29342969</v>
      </c>
      <c r="BH121" s="23">
        <v>29162219</v>
      </c>
      <c r="BI121" s="22">
        <v>35186906</v>
      </c>
      <c r="BJ121" s="22"/>
      <c r="BK121" s="22"/>
      <c r="BL121" s="25">
        <v>2324304286</v>
      </c>
      <c r="BM121" s="25">
        <v>2078125293</v>
      </c>
      <c r="BN121" s="23">
        <v>1803110</v>
      </c>
      <c r="BO121" s="16"/>
      <c r="BP121" s="1"/>
      <c r="BQ121" s="5"/>
      <c r="BR121" s="5"/>
      <c r="BS121" s="5"/>
    </row>
    <row r="122" spans="1:71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10"/>
      <c r="BC122" s="3"/>
      <c r="BD122" s="3"/>
      <c r="BE122" s="27"/>
      <c r="BF122" s="27"/>
      <c r="BG122" s="27"/>
      <c r="BH122" s="27"/>
      <c r="BI122" s="10"/>
      <c r="BJ122" s="10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B123" s="13">
        <v>144971803646</v>
      </c>
      <c r="C123" s="10">
        <v>17630850786</v>
      </c>
      <c r="D123" s="13">
        <v>54257205278</v>
      </c>
      <c r="E123" s="13">
        <v>2195686626</v>
      </c>
      <c r="F123" s="13">
        <v>8623088954</v>
      </c>
      <c r="G123" s="13">
        <v>2012353781</v>
      </c>
      <c r="H123" s="13">
        <v>1365521296</v>
      </c>
      <c r="I123" s="13">
        <v>262411082</v>
      </c>
      <c r="J123" s="13">
        <v>19723540</v>
      </c>
      <c r="K123" s="13">
        <v>2550550</v>
      </c>
      <c r="L123" s="13">
        <v>29483205892</v>
      </c>
      <c r="M123" s="13">
        <v>10376770415</v>
      </c>
      <c r="N123" s="13">
        <v>312594</v>
      </c>
      <c r="O123" s="13">
        <v>89669</v>
      </c>
      <c r="P123" s="13">
        <v>2332692342</v>
      </c>
      <c r="Q123" s="13">
        <v>391271832</v>
      </c>
      <c r="R123" s="13">
        <v>1698081216</v>
      </c>
      <c r="S123" s="13">
        <v>756177486</v>
      </c>
      <c r="T123" s="13">
        <v>284280477</v>
      </c>
      <c r="U123" s="13">
        <v>930908641</v>
      </c>
      <c r="V123" s="13">
        <v>2332332392</v>
      </c>
      <c r="W123" s="13">
        <v>499096903</v>
      </c>
      <c r="X123" s="13">
        <v>1698081238</v>
      </c>
      <c r="Y123" s="13">
        <v>757923023</v>
      </c>
      <c r="Z123" s="13">
        <v>318852732</v>
      </c>
      <c r="AA123" s="13">
        <v>930505731</v>
      </c>
      <c r="AB123" s="13">
        <v>-893605231</v>
      </c>
      <c r="AC123" s="13">
        <v>-369654764</v>
      </c>
      <c r="AD123" s="13">
        <v>7939392</v>
      </c>
      <c r="AE123" s="13">
        <v>893860</v>
      </c>
      <c r="AF123" s="13">
        <v>1683019461</v>
      </c>
      <c r="AG123" s="13">
        <v>49709680.859999999</v>
      </c>
      <c r="AH123" s="13">
        <v>521745380</v>
      </c>
      <c r="AI123" s="13">
        <v>2822355844</v>
      </c>
      <c r="AJ123" s="13">
        <v>1907133527</v>
      </c>
      <c r="AK123" s="13">
        <v>22299493688</v>
      </c>
      <c r="AL123" s="13">
        <v>722903343</v>
      </c>
      <c r="AM123" s="13">
        <v>86169686</v>
      </c>
      <c r="AN123" s="13">
        <v>10861571901</v>
      </c>
      <c r="AO123" s="13">
        <v>783170318</v>
      </c>
      <c r="AP123" s="13">
        <v>15572761398</v>
      </c>
      <c r="AQ123" s="13">
        <v>8709474877</v>
      </c>
      <c r="AR123" s="13">
        <v>8787538012</v>
      </c>
      <c r="AS123" s="13">
        <v>4781982453</v>
      </c>
      <c r="AT123" s="13">
        <v>5777484516</v>
      </c>
      <c r="AU123" s="13">
        <v>98380122</v>
      </c>
      <c r="AV123" s="13">
        <v>28165185</v>
      </c>
      <c r="AW123" s="13">
        <v>875474976</v>
      </c>
      <c r="AX123" s="13">
        <v>107691824</v>
      </c>
      <c r="AY123" s="13">
        <v>368406737</v>
      </c>
      <c r="AZ123" s="13">
        <v>1703727950.0900004</v>
      </c>
      <c r="BA123" s="13">
        <v>868901252</v>
      </c>
      <c r="BB123" s="28">
        <v>772969632.3599999</v>
      </c>
      <c r="BC123" s="28">
        <v>224700789</v>
      </c>
      <c r="BD123" s="28">
        <v>440589768</v>
      </c>
      <c r="BE123" s="29">
        <v>3241923361</v>
      </c>
      <c r="BF123" s="29">
        <v>3196053333</v>
      </c>
      <c r="BG123" s="29">
        <v>8901144650</v>
      </c>
      <c r="BH123" s="29">
        <v>8055873396</v>
      </c>
      <c r="BI123" s="28">
        <v>893432418</v>
      </c>
      <c r="BJ123" s="28">
        <v>133834753</v>
      </c>
      <c r="BK123" s="28">
        <v>0</v>
      </c>
      <c r="BL123" s="30">
        <v>278853450406</v>
      </c>
      <c r="BM123" s="30">
        <v>242458257434</v>
      </c>
      <c r="BN123" s="30">
        <v>476341086</v>
      </c>
      <c r="BO123" s="14"/>
      <c r="BP123" s="4"/>
      <c r="BQ123" s="4"/>
      <c r="BR123" s="4"/>
      <c r="BS123" s="3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T123"/>
  <sheetViews>
    <sheetView workbookViewId="0"/>
  </sheetViews>
  <sheetFormatPr defaultColWidth="9.140625" defaultRowHeight="15" x14ac:dyDescent="0.25"/>
  <cols>
    <col min="1" max="1" width="15" bestFit="1" customWidth="1"/>
    <col min="2" max="2" width="16" bestFit="1" customWidth="1"/>
    <col min="3" max="4" width="15" bestFit="1" customWidth="1"/>
    <col min="5" max="5" width="14" bestFit="1" customWidth="1"/>
    <col min="6" max="6" width="15" bestFit="1" customWidth="1"/>
    <col min="7" max="8" width="14" bestFit="1" customWidth="1"/>
    <col min="9" max="9" width="12.28515625" bestFit="1" customWidth="1"/>
    <col min="10" max="10" width="13.28515625" customWidth="1"/>
    <col min="11" max="11" width="15" customWidth="1"/>
    <col min="12" max="13" width="15" bestFit="1" customWidth="1"/>
    <col min="15" max="15" width="14.140625" customWidth="1"/>
    <col min="16" max="16" width="14" bestFit="1" customWidth="1"/>
    <col min="17" max="17" width="12.28515625" bestFit="1" customWidth="1"/>
    <col min="18" max="19" width="14" bestFit="1" customWidth="1"/>
    <col min="20" max="21" width="12.28515625" bestFit="1" customWidth="1"/>
    <col min="22" max="22" width="14" bestFit="1" customWidth="1"/>
    <col min="23" max="23" width="12.28515625" bestFit="1" customWidth="1"/>
    <col min="24" max="25" width="14" bestFit="1" customWidth="1"/>
    <col min="26" max="27" width="12.28515625" bestFit="1" customWidth="1"/>
    <col min="28" max="29" width="12.85546875" bestFit="1" customWidth="1"/>
    <col min="30" max="30" width="11.28515625" bestFit="1" customWidth="1"/>
    <col min="31" max="31" width="10.28515625" bestFit="1" customWidth="1"/>
    <col min="32" max="32" width="14" bestFit="1" customWidth="1"/>
    <col min="33" max="33" width="11.28515625" bestFit="1" customWidth="1"/>
    <col min="34" max="34" width="12.28515625" bestFit="1" customWidth="1"/>
    <col min="35" max="36" width="14" bestFit="1" customWidth="1"/>
    <col min="37" max="37" width="15" bestFit="1" customWidth="1"/>
    <col min="38" max="39" width="12.28515625" bestFit="1" customWidth="1"/>
    <col min="40" max="40" width="15" bestFit="1" customWidth="1"/>
    <col min="41" max="41" width="12.28515625" bestFit="1" customWidth="1"/>
    <col min="42" max="42" width="15" bestFit="1" customWidth="1"/>
    <col min="43" max="43" width="14" bestFit="1" customWidth="1"/>
    <col min="44" max="45" width="15" bestFit="1" customWidth="1"/>
    <col min="46" max="46" width="14" bestFit="1" customWidth="1"/>
    <col min="47" max="48" width="11.28515625" bestFit="1" customWidth="1"/>
    <col min="49" max="49" width="14" bestFit="1" customWidth="1"/>
    <col min="50" max="51" width="12.28515625" bestFit="1" customWidth="1"/>
    <col min="52" max="52" width="14" bestFit="1" customWidth="1"/>
    <col min="53" max="53" width="12.28515625" bestFit="1" customWidth="1"/>
    <col min="54" max="54" width="14" bestFit="1" customWidth="1"/>
    <col min="55" max="56" width="12.28515625" bestFit="1" customWidth="1"/>
    <col min="57" max="58" width="13.42578125" bestFit="1" customWidth="1"/>
    <col min="59" max="60" width="14.42578125" bestFit="1" customWidth="1"/>
    <col min="61" max="61" width="14" bestFit="1" customWidth="1"/>
    <col min="62" max="62" width="12.28515625" bestFit="1" customWidth="1"/>
    <col min="63" max="63" width="12.5703125" customWidth="1"/>
    <col min="64" max="65" width="16" bestFit="1" customWidth="1"/>
    <col min="66" max="66" width="12.28515625" bestFit="1" customWidth="1"/>
    <col min="67" max="67" width="10.28515625" bestFit="1" customWidth="1"/>
    <col min="68" max="68" width="15" bestFit="1" customWidth="1"/>
    <col min="69" max="69" width="13.42578125" bestFit="1" customWidth="1"/>
    <col min="70" max="70" width="15" bestFit="1" customWidth="1"/>
    <col min="71" max="71" width="16" bestFit="1" customWidth="1"/>
    <col min="72" max="72" width="15" bestFit="1" customWidth="1"/>
  </cols>
  <sheetData>
    <row r="1" spans="1:72" ht="70.5" customHeight="1" thickBot="1" x14ac:dyDescent="0.3">
      <c r="A1" s="7" t="s">
        <v>234</v>
      </c>
      <c r="B1" s="38" t="s">
        <v>0</v>
      </c>
      <c r="C1" s="38" t="s">
        <v>1</v>
      </c>
      <c r="D1" s="38" t="s">
        <v>2</v>
      </c>
      <c r="E1" s="38" t="s">
        <v>3</v>
      </c>
      <c r="F1" s="38" t="s">
        <v>4</v>
      </c>
      <c r="G1" s="38" t="s">
        <v>5</v>
      </c>
      <c r="H1" s="38" t="s">
        <v>6</v>
      </c>
      <c r="I1" s="39" t="s">
        <v>7</v>
      </c>
      <c r="J1" s="38" t="s">
        <v>8</v>
      </c>
      <c r="K1" s="38" t="s">
        <v>9</v>
      </c>
      <c r="L1" s="38" t="s">
        <v>10</v>
      </c>
      <c r="M1" s="38" t="s">
        <v>11</v>
      </c>
      <c r="N1" s="38" t="s">
        <v>12</v>
      </c>
      <c r="O1" s="38" t="s">
        <v>13</v>
      </c>
      <c r="P1" s="38" t="s">
        <v>197</v>
      </c>
      <c r="Q1" s="38" t="s">
        <v>198</v>
      </c>
      <c r="R1" s="38" t="s">
        <v>199</v>
      </c>
      <c r="S1" s="38" t="s">
        <v>200</v>
      </c>
      <c r="T1" s="38" t="s">
        <v>201</v>
      </c>
      <c r="U1" s="38" t="s">
        <v>202</v>
      </c>
      <c r="V1" s="38" t="s">
        <v>203</v>
      </c>
      <c r="W1" s="38" t="s">
        <v>204</v>
      </c>
      <c r="X1" s="38" t="s">
        <v>205</v>
      </c>
      <c r="Y1" s="38" t="s">
        <v>206</v>
      </c>
      <c r="Z1" s="38" t="s">
        <v>207</v>
      </c>
      <c r="AA1" s="38" t="s">
        <v>208</v>
      </c>
      <c r="AB1" s="38" t="s">
        <v>209</v>
      </c>
      <c r="AC1" s="38" t="s">
        <v>210</v>
      </c>
      <c r="AD1" s="38" t="s">
        <v>14</v>
      </c>
      <c r="AE1" s="38" t="s">
        <v>15</v>
      </c>
      <c r="AF1" s="38" t="s">
        <v>16</v>
      </c>
      <c r="AG1" s="38" t="s">
        <v>17</v>
      </c>
      <c r="AH1" s="38" t="s">
        <v>18</v>
      </c>
      <c r="AI1" s="38" t="s">
        <v>19</v>
      </c>
      <c r="AJ1" s="38" t="s">
        <v>211</v>
      </c>
      <c r="AK1" s="38" t="s">
        <v>21</v>
      </c>
      <c r="AL1" s="38" t="s">
        <v>22</v>
      </c>
      <c r="AM1" s="38" t="s">
        <v>23</v>
      </c>
      <c r="AN1" s="38" t="s">
        <v>24</v>
      </c>
      <c r="AO1" s="38" t="s">
        <v>25</v>
      </c>
      <c r="AP1" s="38" t="s">
        <v>26</v>
      </c>
      <c r="AQ1" s="38" t="s">
        <v>27</v>
      </c>
      <c r="AR1" s="38" t="s">
        <v>28</v>
      </c>
      <c r="AS1" s="38" t="s">
        <v>29</v>
      </c>
      <c r="AT1" s="38" t="s">
        <v>30</v>
      </c>
      <c r="AU1" s="38" t="s">
        <v>31</v>
      </c>
      <c r="AV1" s="38" t="s">
        <v>32</v>
      </c>
      <c r="AW1" s="38" t="s">
        <v>33</v>
      </c>
      <c r="AX1" s="38" t="s">
        <v>34</v>
      </c>
      <c r="AY1" s="38" t="s">
        <v>35</v>
      </c>
      <c r="AZ1" s="38" t="s">
        <v>40</v>
      </c>
      <c r="BA1" s="38" t="s">
        <v>41</v>
      </c>
      <c r="BB1" s="38" t="s">
        <v>42</v>
      </c>
      <c r="BC1" s="38" t="s">
        <v>212</v>
      </c>
      <c r="BD1" s="38" t="s">
        <v>43</v>
      </c>
      <c r="BE1" s="38" t="s">
        <v>44</v>
      </c>
      <c r="BF1" s="38" t="s">
        <v>213</v>
      </c>
      <c r="BG1" s="38" t="s">
        <v>45</v>
      </c>
      <c r="BH1" s="38" t="s">
        <v>214</v>
      </c>
      <c r="BI1" s="38" t="s">
        <v>46</v>
      </c>
      <c r="BJ1" s="38" t="s">
        <v>47</v>
      </c>
      <c r="BK1" s="38" t="s">
        <v>48</v>
      </c>
      <c r="BL1" s="17" t="s">
        <v>49</v>
      </c>
      <c r="BM1" s="17" t="s">
        <v>50</v>
      </c>
      <c r="BN1" s="17" t="s">
        <v>51</v>
      </c>
      <c r="BO1" s="17"/>
      <c r="BP1" s="2"/>
      <c r="BQ1" s="2"/>
      <c r="BR1" s="2"/>
      <c r="BS1" s="2"/>
      <c r="BT1" s="2"/>
    </row>
    <row r="2" spans="1:72" x14ac:dyDescent="0.25">
      <c r="A2" s="8" t="s">
        <v>56</v>
      </c>
      <c r="B2" s="40">
        <v>276374050</v>
      </c>
      <c r="C2" s="40">
        <v>147623765</v>
      </c>
      <c r="D2" s="40">
        <v>91305400</v>
      </c>
      <c r="E2" s="40">
        <v>0</v>
      </c>
      <c r="F2" s="40">
        <v>36547300</v>
      </c>
      <c r="G2" s="40">
        <v>12044900</v>
      </c>
      <c r="H2" s="40">
        <v>17745200</v>
      </c>
      <c r="I2" s="40">
        <v>2606200</v>
      </c>
      <c r="J2" s="40">
        <v>67400</v>
      </c>
      <c r="K2" s="40">
        <v>0</v>
      </c>
      <c r="L2" s="40">
        <v>379860735</v>
      </c>
      <c r="M2" s="40">
        <v>0</v>
      </c>
      <c r="N2" s="40">
        <v>1698</v>
      </c>
      <c r="O2" s="40">
        <v>516</v>
      </c>
      <c r="P2" s="40">
        <v>2663500</v>
      </c>
      <c r="Q2" s="40">
        <v>938900</v>
      </c>
      <c r="R2" s="40">
        <v>1103000</v>
      </c>
      <c r="S2" s="40">
        <v>54200</v>
      </c>
      <c r="T2" s="40">
        <v>35000</v>
      </c>
      <c r="U2" s="40">
        <v>0</v>
      </c>
      <c r="V2" s="40">
        <v>2663500</v>
      </c>
      <c r="W2" s="40">
        <v>938900</v>
      </c>
      <c r="X2" s="40">
        <v>1103000</v>
      </c>
      <c r="Y2" s="40">
        <v>54200</v>
      </c>
      <c r="Z2" s="40">
        <v>20000</v>
      </c>
      <c r="AA2" s="40">
        <v>0</v>
      </c>
      <c r="AB2" s="40">
        <v>-3367000</v>
      </c>
      <c r="AC2" s="40">
        <v>-86679</v>
      </c>
      <c r="AD2" s="40">
        <v>110047</v>
      </c>
      <c r="AE2" s="40">
        <v>0</v>
      </c>
      <c r="AF2" s="40">
        <v>0</v>
      </c>
      <c r="AG2" s="40">
        <v>224355</v>
      </c>
      <c r="AH2" s="40">
        <v>4318210</v>
      </c>
      <c r="AI2" s="40">
        <v>520664</v>
      </c>
      <c r="AJ2" s="41"/>
      <c r="AK2" s="42">
        <v>86966474</v>
      </c>
      <c r="AL2" s="42">
        <v>2944730</v>
      </c>
      <c r="AM2" s="40">
        <v>434048</v>
      </c>
      <c r="AN2" s="40">
        <v>18359251</v>
      </c>
      <c r="AO2" s="40">
        <v>220661</v>
      </c>
      <c r="AP2" s="40">
        <v>15726405</v>
      </c>
      <c r="AQ2" s="40">
        <v>15834885</v>
      </c>
      <c r="AR2" s="40">
        <v>16323424</v>
      </c>
      <c r="AS2" s="40">
        <v>0</v>
      </c>
      <c r="AT2" s="40">
        <v>132954</v>
      </c>
      <c r="AU2" s="40">
        <v>0</v>
      </c>
      <c r="AV2" s="40">
        <v>0</v>
      </c>
      <c r="AW2" s="40">
        <v>12946</v>
      </c>
      <c r="AX2" s="40">
        <v>655</v>
      </c>
      <c r="AY2" s="40">
        <v>152000</v>
      </c>
      <c r="AZ2" s="1">
        <v>7148995.0300000003</v>
      </c>
      <c r="BA2" s="1">
        <v>3645987</v>
      </c>
      <c r="BB2" s="43"/>
      <c r="BC2" s="15">
        <v>0</v>
      </c>
      <c r="BD2" s="15">
        <v>0</v>
      </c>
      <c r="BE2" s="20">
        <v>20565545</v>
      </c>
      <c r="BF2" s="20">
        <v>20565545</v>
      </c>
      <c r="BG2" s="20">
        <v>32333364</v>
      </c>
      <c r="BH2" s="20">
        <v>32323179</v>
      </c>
      <c r="BI2" s="44"/>
      <c r="BJ2" s="44"/>
      <c r="BK2" s="44"/>
      <c r="BL2" s="5">
        <v>701002801</v>
      </c>
      <c r="BM2" s="5">
        <v>554556886</v>
      </c>
      <c r="BN2" s="15">
        <v>272500</v>
      </c>
      <c r="BO2" s="3"/>
      <c r="BP2" s="1"/>
      <c r="BQ2" s="1"/>
      <c r="BR2" s="5"/>
      <c r="BS2" s="5"/>
      <c r="BT2" s="5"/>
    </row>
    <row r="3" spans="1:72" x14ac:dyDescent="0.25">
      <c r="A3" s="6" t="s">
        <v>57</v>
      </c>
      <c r="B3" s="40">
        <v>381811900</v>
      </c>
      <c r="C3" s="40">
        <v>148140972</v>
      </c>
      <c r="D3" s="40">
        <v>88965204</v>
      </c>
      <c r="E3" s="40">
        <v>7500000</v>
      </c>
      <c r="F3" s="40">
        <v>38056655</v>
      </c>
      <c r="G3" s="40">
        <v>11095090</v>
      </c>
      <c r="H3" s="40">
        <v>15845145</v>
      </c>
      <c r="I3" s="40">
        <v>1936425</v>
      </c>
      <c r="J3" s="40">
        <v>134400</v>
      </c>
      <c r="K3" s="40">
        <v>0</v>
      </c>
      <c r="L3" s="40">
        <v>260846406</v>
      </c>
      <c r="M3" s="40">
        <v>97593843</v>
      </c>
      <c r="N3" s="40">
        <v>1674</v>
      </c>
      <c r="O3" s="40">
        <v>422</v>
      </c>
      <c r="P3" s="40">
        <v>7319575</v>
      </c>
      <c r="Q3" s="40">
        <v>2397255</v>
      </c>
      <c r="R3" s="40">
        <v>5712281</v>
      </c>
      <c r="S3" s="40">
        <v>3513043</v>
      </c>
      <c r="T3" s="40">
        <v>2105113</v>
      </c>
      <c r="U3" s="40">
        <v>6295000</v>
      </c>
      <c r="V3" s="40">
        <v>7319575</v>
      </c>
      <c r="W3" s="40">
        <v>2684436</v>
      </c>
      <c r="X3" s="40">
        <v>5712281</v>
      </c>
      <c r="Y3" s="40">
        <v>3513043</v>
      </c>
      <c r="Z3" s="40">
        <v>2723617</v>
      </c>
      <c r="AA3" s="40">
        <v>6295000</v>
      </c>
      <c r="AB3" s="40">
        <v>-4052734</v>
      </c>
      <c r="AC3" s="40">
        <v>98457</v>
      </c>
      <c r="AD3" s="40">
        <v>188675</v>
      </c>
      <c r="AE3" s="40">
        <v>0</v>
      </c>
      <c r="AF3" s="40">
        <v>0</v>
      </c>
      <c r="AG3" s="40">
        <v>201483</v>
      </c>
      <c r="AH3" s="40">
        <v>921227</v>
      </c>
      <c r="AI3" s="40">
        <v>132287</v>
      </c>
      <c r="AJ3" s="41"/>
      <c r="AK3" s="42">
        <v>86606680</v>
      </c>
      <c r="AL3" s="42">
        <v>5485840</v>
      </c>
      <c r="AM3" s="40">
        <v>0</v>
      </c>
      <c r="AN3" s="40">
        <v>22986303</v>
      </c>
      <c r="AO3" s="40">
        <v>863628</v>
      </c>
      <c r="AP3" s="40">
        <v>58912610</v>
      </c>
      <c r="AQ3" s="40">
        <v>25077884</v>
      </c>
      <c r="AR3" s="40">
        <v>7725296</v>
      </c>
      <c r="AS3" s="40">
        <v>33509779</v>
      </c>
      <c r="AT3" s="40">
        <v>0</v>
      </c>
      <c r="AU3" s="40">
        <v>0</v>
      </c>
      <c r="AV3" s="40">
        <v>0</v>
      </c>
      <c r="AW3" s="40">
        <v>0</v>
      </c>
      <c r="AX3" s="40">
        <v>9644</v>
      </c>
      <c r="AY3" s="40">
        <v>0</v>
      </c>
      <c r="AZ3" s="1">
        <v>7119418.5099999998</v>
      </c>
      <c r="BA3" s="1">
        <v>3630903</v>
      </c>
      <c r="BB3" s="43"/>
      <c r="BC3" s="15">
        <v>0</v>
      </c>
      <c r="BD3" s="15">
        <v>0</v>
      </c>
      <c r="BE3" s="20">
        <v>9977462</v>
      </c>
      <c r="BF3" s="20">
        <v>9977462</v>
      </c>
      <c r="BG3" s="20">
        <v>24203124</v>
      </c>
      <c r="BH3" s="20">
        <v>24198032</v>
      </c>
      <c r="BI3" s="44"/>
      <c r="BJ3" s="44"/>
      <c r="BK3" s="44"/>
      <c r="BL3" s="5">
        <v>798798322</v>
      </c>
      <c r="BM3" s="5">
        <v>668899405</v>
      </c>
      <c r="BN3" s="15">
        <v>1483777</v>
      </c>
      <c r="BO3" s="3"/>
      <c r="BP3" s="1"/>
      <c r="BQ3" s="1"/>
      <c r="BR3" s="5"/>
      <c r="BS3" s="5"/>
      <c r="BT3" s="5"/>
    </row>
    <row r="4" spans="1:72" x14ac:dyDescent="0.25">
      <c r="A4" s="6" t="s">
        <v>58</v>
      </c>
      <c r="B4" s="40">
        <v>879537781</v>
      </c>
      <c r="C4" s="40">
        <v>198473180</v>
      </c>
      <c r="D4" s="40">
        <v>194394815</v>
      </c>
      <c r="E4" s="40">
        <v>0</v>
      </c>
      <c r="F4" s="40">
        <v>44086200</v>
      </c>
      <c r="G4" s="40">
        <v>7810100</v>
      </c>
      <c r="H4" s="40">
        <v>9228100</v>
      </c>
      <c r="I4" s="40">
        <v>1378000</v>
      </c>
      <c r="J4" s="40">
        <v>33700</v>
      </c>
      <c r="K4" s="40">
        <v>0</v>
      </c>
      <c r="L4" s="40">
        <v>155580745</v>
      </c>
      <c r="M4" s="40">
        <v>120217165</v>
      </c>
      <c r="N4" s="40">
        <v>1610</v>
      </c>
      <c r="O4" s="40">
        <v>281</v>
      </c>
      <c r="P4" s="40">
        <v>6358250</v>
      </c>
      <c r="Q4" s="40">
        <v>495000</v>
      </c>
      <c r="R4" s="40">
        <v>2361900</v>
      </c>
      <c r="S4" s="40">
        <v>980400</v>
      </c>
      <c r="T4" s="40">
        <v>162000</v>
      </c>
      <c r="U4" s="40">
        <v>1775000</v>
      </c>
      <c r="V4" s="40">
        <v>6358250</v>
      </c>
      <c r="W4" s="40">
        <v>495000</v>
      </c>
      <c r="X4" s="40">
        <v>2361900</v>
      </c>
      <c r="Y4" s="40">
        <v>980400</v>
      </c>
      <c r="Z4" s="40">
        <v>162000</v>
      </c>
      <c r="AA4" s="40">
        <v>1775000</v>
      </c>
      <c r="AB4" s="40">
        <v>-3409800</v>
      </c>
      <c r="AC4" s="40">
        <v>-1101928</v>
      </c>
      <c r="AD4" s="40">
        <v>0</v>
      </c>
      <c r="AE4" s="40">
        <v>0</v>
      </c>
      <c r="AF4" s="40">
        <v>0</v>
      </c>
      <c r="AG4" s="40">
        <v>31231090</v>
      </c>
      <c r="AH4" s="3"/>
      <c r="AI4" s="40">
        <v>182951</v>
      </c>
      <c r="AJ4" s="41"/>
      <c r="AK4" s="42">
        <v>128573678</v>
      </c>
      <c r="AL4" s="42">
        <v>4582625</v>
      </c>
      <c r="AM4" s="40">
        <v>0</v>
      </c>
      <c r="AN4" s="40">
        <v>21356856</v>
      </c>
      <c r="AO4" s="40">
        <v>4980964</v>
      </c>
      <c r="AP4" s="40">
        <v>90646313</v>
      </c>
      <c r="AQ4" s="40">
        <v>32627592</v>
      </c>
      <c r="AR4" s="40">
        <v>40090562</v>
      </c>
      <c r="AS4" s="40">
        <v>23493281</v>
      </c>
      <c r="AT4" s="40">
        <v>299964</v>
      </c>
      <c r="AU4" s="40">
        <v>0</v>
      </c>
      <c r="AV4" s="40">
        <v>0</v>
      </c>
      <c r="AW4" s="40">
        <v>2505916</v>
      </c>
      <c r="AX4" s="40">
        <v>0</v>
      </c>
      <c r="AY4" s="40">
        <v>114675</v>
      </c>
      <c r="AZ4" s="1">
        <v>10569275.07</v>
      </c>
      <c r="BA4" s="1">
        <v>5390330</v>
      </c>
      <c r="BB4" s="43"/>
      <c r="BC4" s="15">
        <v>1494315</v>
      </c>
      <c r="BD4" s="15">
        <v>2988629</v>
      </c>
      <c r="BE4" s="20">
        <v>13061700</v>
      </c>
      <c r="BF4" s="20">
        <v>13061700</v>
      </c>
      <c r="BG4" s="20">
        <v>29338297</v>
      </c>
      <c r="BH4" s="20">
        <v>27559907</v>
      </c>
      <c r="BI4" s="45">
        <v>53212577</v>
      </c>
      <c r="BJ4" s="44"/>
      <c r="BK4" s="44"/>
      <c r="BL4" s="5">
        <v>1565429271</v>
      </c>
      <c r="BM4" s="5">
        <v>1331554139</v>
      </c>
      <c r="BN4" s="15">
        <v>973848</v>
      </c>
      <c r="BO4" s="3"/>
      <c r="BP4" s="1"/>
      <c r="BQ4" s="1"/>
      <c r="BR4" s="5"/>
      <c r="BS4" s="5"/>
      <c r="BT4" s="5"/>
    </row>
    <row r="5" spans="1:72" x14ac:dyDescent="0.25">
      <c r="A5" s="6" t="s">
        <v>59</v>
      </c>
      <c r="B5" s="40">
        <v>140546509</v>
      </c>
      <c r="C5" s="40">
        <v>100334346</v>
      </c>
      <c r="D5" s="40">
        <v>84363135</v>
      </c>
      <c r="E5" s="40">
        <v>0</v>
      </c>
      <c r="F5" s="40">
        <v>19841900</v>
      </c>
      <c r="G5" s="40">
        <v>4595675</v>
      </c>
      <c r="H5" s="40">
        <v>5534700</v>
      </c>
      <c r="I5" s="40">
        <v>704000</v>
      </c>
      <c r="J5" s="40">
        <v>45000</v>
      </c>
      <c r="K5" s="40">
        <v>0</v>
      </c>
      <c r="L5" s="40">
        <v>201643142</v>
      </c>
      <c r="M5" s="40">
        <v>37269523</v>
      </c>
      <c r="N5" s="40">
        <v>796</v>
      </c>
      <c r="O5" s="40">
        <v>176</v>
      </c>
      <c r="P5" s="40">
        <v>2082850</v>
      </c>
      <c r="Q5" s="40">
        <v>2113500</v>
      </c>
      <c r="R5" s="40">
        <v>1891000</v>
      </c>
      <c r="S5" s="40">
        <v>387000</v>
      </c>
      <c r="T5" s="40">
        <v>177748</v>
      </c>
      <c r="U5" s="40">
        <v>2461771</v>
      </c>
      <c r="V5" s="40">
        <v>2082850</v>
      </c>
      <c r="W5" s="40">
        <v>2113500</v>
      </c>
      <c r="X5" s="40">
        <v>1891000</v>
      </c>
      <c r="Y5" s="40">
        <v>387000</v>
      </c>
      <c r="Z5" s="40">
        <v>177748</v>
      </c>
      <c r="AA5" s="40">
        <v>2461771</v>
      </c>
      <c r="AB5" s="40">
        <v>-1511992</v>
      </c>
      <c r="AC5" s="40">
        <v>0</v>
      </c>
      <c r="AD5" s="40">
        <v>34083</v>
      </c>
      <c r="AE5" s="40">
        <v>6114</v>
      </c>
      <c r="AF5" s="40">
        <v>8266</v>
      </c>
      <c r="AG5" s="40">
        <v>141885</v>
      </c>
      <c r="AH5" s="3"/>
      <c r="AI5" s="40">
        <v>41877</v>
      </c>
      <c r="AJ5" s="46"/>
      <c r="AK5" s="42">
        <v>58724336</v>
      </c>
      <c r="AL5" s="42">
        <v>2218952</v>
      </c>
      <c r="AM5" s="40">
        <v>0</v>
      </c>
      <c r="AN5" s="40">
        <v>27916590</v>
      </c>
      <c r="AO5" s="40">
        <v>18102625</v>
      </c>
      <c r="AP5" s="40">
        <v>196376739</v>
      </c>
      <c r="AQ5" s="40">
        <v>9222120</v>
      </c>
      <c r="AR5" s="40">
        <v>10157472</v>
      </c>
      <c r="AS5" s="40">
        <v>570134</v>
      </c>
      <c r="AT5" s="40">
        <v>147860</v>
      </c>
      <c r="AU5" s="40">
        <v>0</v>
      </c>
      <c r="AV5" s="40">
        <v>0</v>
      </c>
      <c r="AW5" s="40">
        <v>0</v>
      </c>
      <c r="AX5" s="40">
        <v>0</v>
      </c>
      <c r="AY5" s="40">
        <v>141500</v>
      </c>
      <c r="AZ5" s="1">
        <v>4827377.34</v>
      </c>
      <c r="BA5" s="1">
        <v>2461962</v>
      </c>
      <c r="BB5" s="43">
        <v>24068393.780000001</v>
      </c>
      <c r="BC5" s="15">
        <v>609785</v>
      </c>
      <c r="BD5" s="15">
        <v>1219570</v>
      </c>
      <c r="BE5" s="20">
        <v>19335429</v>
      </c>
      <c r="BF5" s="20">
        <v>19335429</v>
      </c>
      <c r="BG5" s="20">
        <v>40072080</v>
      </c>
      <c r="BH5" s="20">
        <v>37988768</v>
      </c>
      <c r="BI5" s="44"/>
      <c r="BJ5" s="44"/>
      <c r="BK5" s="44"/>
      <c r="BL5" s="5">
        <v>501866434</v>
      </c>
      <c r="BM5" s="5">
        <v>380527202</v>
      </c>
      <c r="BN5" s="15">
        <v>2558673</v>
      </c>
      <c r="BO5" s="3"/>
      <c r="BP5" s="1"/>
      <c r="BQ5" s="1"/>
      <c r="BR5" s="5"/>
      <c r="BS5" s="5"/>
      <c r="BT5" s="5"/>
    </row>
    <row r="6" spans="1:72" x14ac:dyDescent="0.25">
      <c r="A6" s="6" t="s">
        <v>60</v>
      </c>
      <c r="B6" s="40">
        <v>1036420649</v>
      </c>
      <c r="C6" s="40">
        <v>292571090</v>
      </c>
      <c r="D6" s="40">
        <v>437687992</v>
      </c>
      <c r="E6" s="40">
        <v>4504300</v>
      </c>
      <c r="F6" s="40">
        <v>92303023</v>
      </c>
      <c r="G6" s="40">
        <v>16397599</v>
      </c>
      <c r="H6" s="40">
        <v>23411000</v>
      </c>
      <c r="I6" s="40">
        <v>2109950</v>
      </c>
      <c r="J6" s="40">
        <v>303300</v>
      </c>
      <c r="K6" s="40">
        <v>67400</v>
      </c>
      <c r="L6" s="40">
        <v>339037280</v>
      </c>
      <c r="M6" s="40">
        <v>204528010</v>
      </c>
      <c r="N6" s="40">
        <v>3556</v>
      </c>
      <c r="O6" s="40">
        <v>600</v>
      </c>
      <c r="P6" s="40">
        <v>21818200</v>
      </c>
      <c r="Q6" s="40">
        <v>6730000</v>
      </c>
      <c r="R6" s="40">
        <v>6193700</v>
      </c>
      <c r="S6" s="40">
        <v>8057600</v>
      </c>
      <c r="T6" s="40">
        <v>2687500</v>
      </c>
      <c r="U6" s="40">
        <v>19237680</v>
      </c>
      <c r="V6" s="40">
        <v>21818200</v>
      </c>
      <c r="W6" s="40">
        <v>7423300</v>
      </c>
      <c r="X6" s="40">
        <v>6193700</v>
      </c>
      <c r="Y6" s="40">
        <v>8057600</v>
      </c>
      <c r="Z6" s="40">
        <v>4199900</v>
      </c>
      <c r="AA6" s="40">
        <v>19237680</v>
      </c>
      <c r="AB6" s="40">
        <v>-5668600</v>
      </c>
      <c r="AC6" s="40">
        <v>86147</v>
      </c>
      <c r="AD6" s="40">
        <v>21</v>
      </c>
      <c r="AE6" s="40">
        <v>0</v>
      </c>
      <c r="AF6" s="40">
        <v>0</v>
      </c>
      <c r="AG6" s="40">
        <v>266691</v>
      </c>
      <c r="AH6" s="40">
        <v>637409</v>
      </c>
      <c r="AI6" s="40">
        <v>340820</v>
      </c>
      <c r="AJ6" s="46"/>
      <c r="AK6" s="42">
        <v>217683926</v>
      </c>
      <c r="AL6" s="42">
        <v>10888014</v>
      </c>
      <c r="AM6" s="40">
        <v>1611638</v>
      </c>
      <c r="AN6" s="40">
        <v>74234102</v>
      </c>
      <c r="AO6" s="40">
        <v>11333153</v>
      </c>
      <c r="AP6" s="40">
        <v>291024703</v>
      </c>
      <c r="AQ6" s="40">
        <v>84184346</v>
      </c>
      <c r="AR6" s="40">
        <v>66193393</v>
      </c>
      <c r="AS6" s="40">
        <v>12843110</v>
      </c>
      <c r="AT6" s="40">
        <v>0</v>
      </c>
      <c r="AU6" s="40">
        <v>0</v>
      </c>
      <c r="AV6" s="40">
        <v>39706</v>
      </c>
      <c r="AW6" s="40">
        <v>12989425</v>
      </c>
      <c r="AX6" s="40">
        <v>2706546</v>
      </c>
      <c r="AY6" s="40">
        <v>1169595</v>
      </c>
      <c r="AZ6" s="1">
        <v>17894496.969999999</v>
      </c>
      <c r="BA6" s="1">
        <v>9126193</v>
      </c>
      <c r="BB6" s="43"/>
      <c r="BC6" s="15">
        <v>1773411</v>
      </c>
      <c r="BD6" s="15">
        <v>3546822</v>
      </c>
      <c r="BE6" s="20">
        <v>21330810</v>
      </c>
      <c r="BF6" s="20">
        <v>21027995</v>
      </c>
      <c r="BG6" s="20">
        <v>76325406</v>
      </c>
      <c r="BH6" s="20">
        <v>74239970</v>
      </c>
      <c r="BI6" s="44"/>
      <c r="BJ6" s="44">
        <v>21307020</v>
      </c>
      <c r="BK6" s="44"/>
      <c r="BL6" s="5">
        <v>2293456090</v>
      </c>
      <c r="BM6" s="5">
        <v>1937409561</v>
      </c>
      <c r="BN6" s="15">
        <v>5852022</v>
      </c>
      <c r="BO6" s="3"/>
      <c r="BP6" s="1"/>
      <c r="BQ6" s="1"/>
      <c r="BR6" s="5"/>
      <c r="BS6" s="5"/>
      <c r="BT6" s="5"/>
    </row>
    <row r="7" spans="1:72" x14ac:dyDescent="0.25">
      <c r="A7" s="6" t="s">
        <v>61</v>
      </c>
      <c r="B7" s="40">
        <v>167748550</v>
      </c>
      <c r="C7" s="40">
        <v>81558819</v>
      </c>
      <c r="D7" s="40">
        <v>32985800</v>
      </c>
      <c r="E7" s="40">
        <v>0</v>
      </c>
      <c r="F7" s="40">
        <v>20439100</v>
      </c>
      <c r="G7" s="40">
        <v>13769400</v>
      </c>
      <c r="H7" s="40">
        <v>6463700</v>
      </c>
      <c r="I7" s="40">
        <v>2501000</v>
      </c>
      <c r="J7" s="40">
        <v>33700</v>
      </c>
      <c r="K7" s="40">
        <v>0</v>
      </c>
      <c r="L7" s="40">
        <v>140550334</v>
      </c>
      <c r="M7" s="40">
        <v>49376900</v>
      </c>
      <c r="N7" s="40">
        <v>872</v>
      </c>
      <c r="O7" s="40">
        <v>572</v>
      </c>
      <c r="P7" s="40">
        <v>3603100</v>
      </c>
      <c r="Q7" s="40">
        <v>1661700</v>
      </c>
      <c r="R7" s="40">
        <v>190500</v>
      </c>
      <c r="S7" s="40">
        <v>3396876</v>
      </c>
      <c r="T7" s="40">
        <v>1193550</v>
      </c>
      <c r="U7" s="40">
        <v>743600</v>
      </c>
      <c r="V7" s="40">
        <v>3603100</v>
      </c>
      <c r="W7" s="40">
        <v>1905200</v>
      </c>
      <c r="X7" s="40">
        <v>190500</v>
      </c>
      <c r="Y7" s="40">
        <v>3396876</v>
      </c>
      <c r="Z7" s="40">
        <v>1643350</v>
      </c>
      <c r="AA7" s="40">
        <v>743600</v>
      </c>
      <c r="AB7" s="40">
        <v>-3995900</v>
      </c>
      <c r="AC7" s="40">
        <v>0</v>
      </c>
      <c r="AD7" s="40">
        <v>13</v>
      </c>
      <c r="AE7" s="40">
        <v>9476</v>
      </c>
      <c r="AF7" s="40">
        <v>11895050</v>
      </c>
      <c r="AG7" s="40">
        <v>194976</v>
      </c>
      <c r="AH7" s="3"/>
      <c r="AI7" s="3"/>
      <c r="AJ7" s="46"/>
      <c r="AK7" s="42">
        <v>52839198</v>
      </c>
      <c r="AL7" s="42">
        <v>1605946</v>
      </c>
      <c r="AM7" s="3"/>
      <c r="AN7" s="40">
        <v>7825396</v>
      </c>
      <c r="AO7" s="40">
        <v>395969</v>
      </c>
      <c r="AP7" s="40">
        <v>2323231</v>
      </c>
      <c r="AQ7" s="40">
        <v>4344471</v>
      </c>
      <c r="AR7" s="40">
        <v>5149743</v>
      </c>
      <c r="AS7" s="3"/>
      <c r="AT7" s="40">
        <v>804816</v>
      </c>
      <c r="AU7" s="3"/>
      <c r="AV7" s="3"/>
      <c r="AW7" s="40">
        <v>27194</v>
      </c>
      <c r="AX7" s="3"/>
      <c r="AY7" s="3"/>
      <c r="AZ7" s="1">
        <v>4343595.26</v>
      </c>
      <c r="BA7" s="1">
        <v>2215234</v>
      </c>
      <c r="BB7" s="43"/>
      <c r="BC7" s="15">
        <v>0</v>
      </c>
      <c r="BD7" s="15">
        <v>0</v>
      </c>
      <c r="BE7" s="20">
        <v>18509554</v>
      </c>
      <c r="BF7" s="20">
        <v>18509554</v>
      </c>
      <c r="BG7" s="20">
        <v>21036441</v>
      </c>
      <c r="BH7" s="20">
        <v>21033895</v>
      </c>
      <c r="BI7" s="44"/>
      <c r="BJ7" s="44"/>
      <c r="BK7" s="44"/>
      <c r="BL7" s="5">
        <v>391062832</v>
      </c>
      <c r="BM7" s="5">
        <v>294859005</v>
      </c>
      <c r="BN7" s="15">
        <v>728500</v>
      </c>
      <c r="BO7" s="3"/>
      <c r="BP7" s="1"/>
      <c r="BQ7" s="1"/>
      <c r="BR7" s="5"/>
      <c r="BS7" s="5"/>
      <c r="BT7" s="5"/>
    </row>
    <row r="8" spans="1:72" x14ac:dyDescent="0.25">
      <c r="A8" s="6" t="s">
        <v>62</v>
      </c>
      <c r="B8" s="40">
        <v>433650075</v>
      </c>
      <c r="C8" s="40">
        <v>25436150</v>
      </c>
      <c r="D8" s="40">
        <v>181642827</v>
      </c>
      <c r="E8" s="40">
        <v>0</v>
      </c>
      <c r="F8" s="40">
        <v>65364000</v>
      </c>
      <c r="G8" s="40">
        <v>21957400</v>
      </c>
      <c r="H8" s="40">
        <v>4184300</v>
      </c>
      <c r="I8" s="40">
        <v>970600</v>
      </c>
      <c r="J8" s="40">
        <v>0</v>
      </c>
      <c r="K8" s="40">
        <v>0</v>
      </c>
      <c r="L8" s="40">
        <v>34539875</v>
      </c>
      <c r="M8" s="40">
        <v>34539875</v>
      </c>
      <c r="N8" s="40">
        <v>2464</v>
      </c>
      <c r="O8" s="40">
        <v>860</v>
      </c>
      <c r="P8" s="40">
        <v>2912200</v>
      </c>
      <c r="Q8" s="40">
        <v>0</v>
      </c>
      <c r="R8" s="40">
        <v>5360000</v>
      </c>
      <c r="S8" s="40">
        <v>4557800</v>
      </c>
      <c r="T8" s="40">
        <v>494000</v>
      </c>
      <c r="U8" s="40">
        <v>3102044</v>
      </c>
      <c r="V8" s="40">
        <v>2912200</v>
      </c>
      <c r="W8" s="40">
        <v>0</v>
      </c>
      <c r="X8" s="40">
        <v>5360000</v>
      </c>
      <c r="Y8" s="40">
        <v>4557800</v>
      </c>
      <c r="Z8" s="40">
        <v>549600</v>
      </c>
      <c r="AA8" s="40">
        <v>3102044</v>
      </c>
      <c r="AB8" s="40">
        <v>-7245044</v>
      </c>
      <c r="AC8" s="40">
        <v>0</v>
      </c>
      <c r="AD8" s="40">
        <v>159826</v>
      </c>
      <c r="AE8" s="40">
        <v>0</v>
      </c>
      <c r="AF8" s="40">
        <v>0</v>
      </c>
      <c r="AG8" s="40">
        <v>0</v>
      </c>
      <c r="AH8" s="40">
        <v>14052950</v>
      </c>
      <c r="AI8" s="40">
        <v>43799211</v>
      </c>
      <c r="AJ8" s="46">
        <v>36437377</v>
      </c>
      <c r="AK8" s="42">
        <v>113650193</v>
      </c>
      <c r="AL8" s="42">
        <v>1122784</v>
      </c>
      <c r="AM8" s="40">
        <v>0</v>
      </c>
      <c r="AN8" s="40">
        <v>79148842</v>
      </c>
      <c r="AO8" s="40">
        <v>4355156</v>
      </c>
      <c r="AP8" s="40">
        <v>42893251</v>
      </c>
      <c r="AQ8" s="40">
        <v>35108861</v>
      </c>
      <c r="AR8" s="40">
        <v>9014614</v>
      </c>
      <c r="AS8" s="40">
        <v>741023</v>
      </c>
      <c r="AT8" s="40">
        <v>0</v>
      </c>
      <c r="AU8" s="40">
        <v>0</v>
      </c>
      <c r="AV8" s="40">
        <v>0</v>
      </c>
      <c r="AW8" s="40">
        <v>0</v>
      </c>
      <c r="AX8" s="40">
        <v>24043</v>
      </c>
      <c r="AY8" s="40">
        <v>1125796</v>
      </c>
      <c r="AZ8" s="1">
        <v>9342504.3900000006</v>
      </c>
      <c r="BA8" s="1">
        <v>4764677</v>
      </c>
      <c r="BB8" s="43"/>
      <c r="BC8" s="15">
        <v>7189991</v>
      </c>
      <c r="BD8" s="15">
        <v>14379982</v>
      </c>
      <c r="BE8" s="20">
        <v>34060071</v>
      </c>
      <c r="BF8" s="20">
        <v>34060071</v>
      </c>
      <c r="BG8" s="20">
        <v>56580416</v>
      </c>
      <c r="BH8" s="20">
        <v>52427808</v>
      </c>
      <c r="BI8" s="44"/>
      <c r="BJ8" s="44"/>
      <c r="BK8" s="44"/>
      <c r="BL8" s="5">
        <v>1066846973</v>
      </c>
      <c r="BM8" s="5">
        <v>853631449</v>
      </c>
      <c r="BN8" s="15">
        <v>2436300</v>
      </c>
      <c r="BO8" s="3"/>
      <c r="BP8" s="1"/>
      <c r="BQ8" s="1"/>
      <c r="BR8" s="5"/>
      <c r="BS8" s="5"/>
      <c r="BT8" s="5"/>
    </row>
    <row r="9" spans="1:72" x14ac:dyDescent="0.25">
      <c r="A9" s="6" t="s">
        <v>63</v>
      </c>
      <c r="B9" s="40">
        <v>5985599990</v>
      </c>
      <c r="C9" s="40">
        <v>256896400</v>
      </c>
      <c r="D9" s="40">
        <v>3849703241</v>
      </c>
      <c r="E9" s="40">
        <v>115228851</v>
      </c>
      <c r="F9" s="40">
        <v>190231960</v>
      </c>
      <c r="G9" s="40">
        <v>19724740</v>
      </c>
      <c r="H9" s="40">
        <v>12537265</v>
      </c>
      <c r="I9" s="40">
        <v>615300</v>
      </c>
      <c r="J9" s="40">
        <v>640300</v>
      </c>
      <c r="K9" s="40">
        <v>33700</v>
      </c>
      <c r="L9" s="40">
        <v>825222857</v>
      </c>
      <c r="M9" s="40">
        <v>0</v>
      </c>
      <c r="N9" s="40">
        <v>6159</v>
      </c>
      <c r="O9" s="40">
        <v>638</v>
      </c>
      <c r="P9" s="40">
        <v>85449883</v>
      </c>
      <c r="Q9" s="40">
        <v>3718200</v>
      </c>
      <c r="R9" s="40">
        <v>31614590</v>
      </c>
      <c r="S9" s="40">
        <v>24692505</v>
      </c>
      <c r="T9" s="40">
        <v>3070018</v>
      </c>
      <c r="U9" s="40">
        <v>50416107</v>
      </c>
      <c r="V9" s="40">
        <v>85449883</v>
      </c>
      <c r="W9" s="40">
        <v>5589150</v>
      </c>
      <c r="X9" s="40">
        <v>31614590</v>
      </c>
      <c r="Y9" s="40">
        <v>24692505</v>
      </c>
      <c r="Z9" s="40">
        <v>7413313</v>
      </c>
      <c r="AA9" s="40">
        <v>50416107</v>
      </c>
      <c r="AB9" s="40">
        <v>-36669962</v>
      </c>
      <c r="AC9" s="40">
        <v>-37070391</v>
      </c>
      <c r="AD9" s="40">
        <v>0</v>
      </c>
      <c r="AE9" s="40">
        <v>0</v>
      </c>
      <c r="AF9" s="40">
        <v>0</v>
      </c>
      <c r="AG9" s="40">
        <v>0</v>
      </c>
      <c r="AH9" s="3"/>
      <c r="AI9" s="40">
        <v>1471918</v>
      </c>
      <c r="AJ9" s="46"/>
      <c r="AK9" s="42">
        <v>765882828</v>
      </c>
      <c r="AL9" s="42">
        <v>17241369</v>
      </c>
      <c r="AM9" s="40">
        <v>143650</v>
      </c>
      <c r="AN9" s="40">
        <v>668351185</v>
      </c>
      <c r="AO9" s="40">
        <v>23234440</v>
      </c>
      <c r="AP9" s="40">
        <v>619444582</v>
      </c>
      <c r="AQ9" s="40">
        <v>680314815</v>
      </c>
      <c r="AR9" s="40">
        <v>270360504</v>
      </c>
      <c r="AS9" s="40">
        <v>1032744219</v>
      </c>
      <c r="AT9" s="40">
        <v>392493906</v>
      </c>
      <c r="AU9" s="40">
        <v>0</v>
      </c>
      <c r="AV9" s="40">
        <v>534086</v>
      </c>
      <c r="AW9" s="40">
        <v>16327443</v>
      </c>
      <c r="AX9" s="40">
        <v>1052882</v>
      </c>
      <c r="AY9" s="40">
        <v>36109000</v>
      </c>
      <c r="AZ9" s="1">
        <v>62958658.439999998</v>
      </c>
      <c r="BA9" s="1">
        <v>32108916</v>
      </c>
      <c r="BB9" s="43">
        <v>32091191.710000001</v>
      </c>
      <c r="BC9" s="15">
        <v>1080954</v>
      </c>
      <c r="BD9" s="15">
        <v>2161908</v>
      </c>
      <c r="BE9" s="20">
        <v>195865898</v>
      </c>
      <c r="BF9" s="20">
        <v>195865898</v>
      </c>
      <c r="BG9" s="20">
        <v>715668158</v>
      </c>
      <c r="BH9" s="20">
        <v>459875794</v>
      </c>
      <c r="BI9" s="44"/>
      <c r="BJ9" s="44"/>
      <c r="BK9" s="44"/>
      <c r="BL9" s="5">
        <v>12937627748</v>
      </c>
      <c r="BM9" s="5">
        <v>11465571989</v>
      </c>
      <c r="BN9" s="15">
        <v>8200500</v>
      </c>
      <c r="BO9" s="3"/>
      <c r="BP9" s="1"/>
      <c r="BQ9" s="1"/>
      <c r="BR9" s="5"/>
      <c r="BS9" s="5"/>
      <c r="BT9" s="5"/>
    </row>
    <row r="10" spans="1:72" x14ac:dyDescent="0.25">
      <c r="A10" s="6" t="s">
        <v>64</v>
      </c>
      <c r="B10" s="40">
        <v>563993365</v>
      </c>
      <c r="C10" s="40">
        <v>301864278</v>
      </c>
      <c r="D10" s="40">
        <v>158412355</v>
      </c>
      <c r="E10" s="40">
        <v>2495000</v>
      </c>
      <c r="F10" s="40">
        <v>43377400</v>
      </c>
      <c r="G10" s="40">
        <v>6619100</v>
      </c>
      <c r="H10" s="40">
        <v>8241400</v>
      </c>
      <c r="I10" s="40">
        <v>674000</v>
      </c>
      <c r="J10" s="40">
        <v>168500</v>
      </c>
      <c r="K10" s="40">
        <v>0</v>
      </c>
      <c r="L10" s="40">
        <v>767303967</v>
      </c>
      <c r="M10" s="40">
        <v>172007200</v>
      </c>
      <c r="N10" s="40">
        <v>1555</v>
      </c>
      <c r="O10" s="40">
        <v>219</v>
      </c>
      <c r="P10" s="40">
        <v>7322200</v>
      </c>
      <c r="Q10" s="40">
        <v>3665700</v>
      </c>
      <c r="R10" s="40">
        <v>280000</v>
      </c>
      <c r="S10" s="40">
        <v>2442500</v>
      </c>
      <c r="T10" s="40">
        <v>3821390</v>
      </c>
      <c r="U10" s="40">
        <v>2320800</v>
      </c>
      <c r="V10" s="40">
        <v>7322200</v>
      </c>
      <c r="W10" s="40">
        <v>4017000</v>
      </c>
      <c r="X10" s="40">
        <v>280000</v>
      </c>
      <c r="Y10" s="40">
        <v>2442500</v>
      </c>
      <c r="Z10" s="40">
        <v>3973200</v>
      </c>
      <c r="AA10" s="40">
        <v>2320800</v>
      </c>
      <c r="AB10" s="40">
        <v>-2528370</v>
      </c>
      <c r="AC10" s="40">
        <v>-8050332</v>
      </c>
      <c r="AD10" s="40">
        <v>0</v>
      </c>
      <c r="AE10" s="40">
        <v>0</v>
      </c>
      <c r="AF10" s="40">
        <v>0</v>
      </c>
      <c r="AG10" s="40">
        <v>176089.69</v>
      </c>
      <c r="AH10" s="3"/>
      <c r="AI10" s="40">
        <v>608238</v>
      </c>
      <c r="AJ10" s="46"/>
      <c r="AK10" s="42">
        <v>130281931</v>
      </c>
      <c r="AL10" s="42">
        <v>3049106</v>
      </c>
      <c r="AM10" s="40">
        <v>0</v>
      </c>
      <c r="AN10" s="40">
        <v>35760112</v>
      </c>
      <c r="AO10" s="40">
        <v>13300080</v>
      </c>
      <c r="AP10" s="40">
        <v>157878056</v>
      </c>
      <c r="AQ10" s="40">
        <v>39575492</v>
      </c>
      <c r="AR10" s="40">
        <v>27352420</v>
      </c>
      <c r="AS10" s="40">
        <v>0</v>
      </c>
      <c r="AT10" s="40">
        <v>169074257</v>
      </c>
      <c r="AU10" s="40">
        <v>0</v>
      </c>
      <c r="AV10" s="40">
        <v>55267</v>
      </c>
      <c r="AW10" s="40">
        <v>915375</v>
      </c>
      <c r="AX10" s="40">
        <v>10039</v>
      </c>
      <c r="AY10" s="40">
        <v>17200</v>
      </c>
      <c r="AZ10" s="1">
        <v>10709700.35</v>
      </c>
      <c r="BA10" s="1">
        <v>5461947</v>
      </c>
      <c r="BB10" s="43"/>
      <c r="BC10" s="15">
        <v>2087316</v>
      </c>
      <c r="BD10" s="15">
        <v>4174633</v>
      </c>
      <c r="BE10" s="20">
        <v>10990380</v>
      </c>
      <c r="BF10" s="20">
        <v>10990380</v>
      </c>
      <c r="BG10" s="20">
        <v>37319823</v>
      </c>
      <c r="BH10" s="20">
        <v>34714107</v>
      </c>
      <c r="BI10" s="44"/>
      <c r="BJ10" s="44"/>
      <c r="BK10" s="44"/>
      <c r="BL10" s="5">
        <v>1300098707</v>
      </c>
      <c r="BM10" s="5">
        <v>1113513920</v>
      </c>
      <c r="BN10" s="15">
        <v>1409630</v>
      </c>
      <c r="BO10" s="3"/>
      <c r="BP10" s="1"/>
      <c r="BQ10" s="1"/>
      <c r="BR10" s="5"/>
      <c r="BS10" s="5"/>
      <c r="BT10" s="5"/>
    </row>
    <row r="11" spans="1:72" x14ac:dyDescent="0.25">
      <c r="A11" s="6" t="s">
        <v>65</v>
      </c>
      <c r="B11" s="40">
        <v>1075636603</v>
      </c>
      <c r="C11" s="40">
        <v>75874635</v>
      </c>
      <c r="D11" s="40">
        <v>568743272</v>
      </c>
      <c r="E11" s="40">
        <v>0</v>
      </c>
      <c r="F11" s="40">
        <v>138509460</v>
      </c>
      <c r="G11" s="40">
        <v>28655800</v>
      </c>
      <c r="H11" s="40">
        <v>7923000</v>
      </c>
      <c r="I11" s="40">
        <v>1300500</v>
      </c>
      <c r="J11" s="40">
        <v>499600</v>
      </c>
      <c r="K11" s="40">
        <v>54800</v>
      </c>
      <c r="L11" s="40">
        <v>36720695</v>
      </c>
      <c r="M11" s="40">
        <v>68088810</v>
      </c>
      <c r="N11" s="40">
        <v>4687</v>
      </c>
      <c r="O11" s="40">
        <v>984</v>
      </c>
      <c r="P11" s="40">
        <v>8146710</v>
      </c>
      <c r="Q11" s="40">
        <v>2244600</v>
      </c>
      <c r="R11" s="40">
        <v>2417500</v>
      </c>
      <c r="S11" s="40">
        <v>3637950</v>
      </c>
      <c r="T11" s="40">
        <v>154500</v>
      </c>
      <c r="U11" s="40">
        <v>5529000</v>
      </c>
      <c r="V11" s="40">
        <v>8146710</v>
      </c>
      <c r="W11" s="40">
        <v>2611000</v>
      </c>
      <c r="X11" s="40">
        <v>2417500</v>
      </c>
      <c r="Y11" s="40">
        <v>3637950</v>
      </c>
      <c r="Z11" s="40">
        <v>127400</v>
      </c>
      <c r="AA11" s="40">
        <v>5529000</v>
      </c>
      <c r="AB11" s="40">
        <v>-10916100</v>
      </c>
      <c r="AC11" s="40">
        <v>-7171415</v>
      </c>
      <c r="AD11" s="40">
        <v>21788</v>
      </c>
      <c r="AE11" s="40">
        <v>0</v>
      </c>
      <c r="AF11" s="40">
        <v>0</v>
      </c>
      <c r="AG11" s="40">
        <v>835</v>
      </c>
      <c r="AH11" s="40">
        <v>90127</v>
      </c>
      <c r="AI11" s="40">
        <v>3342066</v>
      </c>
      <c r="AJ11" s="46">
        <v>301000</v>
      </c>
      <c r="AK11" s="42">
        <v>299926187</v>
      </c>
      <c r="AL11" s="42">
        <v>6678454</v>
      </c>
      <c r="AM11" s="40">
        <v>7000</v>
      </c>
      <c r="AN11" s="40">
        <v>149853717</v>
      </c>
      <c r="AO11" s="40">
        <v>4107472</v>
      </c>
      <c r="AP11" s="40">
        <v>410037384</v>
      </c>
      <c r="AQ11" s="40">
        <v>125497517</v>
      </c>
      <c r="AR11" s="40">
        <v>141337107</v>
      </c>
      <c r="AS11" s="40">
        <v>7540241</v>
      </c>
      <c r="AT11" s="40">
        <v>1234433136</v>
      </c>
      <c r="AU11" s="40">
        <v>0</v>
      </c>
      <c r="AV11" s="40">
        <v>0</v>
      </c>
      <c r="AW11" s="40">
        <v>0</v>
      </c>
      <c r="AX11" s="40">
        <v>0</v>
      </c>
      <c r="AY11" s="40">
        <v>216973</v>
      </c>
      <c r="AZ11" s="1">
        <v>24655142.629999999</v>
      </c>
      <c r="BA11" s="1">
        <v>12574123</v>
      </c>
      <c r="BB11" s="43">
        <v>18010362.690000001</v>
      </c>
      <c r="BC11" s="15">
        <v>5828076</v>
      </c>
      <c r="BD11" s="15">
        <v>11656152</v>
      </c>
      <c r="BE11" s="20">
        <v>48109080</v>
      </c>
      <c r="BF11" s="20">
        <v>48109080</v>
      </c>
      <c r="BG11" s="20">
        <v>94389097</v>
      </c>
      <c r="BH11" s="20">
        <v>90816665</v>
      </c>
      <c r="BI11" s="44"/>
      <c r="BJ11" s="44"/>
      <c r="BK11" s="44"/>
      <c r="BL11" s="5">
        <v>2467378994</v>
      </c>
      <c r="BM11" s="5">
        <v>2003446409</v>
      </c>
      <c r="BN11" s="15">
        <v>5451500</v>
      </c>
      <c r="BO11" s="3"/>
      <c r="BP11" s="1"/>
      <c r="BQ11" s="1"/>
      <c r="BR11" s="5"/>
      <c r="BS11" s="5"/>
      <c r="BT11" s="5"/>
    </row>
    <row r="12" spans="1:72" x14ac:dyDescent="0.25">
      <c r="A12" s="6" t="s">
        <v>66</v>
      </c>
      <c r="B12" s="40">
        <v>973383011</v>
      </c>
      <c r="C12" s="40">
        <v>160382335</v>
      </c>
      <c r="D12" s="40">
        <v>412952700</v>
      </c>
      <c r="E12" s="40">
        <v>0</v>
      </c>
      <c r="F12" s="40">
        <v>76388400</v>
      </c>
      <c r="G12" s="40">
        <v>12086200</v>
      </c>
      <c r="H12" s="40">
        <v>8797700</v>
      </c>
      <c r="I12" s="40">
        <v>1078400</v>
      </c>
      <c r="J12" s="40">
        <v>134800</v>
      </c>
      <c r="K12" s="40">
        <v>0</v>
      </c>
      <c r="L12" s="40">
        <v>265144021</v>
      </c>
      <c r="M12" s="40">
        <v>132784700</v>
      </c>
      <c r="N12" s="40">
        <v>2605</v>
      </c>
      <c r="O12" s="40">
        <v>415</v>
      </c>
      <c r="P12" s="40">
        <v>4680100</v>
      </c>
      <c r="Q12" s="40">
        <v>1231000</v>
      </c>
      <c r="R12" s="40">
        <v>2890000</v>
      </c>
      <c r="S12" s="40">
        <v>4543150</v>
      </c>
      <c r="T12" s="40">
        <v>318000</v>
      </c>
      <c r="U12" s="40">
        <v>5635750</v>
      </c>
      <c r="V12" s="40">
        <v>4680100</v>
      </c>
      <c r="W12" s="40">
        <v>1231000</v>
      </c>
      <c r="X12" s="40">
        <v>2890000</v>
      </c>
      <c r="Y12" s="40">
        <v>4543150</v>
      </c>
      <c r="Z12" s="40">
        <v>343000</v>
      </c>
      <c r="AA12" s="40">
        <v>5635750</v>
      </c>
      <c r="AB12" s="40">
        <v>-2278200</v>
      </c>
      <c r="AC12" s="40">
        <v>-62092</v>
      </c>
      <c r="AD12" s="40">
        <v>14846</v>
      </c>
      <c r="AE12" s="40">
        <v>0</v>
      </c>
      <c r="AF12" s="40">
        <v>0</v>
      </c>
      <c r="AG12" s="40">
        <v>98610</v>
      </c>
      <c r="AH12" s="3"/>
      <c r="AI12" s="40">
        <v>286320</v>
      </c>
      <c r="AJ12" s="46"/>
      <c r="AK12" s="42">
        <v>146084293</v>
      </c>
      <c r="AL12" s="42">
        <v>5338622</v>
      </c>
      <c r="AM12" s="40">
        <v>0</v>
      </c>
      <c r="AN12" s="40">
        <v>67672265</v>
      </c>
      <c r="AO12" s="40">
        <v>7966185</v>
      </c>
      <c r="AP12" s="40">
        <v>245681116</v>
      </c>
      <c r="AQ12" s="40">
        <v>113691552</v>
      </c>
      <c r="AR12" s="40">
        <v>71948214</v>
      </c>
      <c r="AS12" s="40">
        <v>19035873</v>
      </c>
      <c r="AT12" s="40">
        <v>584643</v>
      </c>
      <c r="AU12" s="40">
        <v>0</v>
      </c>
      <c r="AV12" s="40">
        <v>466283</v>
      </c>
      <c r="AW12" s="40">
        <v>1681849</v>
      </c>
      <c r="AX12" s="40">
        <v>18971</v>
      </c>
      <c r="AY12" s="40">
        <v>3260656</v>
      </c>
      <c r="AZ12" s="1">
        <v>12008718.27</v>
      </c>
      <c r="BA12" s="1">
        <v>6124446</v>
      </c>
      <c r="BB12" s="43"/>
      <c r="BC12" s="15">
        <v>2769828</v>
      </c>
      <c r="BD12" s="15">
        <v>5539656</v>
      </c>
      <c r="BE12" s="20">
        <v>34581355</v>
      </c>
      <c r="BF12" s="20">
        <v>34581355</v>
      </c>
      <c r="BG12" s="20">
        <v>40180047</v>
      </c>
      <c r="BH12" s="20">
        <v>37416974</v>
      </c>
      <c r="BI12" s="44"/>
      <c r="BJ12" s="44"/>
      <c r="BK12" s="44"/>
      <c r="BL12" s="5">
        <v>1968649886</v>
      </c>
      <c r="BM12" s="5">
        <v>1736334368</v>
      </c>
      <c r="BN12" s="15">
        <v>2920000</v>
      </c>
      <c r="BO12" s="3"/>
      <c r="BP12" s="1"/>
      <c r="BQ12" s="1"/>
      <c r="BR12" s="5"/>
      <c r="BS12" s="5"/>
      <c r="BT12" s="5"/>
    </row>
    <row r="13" spans="1:72" x14ac:dyDescent="0.25">
      <c r="A13" s="6" t="s">
        <v>67</v>
      </c>
      <c r="B13" s="40">
        <v>138144307</v>
      </c>
      <c r="C13" s="40">
        <v>102229809</v>
      </c>
      <c r="D13" s="40">
        <v>23464415</v>
      </c>
      <c r="E13" s="40">
        <v>0</v>
      </c>
      <c r="F13" s="40">
        <v>14868000</v>
      </c>
      <c r="G13" s="40">
        <v>3786090</v>
      </c>
      <c r="H13" s="40">
        <v>7045200</v>
      </c>
      <c r="I13" s="40">
        <v>868900</v>
      </c>
      <c r="J13" s="40">
        <v>33700</v>
      </c>
      <c r="K13" s="40">
        <v>0</v>
      </c>
      <c r="L13" s="40">
        <v>70156858</v>
      </c>
      <c r="M13" s="40">
        <v>180300767</v>
      </c>
      <c r="N13" s="40">
        <v>710</v>
      </c>
      <c r="O13" s="40">
        <v>156</v>
      </c>
      <c r="P13" s="40">
        <v>1556955</v>
      </c>
      <c r="Q13" s="40">
        <v>2852700</v>
      </c>
      <c r="R13" s="40">
        <v>30000</v>
      </c>
      <c r="S13" s="40">
        <v>1270845</v>
      </c>
      <c r="T13" s="40">
        <v>533490</v>
      </c>
      <c r="U13" s="40">
        <v>1361218</v>
      </c>
      <c r="V13" s="40">
        <v>1556955</v>
      </c>
      <c r="W13" s="40">
        <v>3116650</v>
      </c>
      <c r="X13" s="40">
        <v>30000</v>
      </c>
      <c r="Y13" s="40">
        <v>1270845</v>
      </c>
      <c r="Z13" s="40">
        <v>457090</v>
      </c>
      <c r="AA13" s="40">
        <v>1361218</v>
      </c>
      <c r="AB13" s="40">
        <v>-552240</v>
      </c>
      <c r="AC13" s="40">
        <v>-95311</v>
      </c>
      <c r="AD13" s="40">
        <v>0</v>
      </c>
      <c r="AE13" s="40">
        <v>0</v>
      </c>
      <c r="AF13" s="40">
        <v>0</v>
      </c>
      <c r="AG13" s="40">
        <v>117132</v>
      </c>
      <c r="AH13" s="3"/>
      <c r="AI13" s="3"/>
      <c r="AJ13" s="46"/>
      <c r="AK13" s="42">
        <v>44129665</v>
      </c>
      <c r="AL13" s="42">
        <v>889378</v>
      </c>
      <c r="AM13" s="40">
        <v>0</v>
      </c>
      <c r="AN13" s="40">
        <v>3184084</v>
      </c>
      <c r="AO13" s="40">
        <v>10013</v>
      </c>
      <c r="AP13" s="40">
        <v>25289434</v>
      </c>
      <c r="AQ13" s="40">
        <v>3252203</v>
      </c>
      <c r="AR13" s="40">
        <v>7073721</v>
      </c>
      <c r="AS13" s="40">
        <v>2154303</v>
      </c>
      <c r="AT13" s="40">
        <v>143180</v>
      </c>
      <c r="AU13" s="40">
        <v>0</v>
      </c>
      <c r="AV13" s="40">
        <v>0</v>
      </c>
      <c r="AW13" s="40">
        <v>0</v>
      </c>
      <c r="AX13" s="40">
        <v>0</v>
      </c>
      <c r="AY13" s="40">
        <v>0</v>
      </c>
      <c r="AZ13" s="1">
        <v>3627636.51</v>
      </c>
      <c r="BA13" s="1">
        <v>1850095</v>
      </c>
      <c r="BB13" s="43">
        <v>15800000</v>
      </c>
      <c r="BC13" s="15">
        <v>1355077</v>
      </c>
      <c r="BD13" s="15">
        <v>2710155</v>
      </c>
      <c r="BE13" s="20">
        <v>11908617</v>
      </c>
      <c r="BF13" s="20">
        <v>11908617</v>
      </c>
      <c r="BG13" s="20">
        <v>25844633</v>
      </c>
      <c r="BH13" s="20">
        <v>22359627</v>
      </c>
      <c r="BI13" s="44"/>
      <c r="BJ13" s="44"/>
      <c r="BK13" s="44"/>
      <c r="BL13" s="5">
        <v>352777290</v>
      </c>
      <c r="BM13" s="5">
        <v>270284831</v>
      </c>
      <c r="BN13" s="15">
        <v>253940</v>
      </c>
      <c r="BO13" s="3"/>
      <c r="BP13" s="1"/>
      <c r="BQ13" s="1"/>
      <c r="BR13" s="5"/>
      <c r="BS13" s="5"/>
      <c r="BT13" s="5"/>
    </row>
    <row r="14" spans="1:72" x14ac:dyDescent="0.25">
      <c r="A14" s="6" t="s">
        <v>68</v>
      </c>
      <c r="B14" s="40">
        <v>139070638</v>
      </c>
      <c r="C14" s="40">
        <v>79190092</v>
      </c>
      <c r="D14" s="40">
        <v>56070981</v>
      </c>
      <c r="E14" s="40">
        <v>0</v>
      </c>
      <c r="F14" s="40">
        <v>18505340</v>
      </c>
      <c r="G14" s="40">
        <v>31516140</v>
      </c>
      <c r="H14" s="40">
        <v>9716865</v>
      </c>
      <c r="I14" s="40">
        <v>10002992</v>
      </c>
      <c r="J14" s="40">
        <v>101100</v>
      </c>
      <c r="K14" s="40">
        <v>168500</v>
      </c>
      <c r="L14" s="40">
        <v>32461996</v>
      </c>
      <c r="M14" s="40">
        <v>52242743</v>
      </c>
      <c r="N14" s="40">
        <v>949</v>
      </c>
      <c r="O14" s="40">
        <v>1480</v>
      </c>
      <c r="P14" s="40">
        <v>1546700</v>
      </c>
      <c r="Q14" s="40">
        <v>140400</v>
      </c>
      <c r="R14" s="40">
        <v>415000</v>
      </c>
      <c r="S14" s="40">
        <v>384820</v>
      </c>
      <c r="T14" s="40">
        <v>201200</v>
      </c>
      <c r="U14" s="40">
        <v>550000</v>
      </c>
      <c r="V14" s="40">
        <v>1546700</v>
      </c>
      <c r="W14" s="40">
        <v>140400</v>
      </c>
      <c r="X14" s="40">
        <v>415000</v>
      </c>
      <c r="Y14" s="40">
        <v>384820</v>
      </c>
      <c r="Z14" s="40">
        <v>250000</v>
      </c>
      <c r="AA14" s="40">
        <v>550000</v>
      </c>
      <c r="AB14" s="40">
        <v>-5566565</v>
      </c>
      <c r="AC14" s="40">
        <v>-9999</v>
      </c>
      <c r="AD14" s="40">
        <v>239249</v>
      </c>
      <c r="AE14" s="40">
        <v>0</v>
      </c>
      <c r="AF14" s="40">
        <v>0</v>
      </c>
      <c r="AG14" s="40">
        <v>359074</v>
      </c>
      <c r="AH14" s="40">
        <v>1128896</v>
      </c>
      <c r="AI14" s="40">
        <v>3081442</v>
      </c>
      <c r="AJ14" s="46">
        <v>79655120</v>
      </c>
      <c r="AK14" s="42">
        <v>59555227</v>
      </c>
      <c r="AL14" s="42">
        <v>1110914</v>
      </c>
      <c r="AM14" s="40">
        <v>0</v>
      </c>
      <c r="AN14" s="40">
        <v>45639938</v>
      </c>
      <c r="AO14" s="40">
        <v>744241</v>
      </c>
      <c r="AP14" s="40">
        <v>9738174</v>
      </c>
      <c r="AQ14" s="40">
        <v>7133835</v>
      </c>
      <c r="AR14" s="40">
        <v>6438942</v>
      </c>
      <c r="AS14" s="40">
        <v>0</v>
      </c>
      <c r="AT14" s="40">
        <v>189587</v>
      </c>
      <c r="AU14" s="40">
        <v>0</v>
      </c>
      <c r="AV14" s="40">
        <v>0</v>
      </c>
      <c r="AW14" s="40">
        <v>0</v>
      </c>
      <c r="AX14" s="40">
        <v>0</v>
      </c>
      <c r="AY14" s="40">
        <v>30000</v>
      </c>
      <c r="AZ14" s="1">
        <v>4895679.9400000004</v>
      </c>
      <c r="BA14" s="1">
        <v>2496797</v>
      </c>
      <c r="BB14" s="43"/>
      <c r="BC14" s="15">
        <v>2259498</v>
      </c>
      <c r="BD14" s="15">
        <v>4518997</v>
      </c>
      <c r="BE14" s="20">
        <v>6440129</v>
      </c>
      <c r="BF14" s="20">
        <v>6422025</v>
      </c>
      <c r="BG14" s="20">
        <v>30648637</v>
      </c>
      <c r="BH14" s="20">
        <v>26104207</v>
      </c>
      <c r="BI14" s="44"/>
      <c r="BJ14" s="44"/>
      <c r="BK14" s="44"/>
      <c r="BL14" s="5">
        <v>509663851</v>
      </c>
      <c r="BM14" s="5">
        <v>411715183</v>
      </c>
      <c r="BN14" s="15">
        <v>1149697</v>
      </c>
      <c r="BO14" s="3"/>
      <c r="BP14" s="1"/>
      <c r="BQ14" s="1"/>
      <c r="BR14" s="5"/>
      <c r="BS14" s="5"/>
      <c r="BT14" s="5"/>
    </row>
    <row r="15" spans="1:72" x14ac:dyDescent="0.25">
      <c r="A15" s="6" t="s">
        <v>69</v>
      </c>
      <c r="B15" s="40">
        <v>470090897</v>
      </c>
      <c r="C15" s="40">
        <v>199454874</v>
      </c>
      <c r="D15" s="40">
        <v>63350794</v>
      </c>
      <c r="E15" s="40">
        <v>0</v>
      </c>
      <c r="F15" s="40">
        <v>40316705</v>
      </c>
      <c r="G15" s="40">
        <v>11036280</v>
      </c>
      <c r="H15" s="40">
        <v>16129680</v>
      </c>
      <c r="I15" s="40">
        <v>2780000</v>
      </c>
      <c r="J15" s="40">
        <v>0</v>
      </c>
      <c r="K15" s="40">
        <v>0</v>
      </c>
      <c r="L15" s="40">
        <v>296187199</v>
      </c>
      <c r="M15" s="40">
        <v>106392210</v>
      </c>
      <c r="N15" s="40">
        <v>1802</v>
      </c>
      <c r="O15" s="40">
        <v>472</v>
      </c>
      <c r="P15" s="40">
        <v>8400300</v>
      </c>
      <c r="Q15" s="40">
        <v>3597000</v>
      </c>
      <c r="R15" s="40">
        <v>856000</v>
      </c>
      <c r="S15" s="40">
        <v>4627368</v>
      </c>
      <c r="T15" s="40">
        <v>1301950</v>
      </c>
      <c r="U15" s="40">
        <v>592000</v>
      </c>
      <c r="V15" s="40">
        <v>8400300</v>
      </c>
      <c r="W15" s="40">
        <v>3645700</v>
      </c>
      <c r="X15" s="40">
        <v>856000</v>
      </c>
      <c r="Y15" s="40">
        <v>4627368</v>
      </c>
      <c r="Z15" s="40">
        <v>777350</v>
      </c>
      <c r="AA15" s="40">
        <v>592000</v>
      </c>
      <c r="AB15" s="40">
        <v>-2115353</v>
      </c>
      <c r="AC15" s="40">
        <v>-2556</v>
      </c>
      <c r="AD15" s="40">
        <v>144660</v>
      </c>
      <c r="AE15" s="40">
        <v>0</v>
      </c>
      <c r="AF15" s="40">
        <v>0</v>
      </c>
      <c r="AG15" s="40">
        <v>352118</v>
      </c>
      <c r="AH15" s="40">
        <v>87523</v>
      </c>
      <c r="AI15" s="40">
        <v>843008</v>
      </c>
      <c r="AJ15" s="46"/>
      <c r="AK15" s="42">
        <v>101112341</v>
      </c>
      <c r="AL15" s="42">
        <v>12490687</v>
      </c>
      <c r="AM15" s="40">
        <v>795292</v>
      </c>
      <c r="AN15" s="40">
        <v>17948494</v>
      </c>
      <c r="AO15" s="40">
        <v>177475</v>
      </c>
      <c r="AP15" s="40">
        <v>7198723</v>
      </c>
      <c r="AQ15" s="40">
        <v>12528138</v>
      </c>
      <c r="AR15" s="40">
        <v>11025254</v>
      </c>
      <c r="AS15" s="40">
        <v>0</v>
      </c>
      <c r="AT15" s="40">
        <v>997580</v>
      </c>
      <c r="AU15" s="40">
        <v>0</v>
      </c>
      <c r="AV15" s="40">
        <v>0</v>
      </c>
      <c r="AW15" s="40">
        <v>1108252</v>
      </c>
      <c r="AX15" s="40">
        <v>0</v>
      </c>
      <c r="AY15" s="40">
        <v>240600</v>
      </c>
      <c r="AZ15" s="1">
        <v>8311842.3700000001</v>
      </c>
      <c r="BA15" s="1">
        <v>4239040</v>
      </c>
      <c r="BB15" s="43">
        <v>18501554.399999999</v>
      </c>
      <c r="BC15" s="15">
        <v>1845516</v>
      </c>
      <c r="BD15" s="15">
        <v>3691032</v>
      </c>
      <c r="BE15" s="20">
        <v>24430816</v>
      </c>
      <c r="BF15" s="20">
        <v>24430816</v>
      </c>
      <c r="BG15" s="20">
        <v>60948285</v>
      </c>
      <c r="BH15" s="20">
        <v>59131197</v>
      </c>
      <c r="BI15" s="44"/>
      <c r="BJ15" s="44"/>
      <c r="BK15" s="44"/>
      <c r="BL15" s="5">
        <v>967730800</v>
      </c>
      <c r="BM15" s="5">
        <v>764481203</v>
      </c>
      <c r="BN15" s="15">
        <v>2357029</v>
      </c>
      <c r="BO15" s="3"/>
      <c r="BP15" s="1"/>
      <c r="BQ15" s="1"/>
      <c r="BR15" s="5"/>
      <c r="BS15" s="5"/>
      <c r="BT15" s="5"/>
    </row>
    <row r="16" spans="1:72" x14ac:dyDescent="0.25">
      <c r="A16" s="6" t="s">
        <v>70</v>
      </c>
      <c r="B16" s="40">
        <v>3394495476</v>
      </c>
      <c r="C16" s="40">
        <v>232857814</v>
      </c>
      <c r="D16" s="40">
        <v>848624783</v>
      </c>
      <c r="E16" s="40">
        <v>23841565</v>
      </c>
      <c r="F16" s="40">
        <v>145961739</v>
      </c>
      <c r="G16" s="40">
        <v>28763780</v>
      </c>
      <c r="H16" s="40">
        <v>14120076</v>
      </c>
      <c r="I16" s="40">
        <v>2325300</v>
      </c>
      <c r="J16" s="40">
        <v>101100</v>
      </c>
      <c r="K16" s="40">
        <v>33700</v>
      </c>
      <c r="L16" s="40">
        <v>346884216</v>
      </c>
      <c r="M16" s="40">
        <v>157580001</v>
      </c>
      <c r="N16" s="40">
        <v>4844</v>
      </c>
      <c r="O16" s="40">
        <v>991</v>
      </c>
      <c r="P16" s="40">
        <v>23706016</v>
      </c>
      <c r="Q16" s="40">
        <v>3305817</v>
      </c>
      <c r="R16" s="40">
        <v>2925000</v>
      </c>
      <c r="S16" s="40">
        <v>9979961</v>
      </c>
      <c r="T16" s="40">
        <v>1172838</v>
      </c>
      <c r="U16" s="40">
        <v>7704779</v>
      </c>
      <c r="V16" s="40">
        <v>23706016</v>
      </c>
      <c r="W16" s="40">
        <v>4150341</v>
      </c>
      <c r="X16" s="40">
        <v>2925000</v>
      </c>
      <c r="Y16" s="40">
        <v>9979961</v>
      </c>
      <c r="Z16" s="40">
        <v>1945487</v>
      </c>
      <c r="AA16" s="40">
        <v>7704779</v>
      </c>
      <c r="AB16" s="40">
        <v>-12397846</v>
      </c>
      <c r="AC16" s="40">
        <v>-4714902</v>
      </c>
      <c r="AD16" s="40">
        <v>26792</v>
      </c>
      <c r="AE16" s="40">
        <v>548</v>
      </c>
      <c r="AF16" s="40">
        <v>13599262</v>
      </c>
      <c r="AG16" s="40">
        <v>89807</v>
      </c>
      <c r="AH16" s="3"/>
      <c r="AI16" s="40">
        <v>1211295</v>
      </c>
      <c r="AJ16" s="46"/>
      <c r="AK16" s="42">
        <v>429670891</v>
      </c>
      <c r="AL16" s="42">
        <v>17388497</v>
      </c>
      <c r="AM16" s="40">
        <v>26000</v>
      </c>
      <c r="AN16" s="40">
        <v>100802191</v>
      </c>
      <c r="AO16" s="40">
        <v>2368809</v>
      </c>
      <c r="AP16" s="40">
        <v>153267355</v>
      </c>
      <c r="AQ16" s="40">
        <v>143260338</v>
      </c>
      <c r="AR16" s="40">
        <v>676853069</v>
      </c>
      <c r="AS16" s="40">
        <v>1964886650</v>
      </c>
      <c r="AT16" s="40">
        <v>237571592</v>
      </c>
      <c r="AU16" s="3"/>
      <c r="AV16" s="3"/>
      <c r="AW16" s="40">
        <v>8345471</v>
      </c>
      <c r="AX16" s="40">
        <v>2934248</v>
      </c>
      <c r="AY16" s="40">
        <v>262050</v>
      </c>
      <c r="AZ16" s="1">
        <v>35320680.759999998</v>
      </c>
      <c r="BA16" s="1">
        <v>18013547</v>
      </c>
      <c r="BB16" s="43"/>
      <c r="BC16" s="15">
        <v>2598268</v>
      </c>
      <c r="BD16" s="15">
        <v>5196535</v>
      </c>
      <c r="BE16" s="20">
        <v>27471729</v>
      </c>
      <c r="BF16" s="20">
        <v>27344903</v>
      </c>
      <c r="BG16" s="20">
        <v>90314515</v>
      </c>
      <c r="BH16" s="20">
        <v>87457308</v>
      </c>
      <c r="BI16" s="45">
        <v>227747537</v>
      </c>
      <c r="BJ16" s="44"/>
      <c r="BK16" s="44"/>
      <c r="BL16" s="5">
        <v>5533841657</v>
      </c>
      <c r="BM16" s="5">
        <v>4723620706</v>
      </c>
      <c r="BN16" s="15">
        <v>2840936</v>
      </c>
      <c r="BO16" s="3"/>
      <c r="BP16" s="1"/>
      <c r="BQ16" s="1"/>
      <c r="BR16" s="5"/>
      <c r="BS16" s="5"/>
      <c r="BT16" s="5"/>
    </row>
    <row r="17" spans="1:72" x14ac:dyDescent="0.25">
      <c r="A17" s="6" t="s">
        <v>71</v>
      </c>
      <c r="B17" s="40">
        <v>165466996</v>
      </c>
      <c r="C17" s="40">
        <v>106412153</v>
      </c>
      <c r="D17" s="40">
        <v>59707286</v>
      </c>
      <c r="E17" s="40">
        <v>0</v>
      </c>
      <c r="F17" s="40">
        <v>19154850</v>
      </c>
      <c r="G17" s="40">
        <v>7609100</v>
      </c>
      <c r="H17" s="40">
        <v>11333580</v>
      </c>
      <c r="I17" s="40">
        <v>2661200</v>
      </c>
      <c r="J17" s="40">
        <v>0</v>
      </c>
      <c r="K17" s="40">
        <v>0</v>
      </c>
      <c r="L17" s="40">
        <v>222148729</v>
      </c>
      <c r="M17" s="40">
        <v>342555662</v>
      </c>
      <c r="N17" s="40">
        <v>1008</v>
      </c>
      <c r="O17" s="40">
        <v>363</v>
      </c>
      <c r="P17" s="40">
        <v>2192950</v>
      </c>
      <c r="Q17" s="40">
        <v>1877950</v>
      </c>
      <c r="R17" s="40">
        <v>1093200</v>
      </c>
      <c r="S17" s="40">
        <v>551824</v>
      </c>
      <c r="T17" s="40">
        <v>305600</v>
      </c>
      <c r="U17" s="40">
        <v>920000</v>
      </c>
      <c r="V17" s="40">
        <v>2192950</v>
      </c>
      <c r="W17" s="40">
        <v>1704950</v>
      </c>
      <c r="X17" s="40">
        <v>1093200</v>
      </c>
      <c r="Y17" s="40">
        <v>551824</v>
      </c>
      <c r="Z17" s="40">
        <v>60400</v>
      </c>
      <c r="AA17" s="40">
        <v>920000</v>
      </c>
      <c r="AB17" s="40">
        <v>-1762609</v>
      </c>
      <c r="AC17" s="40">
        <v>0</v>
      </c>
      <c r="AD17" s="40">
        <v>146609</v>
      </c>
      <c r="AE17" s="40">
        <v>72800</v>
      </c>
      <c r="AF17" s="40">
        <v>20952349</v>
      </c>
      <c r="AG17" s="40">
        <v>250877</v>
      </c>
      <c r="AH17" s="40">
        <v>646321</v>
      </c>
      <c r="AI17" s="40">
        <v>415074</v>
      </c>
      <c r="AJ17" s="46"/>
      <c r="AK17" s="42">
        <v>65269507</v>
      </c>
      <c r="AL17" s="42">
        <v>1881037</v>
      </c>
      <c r="AM17" s="40">
        <v>0</v>
      </c>
      <c r="AN17" s="40">
        <v>9543818</v>
      </c>
      <c r="AO17" s="40">
        <v>634718</v>
      </c>
      <c r="AP17" s="40">
        <v>20075722</v>
      </c>
      <c r="AQ17" s="40">
        <v>5202415</v>
      </c>
      <c r="AR17" s="40">
        <v>9136102</v>
      </c>
      <c r="AS17" s="40">
        <v>0</v>
      </c>
      <c r="AT17" s="40">
        <v>1150196</v>
      </c>
      <c r="AU17" s="40">
        <v>0</v>
      </c>
      <c r="AV17" s="40">
        <v>29878</v>
      </c>
      <c r="AW17" s="40">
        <v>0</v>
      </c>
      <c r="AX17" s="40">
        <v>0</v>
      </c>
      <c r="AY17" s="40">
        <v>15000</v>
      </c>
      <c r="AZ17" s="1">
        <v>5365416.8099999996</v>
      </c>
      <c r="BA17" s="1">
        <v>2736363</v>
      </c>
      <c r="BB17" s="43"/>
      <c r="BC17" s="15">
        <v>0</v>
      </c>
      <c r="BD17" s="15">
        <v>0</v>
      </c>
      <c r="BE17" s="20">
        <v>3774921</v>
      </c>
      <c r="BF17" s="20">
        <v>3774921</v>
      </c>
      <c r="BG17" s="20">
        <v>20329550</v>
      </c>
      <c r="BH17" s="20">
        <v>20329550</v>
      </c>
      <c r="BI17" s="44"/>
      <c r="BJ17" s="44"/>
      <c r="BK17" s="44"/>
      <c r="BL17" s="5">
        <v>433085508</v>
      </c>
      <c r="BM17" s="5">
        <v>339094130</v>
      </c>
      <c r="BN17" s="15">
        <v>961600</v>
      </c>
      <c r="BO17" s="3"/>
      <c r="BP17" s="1"/>
      <c r="BQ17" s="1"/>
      <c r="BR17" s="5"/>
      <c r="BS17" s="5"/>
      <c r="BT17" s="5"/>
    </row>
    <row r="18" spans="1:72" x14ac:dyDescent="0.25">
      <c r="A18" s="6" t="s">
        <v>72</v>
      </c>
      <c r="B18" s="40">
        <v>203960631</v>
      </c>
      <c r="C18" s="40">
        <v>97812757</v>
      </c>
      <c r="D18" s="40">
        <v>71284818</v>
      </c>
      <c r="E18" s="40">
        <v>8478097</v>
      </c>
      <c r="F18" s="40">
        <v>35010929</v>
      </c>
      <c r="G18" s="40">
        <v>6483880</v>
      </c>
      <c r="H18" s="40">
        <v>9332825</v>
      </c>
      <c r="I18" s="40">
        <v>1527067</v>
      </c>
      <c r="J18" s="40">
        <v>33700</v>
      </c>
      <c r="K18" s="40">
        <v>40000</v>
      </c>
      <c r="L18" s="40">
        <v>169689542</v>
      </c>
      <c r="M18" s="40">
        <v>53312296</v>
      </c>
      <c r="N18" s="40">
        <v>1377</v>
      </c>
      <c r="O18" s="40">
        <v>272</v>
      </c>
      <c r="P18" s="40">
        <v>3227590</v>
      </c>
      <c r="Q18" s="40">
        <v>1352435</v>
      </c>
      <c r="R18" s="40">
        <v>8522950</v>
      </c>
      <c r="S18" s="40">
        <v>1681959</v>
      </c>
      <c r="T18" s="40">
        <v>175075</v>
      </c>
      <c r="U18" s="40">
        <v>1067500</v>
      </c>
      <c r="V18" s="40">
        <v>3227590</v>
      </c>
      <c r="W18" s="40">
        <v>1357058</v>
      </c>
      <c r="X18" s="40">
        <v>8522950</v>
      </c>
      <c r="Y18" s="40">
        <v>1681959</v>
      </c>
      <c r="Z18" s="40">
        <v>400984</v>
      </c>
      <c r="AA18" s="40">
        <v>1067500</v>
      </c>
      <c r="AB18" s="40">
        <v>-2029389</v>
      </c>
      <c r="AC18" s="40">
        <v>-173011</v>
      </c>
      <c r="AD18" s="40">
        <v>25190</v>
      </c>
      <c r="AE18" s="40">
        <v>47120</v>
      </c>
      <c r="AF18" s="40">
        <v>26687454</v>
      </c>
      <c r="AG18" s="40">
        <v>199800</v>
      </c>
      <c r="AH18" s="40">
        <v>247202</v>
      </c>
      <c r="AI18" s="40">
        <v>2846041</v>
      </c>
      <c r="AJ18" s="3"/>
      <c r="AK18" s="42">
        <v>74400027</v>
      </c>
      <c r="AL18" s="42">
        <v>2266104</v>
      </c>
      <c r="AM18" s="40">
        <v>0</v>
      </c>
      <c r="AN18" s="40">
        <v>22319854</v>
      </c>
      <c r="AO18" s="40">
        <v>2641250</v>
      </c>
      <c r="AP18" s="40">
        <v>66415860</v>
      </c>
      <c r="AQ18" s="40">
        <v>26973137</v>
      </c>
      <c r="AR18" s="40">
        <v>8131368</v>
      </c>
      <c r="AS18" s="40">
        <v>2358006</v>
      </c>
      <c r="AT18" s="40">
        <v>7574</v>
      </c>
      <c r="AU18" s="40">
        <v>0</v>
      </c>
      <c r="AV18" s="40">
        <v>1610674</v>
      </c>
      <c r="AW18" s="40">
        <v>0</v>
      </c>
      <c r="AX18" s="40">
        <v>14608</v>
      </c>
      <c r="AY18" s="40">
        <v>463500</v>
      </c>
      <c r="AZ18" s="1">
        <v>6115982.3899999997</v>
      </c>
      <c r="BA18" s="1">
        <v>3119151</v>
      </c>
      <c r="BB18" s="43"/>
      <c r="BC18" s="15">
        <v>1372482</v>
      </c>
      <c r="BD18" s="15">
        <v>2744964</v>
      </c>
      <c r="BE18" s="20">
        <v>17003746</v>
      </c>
      <c r="BF18" s="20">
        <v>12991015</v>
      </c>
      <c r="BG18" s="20">
        <v>22166549</v>
      </c>
      <c r="BH18" s="20">
        <v>20488457</v>
      </c>
      <c r="BI18" s="44"/>
      <c r="BJ18" s="44">
        <v>4970035</v>
      </c>
      <c r="BK18" s="44"/>
      <c r="BL18" s="5">
        <v>547692961</v>
      </c>
      <c r="BM18" s="5">
        <v>428085690</v>
      </c>
      <c r="BN18" s="15">
        <v>399000</v>
      </c>
      <c r="BO18" s="3"/>
      <c r="BP18" s="1"/>
      <c r="BQ18" s="1"/>
      <c r="BR18" s="5"/>
      <c r="BS18" s="5"/>
      <c r="BT18" s="5"/>
    </row>
    <row r="19" spans="1:72" x14ac:dyDescent="0.25">
      <c r="A19" s="6" t="s">
        <v>73</v>
      </c>
      <c r="B19" s="40">
        <v>1104966608</v>
      </c>
      <c r="C19" s="40">
        <v>209669647</v>
      </c>
      <c r="D19" s="40">
        <v>283144827</v>
      </c>
      <c r="E19" s="40">
        <v>0</v>
      </c>
      <c r="F19" s="40">
        <v>84102513</v>
      </c>
      <c r="G19" s="40">
        <v>10905498</v>
      </c>
      <c r="H19" s="40">
        <v>15614200</v>
      </c>
      <c r="I19" s="40">
        <v>1318200</v>
      </c>
      <c r="J19" s="40">
        <v>134800</v>
      </c>
      <c r="K19" s="40">
        <v>0</v>
      </c>
      <c r="L19" s="40">
        <v>352983819</v>
      </c>
      <c r="M19" s="40">
        <v>132502597</v>
      </c>
      <c r="N19" s="40">
        <v>3090</v>
      </c>
      <c r="O19" s="40">
        <v>409</v>
      </c>
      <c r="P19" s="40">
        <v>8635731</v>
      </c>
      <c r="Q19" s="40">
        <v>3608500</v>
      </c>
      <c r="R19" s="40">
        <v>300000</v>
      </c>
      <c r="S19" s="40">
        <v>10375950</v>
      </c>
      <c r="T19" s="40">
        <v>135500</v>
      </c>
      <c r="U19" s="40">
        <v>675140</v>
      </c>
      <c r="V19" s="40">
        <v>8635731</v>
      </c>
      <c r="W19" s="40">
        <v>3615670</v>
      </c>
      <c r="X19" s="40">
        <v>300000</v>
      </c>
      <c r="Y19" s="40">
        <v>10375950</v>
      </c>
      <c r="Z19" s="40">
        <v>172989</v>
      </c>
      <c r="AA19" s="40">
        <v>675140</v>
      </c>
      <c r="AB19" s="40">
        <v>-6329150</v>
      </c>
      <c r="AC19" s="40">
        <v>-266360</v>
      </c>
      <c r="AD19" s="40">
        <v>67082</v>
      </c>
      <c r="AE19" s="40">
        <v>4681</v>
      </c>
      <c r="AF19" s="40">
        <v>2340250</v>
      </c>
      <c r="AG19" s="40">
        <v>204737</v>
      </c>
      <c r="AH19" s="3"/>
      <c r="AI19" s="40">
        <v>918910</v>
      </c>
      <c r="AJ19" s="3"/>
      <c r="AK19" s="42">
        <v>194076087</v>
      </c>
      <c r="AL19" s="42">
        <v>10392912</v>
      </c>
      <c r="AM19" s="40">
        <v>78000</v>
      </c>
      <c r="AN19" s="40">
        <v>60205346</v>
      </c>
      <c r="AO19" s="40">
        <v>3755390</v>
      </c>
      <c r="AP19" s="40">
        <v>89620154</v>
      </c>
      <c r="AQ19" s="40">
        <v>62321759</v>
      </c>
      <c r="AR19" s="40">
        <v>46097519</v>
      </c>
      <c r="AS19" s="40">
        <v>55804016</v>
      </c>
      <c r="AT19" s="40">
        <v>2064215</v>
      </c>
      <c r="AU19" s="3"/>
      <c r="AV19" s="40">
        <v>1243608</v>
      </c>
      <c r="AW19" s="3"/>
      <c r="AX19" s="40">
        <v>5700</v>
      </c>
      <c r="AY19" s="40">
        <v>1679855</v>
      </c>
      <c r="AZ19" s="1">
        <v>15953837.359999999</v>
      </c>
      <c r="BA19" s="1">
        <v>8136457</v>
      </c>
      <c r="BB19" s="43">
        <v>7654404.1500000004</v>
      </c>
      <c r="BC19" s="15">
        <v>755238</v>
      </c>
      <c r="BD19" s="15">
        <v>1510476</v>
      </c>
      <c r="BE19" s="20">
        <v>2547772</v>
      </c>
      <c r="BF19" s="20">
        <v>2547772</v>
      </c>
      <c r="BG19" s="20">
        <v>50593796</v>
      </c>
      <c r="BH19" s="20">
        <v>50190185</v>
      </c>
      <c r="BI19" s="44"/>
      <c r="BJ19" s="44">
        <v>9137849</v>
      </c>
      <c r="BK19" s="44"/>
      <c r="BL19" s="5">
        <v>2000218987</v>
      </c>
      <c r="BM19" s="5">
        <v>1724982487</v>
      </c>
      <c r="BN19" s="15">
        <v>2881216</v>
      </c>
      <c r="BO19" s="3"/>
      <c r="BP19" s="1"/>
      <c r="BQ19" s="1"/>
      <c r="BR19" s="5"/>
      <c r="BS19" s="5"/>
      <c r="BT19" s="5"/>
    </row>
    <row r="20" spans="1:72" x14ac:dyDescent="0.25">
      <c r="A20" s="6" t="s">
        <v>74</v>
      </c>
      <c r="B20" s="40">
        <v>4080256643</v>
      </c>
      <c r="C20" s="40">
        <v>169477102</v>
      </c>
      <c r="D20" s="40">
        <v>1014149492</v>
      </c>
      <c r="E20" s="40">
        <v>0</v>
      </c>
      <c r="F20" s="40">
        <v>202997513</v>
      </c>
      <c r="G20" s="40">
        <v>17284200</v>
      </c>
      <c r="H20" s="40">
        <v>12551200</v>
      </c>
      <c r="I20" s="40">
        <v>775100</v>
      </c>
      <c r="J20" s="40">
        <v>737600</v>
      </c>
      <c r="K20" s="40">
        <v>101100</v>
      </c>
      <c r="L20" s="40">
        <v>280687618</v>
      </c>
      <c r="M20" s="40">
        <v>450164720</v>
      </c>
      <c r="N20" s="40">
        <v>6374</v>
      </c>
      <c r="O20" s="40">
        <v>504</v>
      </c>
      <c r="P20" s="40">
        <v>35452477</v>
      </c>
      <c r="Q20" s="40">
        <v>4027685</v>
      </c>
      <c r="R20" s="40">
        <v>38794695</v>
      </c>
      <c r="S20" s="40">
        <v>25136688</v>
      </c>
      <c r="T20" s="40">
        <v>2755158</v>
      </c>
      <c r="U20" s="40">
        <v>12107819</v>
      </c>
      <c r="V20" s="40">
        <v>35452477</v>
      </c>
      <c r="W20" s="40">
        <v>4027685</v>
      </c>
      <c r="X20" s="40">
        <v>38794695</v>
      </c>
      <c r="Y20" s="40">
        <v>25136688</v>
      </c>
      <c r="Z20" s="40">
        <v>2755158</v>
      </c>
      <c r="AA20" s="40">
        <v>12107819</v>
      </c>
      <c r="AB20" s="40">
        <v>-12685643</v>
      </c>
      <c r="AC20" s="40">
        <v>-691793</v>
      </c>
      <c r="AD20" s="40">
        <v>0</v>
      </c>
      <c r="AE20" s="40">
        <v>0</v>
      </c>
      <c r="AF20" s="40">
        <v>0</v>
      </c>
      <c r="AG20" s="40">
        <v>0</v>
      </c>
      <c r="AH20" s="40">
        <v>0</v>
      </c>
      <c r="AI20" s="3"/>
      <c r="AJ20" s="3"/>
      <c r="AK20" s="42">
        <v>467167036</v>
      </c>
      <c r="AL20" s="42">
        <v>9715091</v>
      </c>
      <c r="AM20" s="40">
        <v>1495615</v>
      </c>
      <c r="AN20" s="40">
        <v>163655176</v>
      </c>
      <c r="AO20" s="40">
        <v>8644463</v>
      </c>
      <c r="AP20" s="40">
        <v>269868145</v>
      </c>
      <c r="AQ20" s="40">
        <v>92949746</v>
      </c>
      <c r="AR20" s="40">
        <v>49123517</v>
      </c>
      <c r="AS20" s="40">
        <v>10184796</v>
      </c>
      <c r="AT20" s="40">
        <v>264132</v>
      </c>
      <c r="AU20" s="40">
        <v>0</v>
      </c>
      <c r="AV20" s="40">
        <v>0</v>
      </c>
      <c r="AW20" s="40">
        <v>13363</v>
      </c>
      <c r="AX20" s="40">
        <v>3371302</v>
      </c>
      <c r="AY20" s="40">
        <v>8643</v>
      </c>
      <c r="AZ20" s="1">
        <v>38403015.159999996</v>
      </c>
      <c r="BA20" s="1">
        <v>19585538</v>
      </c>
      <c r="BB20" s="43">
        <v>27343005.18</v>
      </c>
      <c r="BC20" s="15">
        <v>1913270</v>
      </c>
      <c r="BD20" s="15">
        <v>3826540</v>
      </c>
      <c r="BE20" s="20">
        <v>61035995</v>
      </c>
      <c r="BF20" s="20">
        <v>61035995</v>
      </c>
      <c r="BG20" s="20">
        <v>130120265</v>
      </c>
      <c r="BH20" s="20">
        <v>125469455</v>
      </c>
      <c r="BI20" s="44"/>
      <c r="BJ20" s="44"/>
      <c r="BK20" s="44"/>
      <c r="BL20" s="5">
        <v>6214019007</v>
      </c>
      <c r="BM20" s="5">
        <v>5529132622</v>
      </c>
      <c r="BN20" s="15">
        <v>7517721</v>
      </c>
      <c r="BO20" s="3"/>
      <c r="BP20" s="1"/>
      <c r="BQ20" s="1"/>
      <c r="BR20" s="5"/>
      <c r="BS20" s="5"/>
      <c r="BT20" s="5"/>
    </row>
    <row r="21" spans="1:72" x14ac:dyDescent="0.25">
      <c r="A21" s="6" t="s">
        <v>75</v>
      </c>
      <c r="B21" s="40">
        <v>67820376</v>
      </c>
      <c r="C21" s="40">
        <v>56846433</v>
      </c>
      <c r="D21" s="40">
        <v>15272935</v>
      </c>
      <c r="E21" s="40">
        <v>0</v>
      </c>
      <c r="F21" s="40">
        <v>11531995</v>
      </c>
      <c r="G21" s="40">
        <v>3833400</v>
      </c>
      <c r="H21" s="40">
        <v>5259538</v>
      </c>
      <c r="I21" s="40">
        <v>763600</v>
      </c>
      <c r="J21" s="40">
        <v>0</v>
      </c>
      <c r="K21" s="40">
        <v>0</v>
      </c>
      <c r="L21" s="40">
        <v>96168497</v>
      </c>
      <c r="M21" s="40">
        <v>26116606</v>
      </c>
      <c r="N21" s="40">
        <v>562</v>
      </c>
      <c r="O21" s="40">
        <v>171</v>
      </c>
      <c r="P21" s="40">
        <v>2411653</v>
      </c>
      <c r="Q21" s="40">
        <v>2596364</v>
      </c>
      <c r="R21" s="40">
        <v>16700</v>
      </c>
      <c r="S21" s="40">
        <v>834821</v>
      </c>
      <c r="T21" s="40">
        <v>159343</v>
      </c>
      <c r="U21" s="40">
        <v>8000</v>
      </c>
      <c r="V21" s="40">
        <v>2411653</v>
      </c>
      <c r="W21" s="40">
        <v>9301539</v>
      </c>
      <c r="X21" s="40">
        <v>16700</v>
      </c>
      <c r="Y21" s="40">
        <v>834821</v>
      </c>
      <c r="Z21" s="40">
        <v>176340</v>
      </c>
      <c r="AA21" s="40">
        <v>8000</v>
      </c>
      <c r="AB21" s="40">
        <v>-1579920</v>
      </c>
      <c r="AC21" s="40">
        <v>0</v>
      </c>
      <c r="AD21" s="40">
        <v>27633</v>
      </c>
      <c r="AE21" s="40">
        <v>70332</v>
      </c>
      <c r="AF21" s="40">
        <v>12732219</v>
      </c>
      <c r="AG21" s="40">
        <v>21849</v>
      </c>
      <c r="AH21" s="3"/>
      <c r="AI21" s="40">
        <v>92664</v>
      </c>
      <c r="AJ21" s="3"/>
      <c r="AK21" s="42">
        <v>35829351</v>
      </c>
      <c r="AL21" s="42">
        <v>958247</v>
      </c>
      <c r="AM21" s="40">
        <v>0</v>
      </c>
      <c r="AN21" s="40">
        <v>5046801</v>
      </c>
      <c r="AO21" s="40">
        <v>15772</v>
      </c>
      <c r="AP21" s="40">
        <v>366324</v>
      </c>
      <c r="AQ21" s="40">
        <v>1567638</v>
      </c>
      <c r="AR21" s="40">
        <v>234063</v>
      </c>
      <c r="AS21" s="40">
        <v>0</v>
      </c>
      <c r="AT21" s="40">
        <v>304462</v>
      </c>
      <c r="AU21" s="40">
        <v>0</v>
      </c>
      <c r="AV21" s="40">
        <v>0</v>
      </c>
      <c r="AW21" s="40">
        <v>0</v>
      </c>
      <c r="AX21" s="40">
        <v>400</v>
      </c>
      <c r="AY21" s="40">
        <v>13500</v>
      </c>
      <c r="AZ21" s="1">
        <v>2945317.21</v>
      </c>
      <c r="BA21" s="1">
        <v>1502112</v>
      </c>
      <c r="BB21" s="43">
        <v>10233160.619999999</v>
      </c>
      <c r="BC21" s="15">
        <v>764562</v>
      </c>
      <c r="BD21" s="15">
        <v>1529124</v>
      </c>
      <c r="BE21" s="20">
        <v>9514779</v>
      </c>
      <c r="BF21" s="20">
        <v>9514779</v>
      </c>
      <c r="BG21" s="20">
        <v>19480056</v>
      </c>
      <c r="BH21" s="20">
        <v>16909937</v>
      </c>
      <c r="BI21" s="44"/>
      <c r="BJ21" s="44"/>
      <c r="BK21" s="44"/>
      <c r="BL21" s="5">
        <v>212141607</v>
      </c>
      <c r="BM21" s="5">
        <v>146662619</v>
      </c>
      <c r="BN21" s="15">
        <v>277450</v>
      </c>
      <c r="BO21" s="3"/>
      <c r="BP21" s="1"/>
      <c r="BQ21" s="1"/>
      <c r="BR21" s="5"/>
      <c r="BS21" s="5"/>
      <c r="BT21" s="5"/>
    </row>
    <row r="22" spans="1:72" x14ac:dyDescent="0.25">
      <c r="A22" s="6" t="s">
        <v>76</v>
      </c>
      <c r="B22" s="40">
        <v>227537090</v>
      </c>
      <c r="C22" s="40">
        <v>57674050</v>
      </c>
      <c r="D22" s="40">
        <v>192148092</v>
      </c>
      <c r="E22" s="40">
        <v>863666155</v>
      </c>
      <c r="F22" s="40">
        <v>19895100</v>
      </c>
      <c r="G22" s="40">
        <v>3218200</v>
      </c>
      <c r="H22" s="40">
        <v>4328100</v>
      </c>
      <c r="I22" s="40">
        <v>539200</v>
      </c>
      <c r="J22" s="40">
        <v>164300</v>
      </c>
      <c r="K22" s="40">
        <v>0</v>
      </c>
      <c r="L22" s="40">
        <v>125441790</v>
      </c>
      <c r="M22" s="40">
        <v>41014500</v>
      </c>
      <c r="N22" s="40">
        <v>757</v>
      </c>
      <c r="O22" s="40">
        <v>123</v>
      </c>
      <c r="P22" s="40">
        <v>1933500</v>
      </c>
      <c r="Q22" s="40">
        <v>1106600</v>
      </c>
      <c r="R22" s="40">
        <v>6194900</v>
      </c>
      <c r="S22" s="40">
        <v>1762800</v>
      </c>
      <c r="T22" s="40">
        <v>439000</v>
      </c>
      <c r="U22" s="40">
        <v>292707</v>
      </c>
      <c r="V22" s="40">
        <v>1933500</v>
      </c>
      <c r="W22" s="40">
        <v>1165000</v>
      </c>
      <c r="X22" s="40">
        <v>6194900</v>
      </c>
      <c r="Y22" s="40">
        <v>1762800</v>
      </c>
      <c r="Z22" s="40">
        <v>806500</v>
      </c>
      <c r="AA22" s="40">
        <v>292707</v>
      </c>
      <c r="AB22" s="40">
        <v>-900112</v>
      </c>
      <c r="AC22" s="40">
        <v>-618777</v>
      </c>
      <c r="AD22" s="40">
        <v>22712</v>
      </c>
      <c r="AE22" s="40">
        <v>0</v>
      </c>
      <c r="AF22" s="40">
        <v>0</v>
      </c>
      <c r="AG22" s="40">
        <v>64769</v>
      </c>
      <c r="AH22" s="3"/>
      <c r="AI22" s="40">
        <v>778008</v>
      </c>
      <c r="AJ22" s="3"/>
      <c r="AK22" s="42">
        <v>56233435</v>
      </c>
      <c r="AL22" s="42">
        <v>2065891</v>
      </c>
      <c r="AM22" s="40">
        <v>9000</v>
      </c>
      <c r="AN22" s="40">
        <v>41237783</v>
      </c>
      <c r="AO22" s="40">
        <v>76138503</v>
      </c>
      <c r="AP22" s="40">
        <v>361564345</v>
      </c>
      <c r="AQ22" s="40">
        <v>49936735</v>
      </c>
      <c r="AR22" s="40">
        <v>276406571</v>
      </c>
      <c r="AS22" s="40">
        <v>27838930</v>
      </c>
      <c r="AT22" s="40">
        <v>4062</v>
      </c>
      <c r="AU22" s="40">
        <v>0</v>
      </c>
      <c r="AV22" s="40">
        <v>0</v>
      </c>
      <c r="AW22" s="40">
        <v>0</v>
      </c>
      <c r="AX22" s="40">
        <v>0</v>
      </c>
      <c r="AY22" s="40">
        <v>15000</v>
      </c>
      <c r="AZ22" s="1">
        <v>4622615.2300000004</v>
      </c>
      <c r="BA22" s="1">
        <v>2357534</v>
      </c>
      <c r="BB22" s="43">
        <v>18644818.649999999</v>
      </c>
      <c r="BC22" s="15">
        <v>1981645</v>
      </c>
      <c r="BD22" s="15">
        <v>3963291</v>
      </c>
      <c r="BE22" s="20">
        <v>50835963</v>
      </c>
      <c r="BF22" s="20">
        <v>50835963</v>
      </c>
      <c r="BG22" s="20">
        <v>43667904</v>
      </c>
      <c r="BH22" s="20">
        <v>42173837</v>
      </c>
      <c r="BI22" s="44"/>
      <c r="BJ22" s="44"/>
      <c r="BK22" s="44"/>
      <c r="BL22" s="5">
        <v>801098566</v>
      </c>
      <c r="BM22" s="5">
        <v>645450261</v>
      </c>
      <c r="BN22" s="15">
        <v>744670</v>
      </c>
      <c r="BO22" s="3"/>
      <c r="BP22" s="1"/>
      <c r="BQ22" s="1"/>
      <c r="BR22" s="5"/>
      <c r="BS22" s="5"/>
      <c r="BT22" s="5"/>
    </row>
    <row r="23" spans="1:72" x14ac:dyDescent="0.25">
      <c r="A23" s="6" t="s">
        <v>77</v>
      </c>
      <c r="B23" s="40">
        <v>365911001</v>
      </c>
      <c r="C23" s="40">
        <v>123403898</v>
      </c>
      <c r="D23" s="40">
        <v>137387147</v>
      </c>
      <c r="E23" s="40">
        <v>0</v>
      </c>
      <c r="F23" s="40">
        <v>41671520</v>
      </c>
      <c r="G23" s="40">
        <v>25192150</v>
      </c>
      <c r="H23" s="40">
        <v>18591900</v>
      </c>
      <c r="I23" s="40">
        <v>6712150</v>
      </c>
      <c r="J23" s="40">
        <v>101100</v>
      </c>
      <c r="K23" s="40">
        <v>63700</v>
      </c>
      <c r="L23" s="40">
        <v>55227515</v>
      </c>
      <c r="M23" s="40">
        <v>35053000</v>
      </c>
      <c r="N23" s="40">
        <v>2154</v>
      </c>
      <c r="O23" s="40">
        <v>1215</v>
      </c>
      <c r="P23" s="40">
        <v>8087500</v>
      </c>
      <c r="Q23" s="40">
        <v>2055000</v>
      </c>
      <c r="R23" s="40">
        <v>243000</v>
      </c>
      <c r="S23" s="40">
        <v>2330151</v>
      </c>
      <c r="T23" s="40">
        <v>131100</v>
      </c>
      <c r="U23" s="40">
        <v>720850</v>
      </c>
      <c r="V23" s="40">
        <v>8087500</v>
      </c>
      <c r="W23" s="40">
        <v>1092000</v>
      </c>
      <c r="X23" s="40">
        <v>243000</v>
      </c>
      <c r="Y23" s="40">
        <v>2330151</v>
      </c>
      <c r="Z23" s="40">
        <v>140900</v>
      </c>
      <c r="AA23" s="40">
        <v>720850</v>
      </c>
      <c r="AB23" s="40">
        <v>-9866195</v>
      </c>
      <c r="AC23" s="40">
        <v>-156078</v>
      </c>
      <c r="AD23" s="40">
        <v>144655</v>
      </c>
      <c r="AE23" s="40">
        <v>0</v>
      </c>
      <c r="AF23" s="40">
        <v>0</v>
      </c>
      <c r="AG23" s="40">
        <v>221470</v>
      </c>
      <c r="AH23" s="3"/>
      <c r="AI23" s="40">
        <v>1622074</v>
      </c>
      <c r="AJ23" s="40">
        <v>56000</v>
      </c>
      <c r="AK23" s="42">
        <v>144294282</v>
      </c>
      <c r="AL23" s="42">
        <v>4445307</v>
      </c>
      <c r="AM23" s="40">
        <v>235000</v>
      </c>
      <c r="AN23" s="40">
        <v>19240604</v>
      </c>
      <c r="AO23" s="40">
        <v>984769</v>
      </c>
      <c r="AP23" s="40">
        <v>30814742</v>
      </c>
      <c r="AQ23" s="40">
        <v>24992229</v>
      </c>
      <c r="AR23" s="40">
        <v>8606389</v>
      </c>
      <c r="AS23" s="40">
        <v>0</v>
      </c>
      <c r="AT23" s="40">
        <v>490907</v>
      </c>
      <c r="AU23" s="40">
        <v>0</v>
      </c>
      <c r="AV23" s="40">
        <v>0</v>
      </c>
      <c r="AW23" s="40">
        <v>0</v>
      </c>
      <c r="AX23" s="40">
        <v>335987</v>
      </c>
      <c r="AY23" s="40">
        <v>69750</v>
      </c>
      <c r="AZ23" s="1">
        <v>11861572.140000001</v>
      </c>
      <c r="BA23" s="1">
        <v>6049402</v>
      </c>
      <c r="BB23" s="43"/>
      <c r="BC23" s="15">
        <v>0</v>
      </c>
      <c r="BD23" s="15">
        <v>0</v>
      </c>
      <c r="BE23" s="20">
        <v>24339005</v>
      </c>
      <c r="BF23" s="20">
        <v>24339005</v>
      </c>
      <c r="BG23" s="20">
        <v>44298441</v>
      </c>
      <c r="BH23" s="20">
        <v>44274251</v>
      </c>
      <c r="BI23" s="44"/>
      <c r="BJ23" s="44"/>
      <c r="BK23" s="44"/>
      <c r="BL23" s="5">
        <v>896999969</v>
      </c>
      <c r="BM23" s="5">
        <v>673597722</v>
      </c>
      <c r="BN23" s="15">
        <v>14825291</v>
      </c>
      <c r="BO23" s="3"/>
      <c r="BP23" s="1"/>
      <c r="BQ23" s="1"/>
      <c r="BR23" s="5"/>
      <c r="BS23" s="5"/>
      <c r="BT23" s="5"/>
    </row>
    <row r="24" spans="1:72" x14ac:dyDescent="0.25">
      <c r="A24" s="6" t="s">
        <v>78</v>
      </c>
      <c r="B24" s="40">
        <v>208583877</v>
      </c>
      <c r="C24" s="40">
        <v>160833300</v>
      </c>
      <c r="D24" s="40">
        <v>56974450</v>
      </c>
      <c r="E24" s="40">
        <v>0</v>
      </c>
      <c r="F24" s="40">
        <v>32252700</v>
      </c>
      <c r="G24" s="40">
        <v>10221900</v>
      </c>
      <c r="H24" s="40">
        <v>18999000</v>
      </c>
      <c r="I24" s="40">
        <v>3066400</v>
      </c>
      <c r="J24" s="40">
        <v>0</v>
      </c>
      <c r="K24" s="40">
        <v>0</v>
      </c>
      <c r="L24" s="40">
        <v>277524520</v>
      </c>
      <c r="M24" s="40">
        <v>94565400</v>
      </c>
      <c r="N24" s="40">
        <v>1523</v>
      </c>
      <c r="O24" s="40">
        <v>394</v>
      </c>
      <c r="P24" s="40">
        <v>2532000</v>
      </c>
      <c r="Q24" s="40">
        <v>2186000</v>
      </c>
      <c r="R24" s="40">
        <v>467000</v>
      </c>
      <c r="S24" s="40">
        <v>398500</v>
      </c>
      <c r="T24" s="40">
        <v>95500</v>
      </c>
      <c r="U24" s="40">
        <v>101000</v>
      </c>
      <c r="V24" s="40">
        <v>2532000</v>
      </c>
      <c r="W24" s="40">
        <v>2186000</v>
      </c>
      <c r="X24" s="40">
        <v>467000</v>
      </c>
      <c r="Y24" s="40">
        <v>398500</v>
      </c>
      <c r="Z24" s="40">
        <v>95500</v>
      </c>
      <c r="AA24" s="40">
        <v>101000</v>
      </c>
      <c r="AB24" s="40">
        <v>-1704600</v>
      </c>
      <c r="AC24" s="40">
        <v>-66261</v>
      </c>
      <c r="AD24" s="40">
        <v>147564</v>
      </c>
      <c r="AE24" s="40">
        <v>0</v>
      </c>
      <c r="AF24" s="40">
        <v>0</v>
      </c>
      <c r="AG24" s="40">
        <v>261405</v>
      </c>
      <c r="AH24" s="40">
        <v>17323</v>
      </c>
      <c r="AI24" s="40">
        <v>171475</v>
      </c>
      <c r="AJ24" s="3"/>
      <c r="AK24" s="42">
        <v>71362290</v>
      </c>
      <c r="AL24" s="42">
        <v>1888151</v>
      </c>
      <c r="AM24" s="40">
        <v>0</v>
      </c>
      <c r="AN24" s="40">
        <v>8471906</v>
      </c>
      <c r="AO24" s="40">
        <v>44560</v>
      </c>
      <c r="AP24" s="40">
        <v>13572759</v>
      </c>
      <c r="AQ24" s="40">
        <v>10308543</v>
      </c>
      <c r="AR24" s="40">
        <v>8242792</v>
      </c>
      <c r="AS24" s="40">
        <v>0</v>
      </c>
      <c r="AT24" s="40">
        <v>0</v>
      </c>
      <c r="AU24" s="40">
        <v>0</v>
      </c>
      <c r="AV24" s="40">
        <v>0</v>
      </c>
      <c r="AW24" s="40">
        <v>0</v>
      </c>
      <c r="AX24" s="40">
        <v>0</v>
      </c>
      <c r="AY24" s="40">
        <v>0</v>
      </c>
      <c r="AZ24" s="1">
        <v>5866268.1500000004</v>
      </c>
      <c r="BA24" s="1">
        <v>2991797</v>
      </c>
      <c r="BB24" s="43"/>
      <c r="BC24" s="15">
        <v>0</v>
      </c>
      <c r="BD24" s="15">
        <v>0</v>
      </c>
      <c r="BE24" s="20">
        <v>17936147</v>
      </c>
      <c r="BF24" s="20">
        <v>17936147</v>
      </c>
      <c r="BG24" s="20">
        <v>39738655</v>
      </c>
      <c r="BH24" s="20">
        <v>39719557</v>
      </c>
      <c r="BI24" s="44"/>
      <c r="BJ24" s="44"/>
      <c r="BK24" s="44"/>
      <c r="BL24" s="5">
        <v>579303376</v>
      </c>
      <c r="BM24" s="5">
        <v>445405434</v>
      </c>
      <c r="BN24" s="15">
        <v>656000</v>
      </c>
      <c r="BO24" s="3"/>
      <c r="BP24" s="1"/>
      <c r="BQ24" s="1"/>
      <c r="BR24" s="5"/>
      <c r="BS24" s="5"/>
      <c r="BT24" s="5"/>
    </row>
    <row r="25" spans="1:72" x14ac:dyDescent="0.25">
      <c r="A25" s="6" t="s">
        <v>79</v>
      </c>
      <c r="B25" s="40">
        <v>1529108694</v>
      </c>
      <c r="C25" s="40">
        <v>264795457</v>
      </c>
      <c r="D25" s="40">
        <v>623593895</v>
      </c>
      <c r="E25" s="40">
        <v>24067317</v>
      </c>
      <c r="F25" s="40">
        <v>98822740</v>
      </c>
      <c r="G25" s="40">
        <v>14409327</v>
      </c>
      <c r="H25" s="40">
        <v>14414992</v>
      </c>
      <c r="I25" s="40">
        <v>1449320</v>
      </c>
      <c r="J25" s="40">
        <v>67400</v>
      </c>
      <c r="K25" s="40">
        <v>0</v>
      </c>
      <c r="L25" s="40">
        <v>599685106</v>
      </c>
      <c r="M25" s="40">
        <v>147729650</v>
      </c>
      <c r="N25" s="40">
        <v>3543</v>
      </c>
      <c r="O25" s="40">
        <v>519</v>
      </c>
      <c r="P25" s="40">
        <v>25500978</v>
      </c>
      <c r="Q25" s="40">
        <v>7185219</v>
      </c>
      <c r="R25" s="40">
        <v>18917816</v>
      </c>
      <c r="S25" s="40">
        <v>6755757</v>
      </c>
      <c r="T25" s="40">
        <v>2231799</v>
      </c>
      <c r="U25" s="40">
        <v>8064339</v>
      </c>
      <c r="V25" s="40">
        <v>25500978</v>
      </c>
      <c r="W25" s="40">
        <v>7248452</v>
      </c>
      <c r="X25" s="40">
        <v>18917816</v>
      </c>
      <c r="Y25" s="40">
        <v>6755757</v>
      </c>
      <c r="Z25" s="40">
        <v>3341386</v>
      </c>
      <c r="AA25" s="40">
        <v>8064339</v>
      </c>
      <c r="AB25" s="40">
        <v>-4586488</v>
      </c>
      <c r="AC25" s="40">
        <v>-11629</v>
      </c>
      <c r="AD25" s="40">
        <v>48213</v>
      </c>
      <c r="AE25" s="40">
        <v>2837</v>
      </c>
      <c r="AF25" s="40">
        <v>166830753</v>
      </c>
      <c r="AG25" s="40">
        <v>407562</v>
      </c>
      <c r="AH25" s="40">
        <v>1727646</v>
      </c>
      <c r="AI25" s="40">
        <v>3909054</v>
      </c>
      <c r="AJ25" s="3"/>
      <c r="AK25" s="42">
        <v>281215511</v>
      </c>
      <c r="AL25" s="42">
        <v>7969879</v>
      </c>
      <c r="AM25" s="40">
        <v>0</v>
      </c>
      <c r="AN25" s="40">
        <v>122837421</v>
      </c>
      <c r="AO25" s="40">
        <v>14722539</v>
      </c>
      <c r="AP25" s="40">
        <v>375648874</v>
      </c>
      <c r="AQ25" s="40">
        <v>139316883</v>
      </c>
      <c r="AR25" s="40">
        <v>120188804</v>
      </c>
      <c r="AS25" s="40">
        <v>47427091</v>
      </c>
      <c r="AT25" s="40">
        <v>3247276</v>
      </c>
      <c r="AU25" s="40">
        <v>15827638</v>
      </c>
      <c r="AV25" s="40">
        <v>145605</v>
      </c>
      <c r="AW25" s="40">
        <v>208116725</v>
      </c>
      <c r="AX25" s="40">
        <v>2856703</v>
      </c>
      <c r="AY25" s="40">
        <v>1313500</v>
      </c>
      <c r="AZ25" s="1">
        <v>23117049.579999998</v>
      </c>
      <c r="BA25" s="1">
        <v>11789695</v>
      </c>
      <c r="BB25" s="43"/>
      <c r="BC25" s="15">
        <v>2093532</v>
      </c>
      <c r="BD25" s="15">
        <v>4187065</v>
      </c>
      <c r="BE25" s="20">
        <v>17536248</v>
      </c>
      <c r="BF25" s="20">
        <v>17536248</v>
      </c>
      <c r="BG25" s="20">
        <v>70281287</v>
      </c>
      <c r="BH25" s="20">
        <v>65198224</v>
      </c>
      <c r="BI25" s="44"/>
      <c r="BJ25" s="44">
        <v>14957775</v>
      </c>
      <c r="BK25" s="44"/>
      <c r="BL25" s="5">
        <v>3100772453</v>
      </c>
      <c r="BM25" s="5">
        <v>2700011589</v>
      </c>
      <c r="BN25" s="15">
        <v>4808463</v>
      </c>
      <c r="BO25" s="3"/>
      <c r="BP25" s="1"/>
      <c r="BQ25" s="1"/>
      <c r="BR25" s="5"/>
      <c r="BS25" s="5"/>
      <c r="BT25" s="5"/>
    </row>
    <row r="26" spans="1:72" x14ac:dyDescent="0.25">
      <c r="A26" s="6" t="s">
        <v>80</v>
      </c>
      <c r="B26" s="40">
        <v>1402222459</v>
      </c>
      <c r="C26" s="40">
        <v>233143414</v>
      </c>
      <c r="D26" s="40">
        <v>461053950</v>
      </c>
      <c r="E26" s="40">
        <v>0</v>
      </c>
      <c r="F26" s="40">
        <v>76602475</v>
      </c>
      <c r="G26" s="40">
        <v>13291200</v>
      </c>
      <c r="H26" s="40">
        <v>11298200</v>
      </c>
      <c r="I26" s="40">
        <v>2019000</v>
      </c>
      <c r="J26" s="40">
        <v>67400</v>
      </c>
      <c r="K26" s="40">
        <v>33700</v>
      </c>
      <c r="L26" s="40">
        <v>408909494</v>
      </c>
      <c r="M26" s="40">
        <v>0</v>
      </c>
      <c r="N26" s="40">
        <v>2681</v>
      </c>
      <c r="O26" s="40">
        <v>480</v>
      </c>
      <c r="P26" s="40">
        <v>6519529</v>
      </c>
      <c r="Q26" s="40">
        <v>847300</v>
      </c>
      <c r="R26" s="40">
        <v>1707000</v>
      </c>
      <c r="S26" s="40">
        <v>4851455</v>
      </c>
      <c r="T26" s="40">
        <v>522300</v>
      </c>
      <c r="U26" s="40">
        <v>2065400</v>
      </c>
      <c r="V26" s="40">
        <v>6519529</v>
      </c>
      <c r="W26" s="40">
        <v>1615800</v>
      </c>
      <c r="X26" s="40">
        <v>1707000</v>
      </c>
      <c r="Y26" s="40">
        <v>4851455</v>
      </c>
      <c r="Z26" s="40">
        <v>1259500</v>
      </c>
      <c r="AA26" s="40">
        <v>2065400</v>
      </c>
      <c r="AB26" s="40">
        <v>-1976500</v>
      </c>
      <c r="AC26" s="40">
        <v>10186162</v>
      </c>
      <c r="AD26" s="40">
        <v>0</v>
      </c>
      <c r="AE26" s="40">
        <v>0</v>
      </c>
      <c r="AF26" s="40">
        <v>0</v>
      </c>
      <c r="AG26" s="40">
        <v>101</v>
      </c>
      <c r="AH26" s="3"/>
      <c r="AI26" s="3"/>
      <c r="AJ26" s="3"/>
      <c r="AK26" s="42">
        <v>214127228</v>
      </c>
      <c r="AL26" s="42">
        <v>4791884</v>
      </c>
      <c r="AM26" s="40">
        <v>0</v>
      </c>
      <c r="AN26" s="40">
        <v>70219146</v>
      </c>
      <c r="AO26" s="40">
        <v>9726003</v>
      </c>
      <c r="AP26" s="40">
        <v>236690517</v>
      </c>
      <c r="AQ26" s="40">
        <v>77343169</v>
      </c>
      <c r="AR26" s="40">
        <v>45451146</v>
      </c>
      <c r="AS26" s="40">
        <v>53862144</v>
      </c>
      <c r="AT26" s="40">
        <v>596690</v>
      </c>
      <c r="AU26" s="40">
        <v>0</v>
      </c>
      <c r="AV26" s="40">
        <v>11385</v>
      </c>
      <c r="AW26" s="40">
        <v>3029972</v>
      </c>
      <c r="AX26" s="40">
        <v>397813</v>
      </c>
      <c r="AY26" s="40">
        <v>0</v>
      </c>
      <c r="AZ26" s="1">
        <v>17602122.039999999</v>
      </c>
      <c r="BA26" s="1">
        <v>8977082</v>
      </c>
      <c r="BB26" s="43"/>
      <c r="BC26" s="15">
        <v>3180702</v>
      </c>
      <c r="BD26" s="15">
        <v>6361405</v>
      </c>
      <c r="BE26" s="20">
        <v>59402269</v>
      </c>
      <c r="BF26" s="20">
        <v>59218526</v>
      </c>
      <c r="BG26" s="20">
        <v>116518365</v>
      </c>
      <c r="BH26" s="20">
        <v>112912894</v>
      </c>
      <c r="BI26" s="44"/>
      <c r="BJ26" s="44"/>
      <c r="BK26" s="44"/>
      <c r="BL26" s="5">
        <v>2656916457</v>
      </c>
      <c r="BM26" s="5">
        <v>2253708141</v>
      </c>
      <c r="BN26" s="15">
        <v>1976500</v>
      </c>
      <c r="BO26" s="3"/>
      <c r="BP26" s="1"/>
      <c r="BQ26" s="1"/>
      <c r="BR26" s="5"/>
      <c r="BS26" s="5"/>
      <c r="BT26" s="5"/>
    </row>
    <row r="27" spans="1:72" x14ac:dyDescent="0.25">
      <c r="A27" s="6" t="s">
        <v>81</v>
      </c>
      <c r="B27" s="40">
        <v>186211100</v>
      </c>
      <c r="C27" s="40">
        <v>66929900</v>
      </c>
      <c r="D27" s="40">
        <v>70395900</v>
      </c>
      <c r="E27" s="40">
        <v>0</v>
      </c>
      <c r="F27" s="40">
        <v>37041000</v>
      </c>
      <c r="G27" s="40">
        <v>27523300</v>
      </c>
      <c r="H27" s="40">
        <v>12436100</v>
      </c>
      <c r="I27" s="40">
        <v>4510100</v>
      </c>
      <c r="J27" s="40">
        <v>0</v>
      </c>
      <c r="K27" s="40">
        <v>33700</v>
      </c>
      <c r="L27" s="40">
        <v>65935480</v>
      </c>
      <c r="M27" s="40">
        <v>45703800</v>
      </c>
      <c r="N27" s="40">
        <v>1573</v>
      </c>
      <c r="O27" s="40">
        <v>1173</v>
      </c>
      <c r="P27" s="40">
        <v>4605700</v>
      </c>
      <c r="Q27" s="40">
        <v>937800</v>
      </c>
      <c r="R27" s="40">
        <v>310000</v>
      </c>
      <c r="S27" s="40">
        <v>3690800</v>
      </c>
      <c r="T27" s="40">
        <v>456500</v>
      </c>
      <c r="U27" s="40">
        <v>1907400</v>
      </c>
      <c r="V27" s="40">
        <v>4605700</v>
      </c>
      <c r="W27" s="40">
        <v>937700</v>
      </c>
      <c r="X27" s="40">
        <v>310000</v>
      </c>
      <c r="Y27" s="40">
        <v>3690800</v>
      </c>
      <c r="Z27" s="40">
        <v>460300</v>
      </c>
      <c r="AA27" s="40">
        <v>1907400</v>
      </c>
      <c r="AB27" s="40">
        <v>-2736600</v>
      </c>
      <c r="AC27" s="40">
        <v>-123613</v>
      </c>
      <c r="AD27" s="40">
        <v>184324</v>
      </c>
      <c r="AE27" s="40">
        <v>0</v>
      </c>
      <c r="AF27" s="40">
        <v>0</v>
      </c>
      <c r="AG27" s="40">
        <v>201476</v>
      </c>
      <c r="AH27" s="40">
        <v>2581404</v>
      </c>
      <c r="AI27" s="40">
        <v>28101252</v>
      </c>
      <c r="AJ27" s="40">
        <v>3050309</v>
      </c>
      <c r="AK27" s="42">
        <v>89358820</v>
      </c>
      <c r="AL27" s="42">
        <v>2314996</v>
      </c>
      <c r="AM27" s="3"/>
      <c r="AN27" s="40">
        <v>20471441</v>
      </c>
      <c r="AO27" s="40">
        <v>57395</v>
      </c>
      <c r="AP27" s="40">
        <v>7150752</v>
      </c>
      <c r="AQ27" s="40">
        <v>27474623</v>
      </c>
      <c r="AR27" s="40">
        <v>3342944</v>
      </c>
      <c r="AS27" s="3"/>
      <c r="AT27" s="40">
        <v>137737</v>
      </c>
      <c r="AU27" s="3"/>
      <c r="AV27" s="3"/>
      <c r="AW27" s="3"/>
      <c r="AX27" s="40">
        <v>94446</v>
      </c>
      <c r="AY27" s="3"/>
      <c r="AZ27" s="1">
        <v>7345655.5199999996</v>
      </c>
      <c r="BA27" s="1">
        <v>3746284</v>
      </c>
      <c r="BB27" s="43"/>
      <c r="BC27" s="15">
        <v>846613</v>
      </c>
      <c r="BD27" s="15">
        <v>1693225</v>
      </c>
      <c r="BE27" s="20">
        <v>11334172</v>
      </c>
      <c r="BF27" s="20">
        <v>11334172</v>
      </c>
      <c r="BG27" s="20">
        <v>36775614</v>
      </c>
      <c r="BH27" s="20">
        <v>36315092</v>
      </c>
      <c r="BI27" s="44"/>
      <c r="BJ27" s="44"/>
      <c r="BK27" s="44"/>
      <c r="BL27" s="5">
        <v>549189301</v>
      </c>
      <c r="BM27" s="5">
        <v>405273324</v>
      </c>
      <c r="BN27" s="15">
        <v>504700</v>
      </c>
      <c r="BO27" s="3"/>
      <c r="BP27" s="1"/>
      <c r="BQ27" s="1"/>
      <c r="BR27" s="5"/>
      <c r="BS27" s="5"/>
      <c r="BT27" s="5"/>
    </row>
    <row r="28" spans="1:72" x14ac:dyDescent="0.25">
      <c r="A28" s="6" t="s">
        <v>82</v>
      </c>
      <c r="B28" s="40">
        <v>192211922</v>
      </c>
      <c r="C28" s="40">
        <v>70519153</v>
      </c>
      <c r="D28" s="40">
        <v>99758877</v>
      </c>
      <c r="E28" s="40">
        <v>0</v>
      </c>
      <c r="F28" s="40">
        <v>23299500</v>
      </c>
      <c r="G28" s="40">
        <v>9184800</v>
      </c>
      <c r="H28" s="40">
        <v>8789300</v>
      </c>
      <c r="I28" s="40">
        <v>870000</v>
      </c>
      <c r="J28" s="40">
        <v>33700</v>
      </c>
      <c r="K28" s="40">
        <v>0</v>
      </c>
      <c r="L28" s="40">
        <v>129961831</v>
      </c>
      <c r="M28" s="40">
        <v>45053150</v>
      </c>
      <c r="N28" s="40">
        <v>1047</v>
      </c>
      <c r="O28" s="40">
        <v>353</v>
      </c>
      <c r="P28" s="40">
        <v>8368850</v>
      </c>
      <c r="Q28" s="40">
        <v>1782400</v>
      </c>
      <c r="R28" s="40">
        <v>115000</v>
      </c>
      <c r="S28" s="40">
        <v>4174077</v>
      </c>
      <c r="T28" s="40">
        <v>331200</v>
      </c>
      <c r="U28" s="40">
        <v>1723334</v>
      </c>
      <c r="V28" s="40">
        <v>8368850</v>
      </c>
      <c r="W28" s="40">
        <v>2452600</v>
      </c>
      <c r="X28" s="40">
        <v>115000</v>
      </c>
      <c r="Y28" s="40">
        <v>4174077</v>
      </c>
      <c r="Z28" s="40">
        <v>455200</v>
      </c>
      <c r="AA28" s="40">
        <v>1723334</v>
      </c>
      <c r="AB28" s="40">
        <v>-1431845</v>
      </c>
      <c r="AC28" s="40">
        <v>-16293</v>
      </c>
      <c r="AD28" s="40">
        <v>48207</v>
      </c>
      <c r="AE28" s="40">
        <v>0</v>
      </c>
      <c r="AF28" s="40">
        <v>0</v>
      </c>
      <c r="AG28" s="40">
        <v>96924</v>
      </c>
      <c r="AH28" s="40">
        <v>3473891</v>
      </c>
      <c r="AI28" s="40">
        <v>199320</v>
      </c>
      <c r="AJ28" s="3"/>
      <c r="AK28" s="42">
        <v>45478854</v>
      </c>
      <c r="AL28" s="42">
        <v>7700574</v>
      </c>
      <c r="AM28" s="40">
        <v>7237830</v>
      </c>
      <c r="AN28" s="40">
        <v>7556627</v>
      </c>
      <c r="AO28" s="40">
        <v>2603980</v>
      </c>
      <c r="AP28" s="40">
        <v>15687448</v>
      </c>
      <c r="AQ28" s="40">
        <v>9313354</v>
      </c>
      <c r="AR28" s="40">
        <v>1458656</v>
      </c>
      <c r="AS28" s="40">
        <v>54540</v>
      </c>
      <c r="AT28" s="40">
        <v>32500</v>
      </c>
      <c r="AU28" s="3"/>
      <c r="AV28" s="3"/>
      <c r="AW28" s="3"/>
      <c r="AX28" s="3"/>
      <c r="AY28" s="40">
        <v>64500</v>
      </c>
      <c r="AZ28" s="1">
        <v>3738545.28</v>
      </c>
      <c r="BA28" s="1">
        <v>1906658</v>
      </c>
      <c r="BB28" s="43"/>
      <c r="BC28" s="15">
        <v>0</v>
      </c>
      <c r="BD28" s="15">
        <v>0</v>
      </c>
      <c r="BE28" s="20">
        <v>564626</v>
      </c>
      <c r="BF28" s="20">
        <v>564626</v>
      </c>
      <c r="BG28" s="20">
        <v>20121507</v>
      </c>
      <c r="BH28" s="20">
        <v>20107502</v>
      </c>
      <c r="BI28" s="44"/>
      <c r="BJ28" s="44"/>
      <c r="BK28" s="44"/>
      <c r="BL28" s="5">
        <v>461395338</v>
      </c>
      <c r="BM28" s="5">
        <v>385637124</v>
      </c>
      <c r="BN28" s="15">
        <v>402056</v>
      </c>
      <c r="BO28" s="3"/>
      <c r="BP28" s="1"/>
      <c r="BQ28" s="1"/>
      <c r="BR28" s="5"/>
      <c r="BS28" s="5"/>
      <c r="BT28" s="5"/>
    </row>
    <row r="29" spans="1:72" x14ac:dyDescent="0.25">
      <c r="A29" s="6" t="s">
        <v>83</v>
      </c>
      <c r="B29" s="40">
        <v>135137113</v>
      </c>
      <c r="C29" s="40">
        <v>116988388</v>
      </c>
      <c r="D29" s="40">
        <v>32893986</v>
      </c>
      <c r="E29" s="40">
        <v>1320000</v>
      </c>
      <c r="F29" s="40">
        <v>22291444</v>
      </c>
      <c r="G29" s="40">
        <v>5473965</v>
      </c>
      <c r="H29" s="40">
        <v>7752295</v>
      </c>
      <c r="I29" s="40">
        <v>1292200</v>
      </c>
      <c r="J29" s="40">
        <v>27500</v>
      </c>
      <c r="K29" s="40">
        <v>0</v>
      </c>
      <c r="L29" s="40">
        <v>134197480</v>
      </c>
      <c r="M29" s="40">
        <v>54317493</v>
      </c>
      <c r="N29" s="40">
        <v>991</v>
      </c>
      <c r="O29" s="40">
        <v>242</v>
      </c>
      <c r="P29" s="40">
        <v>1823938</v>
      </c>
      <c r="Q29" s="40">
        <v>1056700</v>
      </c>
      <c r="R29" s="40">
        <v>137000</v>
      </c>
      <c r="S29" s="40">
        <v>1052777</v>
      </c>
      <c r="T29" s="40">
        <v>591700</v>
      </c>
      <c r="U29" s="40">
        <v>375293</v>
      </c>
      <c r="V29" s="40">
        <v>1823938</v>
      </c>
      <c r="W29" s="40">
        <v>1093178</v>
      </c>
      <c r="X29" s="40">
        <v>137000</v>
      </c>
      <c r="Y29" s="40">
        <v>1052777</v>
      </c>
      <c r="Z29" s="40">
        <v>841909</v>
      </c>
      <c r="AA29" s="40">
        <v>375293</v>
      </c>
      <c r="AB29" s="40">
        <v>-825017</v>
      </c>
      <c r="AC29" s="40">
        <v>0</v>
      </c>
      <c r="AD29" s="40">
        <v>101610</v>
      </c>
      <c r="AE29" s="40">
        <v>9136</v>
      </c>
      <c r="AF29" s="40">
        <v>1560452</v>
      </c>
      <c r="AG29" s="40">
        <v>222884</v>
      </c>
      <c r="AH29" s="3"/>
      <c r="AI29" s="40">
        <v>479426</v>
      </c>
      <c r="AJ29" s="40">
        <v>12672</v>
      </c>
      <c r="AK29" s="42">
        <v>51916976</v>
      </c>
      <c r="AL29" s="42">
        <v>1689962</v>
      </c>
      <c r="AM29" s="40">
        <v>325000</v>
      </c>
      <c r="AN29" s="40">
        <v>9818577</v>
      </c>
      <c r="AO29" s="40">
        <v>103878</v>
      </c>
      <c r="AP29" s="40">
        <v>6714858</v>
      </c>
      <c r="AQ29" s="40">
        <v>6745886</v>
      </c>
      <c r="AR29" s="40">
        <v>10489678</v>
      </c>
      <c r="AS29" s="40">
        <v>12843</v>
      </c>
      <c r="AT29" s="40">
        <v>144755</v>
      </c>
      <c r="AU29" s="40">
        <v>0</v>
      </c>
      <c r="AV29" s="40">
        <v>8800</v>
      </c>
      <c r="AW29" s="40">
        <v>100776</v>
      </c>
      <c r="AX29" s="40">
        <v>171205</v>
      </c>
      <c r="AY29" s="40">
        <v>80000</v>
      </c>
      <c r="AZ29" s="1">
        <v>4267784.8899999997</v>
      </c>
      <c r="BA29" s="1">
        <v>2176570</v>
      </c>
      <c r="BB29" s="43">
        <v>17478238.34</v>
      </c>
      <c r="BC29" s="15">
        <v>0</v>
      </c>
      <c r="BD29" s="15">
        <v>0</v>
      </c>
      <c r="BE29" s="20">
        <v>1309794</v>
      </c>
      <c r="BF29" s="20">
        <v>1309794</v>
      </c>
      <c r="BG29" s="20">
        <v>20922081</v>
      </c>
      <c r="BH29" s="20">
        <v>20920808</v>
      </c>
      <c r="BI29" s="44"/>
      <c r="BJ29" s="44"/>
      <c r="BK29" s="44"/>
      <c r="BL29" s="5">
        <v>380194036</v>
      </c>
      <c r="BM29" s="5">
        <v>302179926</v>
      </c>
      <c r="BN29" s="15">
        <v>636707</v>
      </c>
      <c r="BO29" s="3"/>
      <c r="BP29" s="1"/>
      <c r="BQ29" s="1"/>
      <c r="BR29" s="5"/>
      <c r="BS29" s="5"/>
      <c r="BT29" s="5"/>
    </row>
    <row r="30" spans="1:72" x14ac:dyDescent="0.25">
      <c r="A30" s="6" t="s">
        <v>84</v>
      </c>
      <c r="B30" s="40">
        <v>124472441</v>
      </c>
      <c r="C30" s="40">
        <v>95929730</v>
      </c>
      <c r="D30" s="40">
        <v>29890245</v>
      </c>
      <c r="E30" s="40">
        <v>0</v>
      </c>
      <c r="F30" s="40">
        <v>15386800</v>
      </c>
      <c r="G30" s="40">
        <v>4317350</v>
      </c>
      <c r="H30" s="40">
        <v>7284600</v>
      </c>
      <c r="I30" s="40">
        <v>771400</v>
      </c>
      <c r="J30" s="40">
        <v>33700</v>
      </c>
      <c r="K30" s="40">
        <v>0</v>
      </c>
      <c r="L30" s="40">
        <v>128613522</v>
      </c>
      <c r="M30" s="40">
        <v>43450875</v>
      </c>
      <c r="N30" s="40">
        <v>700</v>
      </c>
      <c r="O30" s="40">
        <v>172</v>
      </c>
      <c r="P30" s="40">
        <v>2107000</v>
      </c>
      <c r="Q30" s="40">
        <v>670500</v>
      </c>
      <c r="R30" s="40">
        <v>2060000</v>
      </c>
      <c r="S30" s="40">
        <v>1165225</v>
      </c>
      <c r="T30" s="40">
        <v>366000</v>
      </c>
      <c r="U30" s="40">
        <v>350500</v>
      </c>
      <c r="V30" s="40">
        <v>2107000</v>
      </c>
      <c r="W30" s="40">
        <v>823500</v>
      </c>
      <c r="X30" s="40">
        <v>2060000</v>
      </c>
      <c r="Y30" s="40">
        <v>1165225</v>
      </c>
      <c r="Z30" s="40">
        <v>504000</v>
      </c>
      <c r="AA30" s="40">
        <v>350500</v>
      </c>
      <c r="AB30" s="40">
        <v>-913300</v>
      </c>
      <c r="AC30" s="40">
        <v>-96268</v>
      </c>
      <c r="AD30" s="40">
        <v>168253</v>
      </c>
      <c r="AE30" s="40">
        <v>0</v>
      </c>
      <c r="AF30" s="40">
        <v>0</v>
      </c>
      <c r="AG30" s="40">
        <v>0</v>
      </c>
      <c r="AH30" s="40">
        <v>3916771</v>
      </c>
      <c r="AI30" s="3"/>
      <c r="AJ30" s="3"/>
      <c r="AK30" s="42">
        <v>32484944</v>
      </c>
      <c r="AL30" s="42">
        <v>5086113</v>
      </c>
      <c r="AM30" s="40">
        <v>1978013</v>
      </c>
      <c r="AN30" s="40">
        <v>7654614</v>
      </c>
      <c r="AO30" s="40">
        <v>33280</v>
      </c>
      <c r="AP30" s="40">
        <v>660515</v>
      </c>
      <c r="AQ30" s="40">
        <v>3647031</v>
      </c>
      <c r="AR30" s="40">
        <v>2305099</v>
      </c>
      <c r="AS30" s="40">
        <v>0</v>
      </c>
      <c r="AT30" s="40">
        <v>490230</v>
      </c>
      <c r="AU30" s="40">
        <v>0</v>
      </c>
      <c r="AV30" s="40">
        <v>0</v>
      </c>
      <c r="AW30" s="40">
        <v>0</v>
      </c>
      <c r="AX30" s="40">
        <v>6530</v>
      </c>
      <c r="AY30" s="40">
        <v>25000</v>
      </c>
      <c r="AZ30" s="1">
        <v>2670393.46</v>
      </c>
      <c r="BA30" s="1">
        <v>1361901</v>
      </c>
      <c r="BB30" s="43"/>
      <c r="BC30" s="15">
        <v>0</v>
      </c>
      <c r="BD30" s="15">
        <v>0</v>
      </c>
      <c r="BE30" s="20">
        <v>706979</v>
      </c>
      <c r="BF30" s="20">
        <v>706979</v>
      </c>
      <c r="BG30" s="20">
        <v>15781499</v>
      </c>
      <c r="BH30" s="20">
        <v>15780226</v>
      </c>
      <c r="BI30" s="44"/>
      <c r="BJ30" s="44"/>
      <c r="BK30" s="44"/>
      <c r="BL30" s="5">
        <v>320964275</v>
      </c>
      <c r="BM30" s="5">
        <v>265544112</v>
      </c>
      <c r="BN30" s="15">
        <v>258500</v>
      </c>
      <c r="BO30" s="3"/>
      <c r="BP30" s="1"/>
      <c r="BQ30" s="1"/>
      <c r="BR30" s="5"/>
      <c r="BS30" s="5"/>
      <c r="BT30" s="5"/>
    </row>
    <row r="31" spans="1:72" x14ac:dyDescent="0.25">
      <c r="A31" s="6" t="s">
        <v>85</v>
      </c>
      <c r="B31" s="40">
        <v>3011068384</v>
      </c>
      <c r="C31" s="40">
        <v>312356542</v>
      </c>
      <c r="D31" s="40">
        <v>1199163058</v>
      </c>
      <c r="E31" s="40">
        <v>0</v>
      </c>
      <c r="F31" s="40">
        <v>233286358</v>
      </c>
      <c r="G31" s="40">
        <v>31902465</v>
      </c>
      <c r="H31" s="40">
        <v>17142900</v>
      </c>
      <c r="I31" s="40">
        <v>0</v>
      </c>
      <c r="J31" s="40">
        <v>0</v>
      </c>
      <c r="K31" s="40">
        <v>0</v>
      </c>
      <c r="L31" s="40">
        <v>586084457</v>
      </c>
      <c r="M31" s="40">
        <v>180536773</v>
      </c>
      <c r="N31" s="40">
        <v>7511</v>
      </c>
      <c r="O31" s="40">
        <v>990</v>
      </c>
      <c r="P31" s="40">
        <v>43326711</v>
      </c>
      <c r="Q31" s="40">
        <v>6105541</v>
      </c>
      <c r="R31" s="40">
        <v>32263330</v>
      </c>
      <c r="S31" s="40">
        <v>24440582</v>
      </c>
      <c r="T31" s="40">
        <v>2306175</v>
      </c>
      <c r="U31" s="40">
        <v>27156523</v>
      </c>
      <c r="V31" s="40">
        <v>43326711</v>
      </c>
      <c r="W31" s="40">
        <v>7688752</v>
      </c>
      <c r="X31" s="40">
        <v>32263330</v>
      </c>
      <c r="Y31" s="40">
        <v>24440582</v>
      </c>
      <c r="Z31" s="40">
        <v>5532069</v>
      </c>
      <c r="AA31" s="40">
        <v>27156523</v>
      </c>
      <c r="AB31" s="40">
        <v>-34899320</v>
      </c>
      <c r="AC31" s="40">
        <v>-562478</v>
      </c>
      <c r="AD31" s="40">
        <v>0</v>
      </c>
      <c r="AE31" s="40">
        <v>0</v>
      </c>
      <c r="AF31" s="40">
        <v>0</v>
      </c>
      <c r="AG31" s="40">
        <v>251343.7</v>
      </c>
      <c r="AH31" s="40">
        <v>7361129</v>
      </c>
      <c r="AI31" s="40">
        <v>455352</v>
      </c>
      <c r="AJ31" s="40">
        <v>3502597</v>
      </c>
      <c r="AK31" s="42">
        <v>521999441</v>
      </c>
      <c r="AL31" s="42">
        <v>13856898</v>
      </c>
      <c r="AM31" s="40">
        <v>269690</v>
      </c>
      <c r="AN31" s="40">
        <v>213052635</v>
      </c>
      <c r="AO31" s="40">
        <v>20687440</v>
      </c>
      <c r="AP31" s="40">
        <v>413674184</v>
      </c>
      <c r="AQ31" s="40">
        <v>218002945</v>
      </c>
      <c r="AR31" s="40">
        <v>183698094</v>
      </c>
      <c r="AS31" s="40">
        <v>49996416</v>
      </c>
      <c r="AT31" s="40">
        <v>155475186</v>
      </c>
      <c r="AU31" s="40">
        <v>36679236</v>
      </c>
      <c r="AV31" s="40">
        <v>4331447</v>
      </c>
      <c r="AW31" s="40">
        <v>124200750</v>
      </c>
      <c r="AX31" s="40">
        <v>3261184</v>
      </c>
      <c r="AY31" s="40">
        <v>3977520</v>
      </c>
      <c r="AZ31" s="1">
        <v>42910460.07</v>
      </c>
      <c r="BA31" s="1">
        <v>21884335</v>
      </c>
      <c r="BB31" s="43">
        <v>27261139.899999999</v>
      </c>
      <c r="BC31" s="15">
        <v>1840543</v>
      </c>
      <c r="BD31" s="15">
        <v>3681086</v>
      </c>
      <c r="BE31" s="20">
        <v>54309992</v>
      </c>
      <c r="BF31" s="20">
        <v>54309992</v>
      </c>
      <c r="BG31" s="20">
        <v>148063683</v>
      </c>
      <c r="BH31" s="20">
        <v>144470833</v>
      </c>
      <c r="BI31" s="45">
        <v>8166679</v>
      </c>
      <c r="BJ31" s="44"/>
      <c r="BK31" s="44"/>
      <c r="BL31" s="5">
        <v>5752178803</v>
      </c>
      <c r="BM31" s="5">
        <v>4985650082</v>
      </c>
      <c r="BN31" s="15">
        <v>1681664</v>
      </c>
      <c r="BO31" s="3"/>
      <c r="BP31" s="1"/>
      <c r="BQ31" s="1"/>
      <c r="BR31" s="5"/>
      <c r="BS31" s="5"/>
      <c r="BT31" s="5"/>
    </row>
    <row r="32" spans="1:72" x14ac:dyDescent="0.25">
      <c r="A32" s="6" t="s">
        <v>86</v>
      </c>
      <c r="B32" s="40">
        <v>309833622</v>
      </c>
      <c r="C32" s="40">
        <v>107472232</v>
      </c>
      <c r="D32" s="40">
        <v>42717949</v>
      </c>
      <c r="E32" s="40">
        <v>0</v>
      </c>
      <c r="F32" s="40">
        <v>24860900</v>
      </c>
      <c r="G32" s="40">
        <v>8845642</v>
      </c>
      <c r="H32" s="40">
        <v>13490500</v>
      </c>
      <c r="I32" s="40">
        <v>1990800</v>
      </c>
      <c r="J32" s="40">
        <v>0</v>
      </c>
      <c r="K32" s="40">
        <v>0</v>
      </c>
      <c r="L32" s="40">
        <v>159719200</v>
      </c>
      <c r="M32" s="40">
        <v>82523576</v>
      </c>
      <c r="N32" s="40">
        <v>1232</v>
      </c>
      <c r="O32" s="40">
        <v>390</v>
      </c>
      <c r="P32" s="40">
        <v>6129250</v>
      </c>
      <c r="Q32" s="40">
        <v>2683500</v>
      </c>
      <c r="R32" s="40">
        <v>887000</v>
      </c>
      <c r="S32" s="40">
        <v>175000</v>
      </c>
      <c r="T32" s="40">
        <v>69000</v>
      </c>
      <c r="U32" s="40">
        <v>0</v>
      </c>
      <c r="V32" s="40">
        <v>6129250</v>
      </c>
      <c r="W32" s="40">
        <v>2683500</v>
      </c>
      <c r="X32" s="40">
        <v>887000</v>
      </c>
      <c r="Y32" s="40">
        <v>175000</v>
      </c>
      <c r="Z32" s="40">
        <v>69000</v>
      </c>
      <c r="AA32" s="40">
        <v>0</v>
      </c>
      <c r="AB32" s="40">
        <v>-1493450</v>
      </c>
      <c r="AC32" s="40">
        <v>-135479</v>
      </c>
      <c r="AD32" s="40">
        <v>61223</v>
      </c>
      <c r="AE32" s="40">
        <v>6679</v>
      </c>
      <c r="AF32" s="40">
        <v>8778851</v>
      </c>
      <c r="AG32" s="40">
        <v>127187</v>
      </c>
      <c r="AH32" s="40">
        <v>1376854</v>
      </c>
      <c r="AI32" s="40">
        <v>197857</v>
      </c>
      <c r="AJ32" s="3"/>
      <c r="AK32" s="42">
        <v>55444780</v>
      </c>
      <c r="AL32" s="42">
        <v>6170365</v>
      </c>
      <c r="AM32" s="40">
        <v>32950</v>
      </c>
      <c r="AN32" s="40">
        <v>4475654</v>
      </c>
      <c r="AO32" s="40">
        <v>51184</v>
      </c>
      <c r="AP32" s="40">
        <v>2046716</v>
      </c>
      <c r="AQ32" s="40">
        <v>2257017</v>
      </c>
      <c r="AR32" s="40">
        <v>1219902</v>
      </c>
      <c r="AS32" s="40">
        <v>0</v>
      </c>
      <c r="AT32" s="40">
        <v>327718</v>
      </c>
      <c r="AU32" s="40">
        <v>0</v>
      </c>
      <c r="AV32" s="40">
        <v>0</v>
      </c>
      <c r="AW32" s="40">
        <v>42100</v>
      </c>
      <c r="AX32" s="40">
        <v>0</v>
      </c>
      <c r="AY32" s="40">
        <v>60000</v>
      </c>
      <c r="AZ32" s="1">
        <v>4557784.6100000003</v>
      </c>
      <c r="BA32" s="1">
        <v>2324470</v>
      </c>
      <c r="BB32" s="43"/>
      <c r="BC32" s="15">
        <v>275988</v>
      </c>
      <c r="BD32" s="15">
        <v>551976</v>
      </c>
      <c r="BE32" s="20">
        <v>3299183</v>
      </c>
      <c r="BF32" s="20">
        <v>3299183</v>
      </c>
      <c r="BG32" s="20">
        <v>16351801</v>
      </c>
      <c r="BH32" s="20">
        <v>15880355</v>
      </c>
      <c r="BI32" s="44"/>
      <c r="BJ32" s="44"/>
      <c r="BK32" s="44"/>
      <c r="BL32" s="5">
        <v>551777510</v>
      </c>
      <c r="BM32" s="5">
        <v>468382369</v>
      </c>
      <c r="BN32" s="15">
        <v>318800</v>
      </c>
      <c r="BO32" s="3"/>
      <c r="BP32" s="1"/>
      <c r="BQ32" s="1"/>
      <c r="BR32" s="5"/>
      <c r="BS32" s="5"/>
      <c r="BT32" s="5"/>
    </row>
    <row r="33" spans="1:72" x14ac:dyDescent="0.25">
      <c r="A33" s="6" t="s">
        <v>87</v>
      </c>
      <c r="B33" s="40">
        <v>58250879</v>
      </c>
      <c r="C33" s="40">
        <v>56916310</v>
      </c>
      <c r="D33" s="40">
        <v>12636367</v>
      </c>
      <c r="E33" s="40">
        <v>0</v>
      </c>
      <c r="F33" s="40">
        <v>7714559</v>
      </c>
      <c r="G33" s="40">
        <v>5734134</v>
      </c>
      <c r="H33" s="40">
        <v>11061109</v>
      </c>
      <c r="I33" s="40">
        <v>3783572</v>
      </c>
      <c r="J33" s="40">
        <v>0</v>
      </c>
      <c r="K33" s="40">
        <v>0</v>
      </c>
      <c r="L33" s="40">
        <v>84782056</v>
      </c>
      <c r="M33" s="40">
        <v>0</v>
      </c>
      <c r="N33" s="40">
        <v>647</v>
      </c>
      <c r="O33" s="40">
        <v>360</v>
      </c>
      <c r="P33" s="40">
        <v>1931025</v>
      </c>
      <c r="Q33" s="40">
        <v>1660551</v>
      </c>
      <c r="R33" s="40">
        <v>335347</v>
      </c>
      <c r="S33" s="40">
        <v>1166399</v>
      </c>
      <c r="T33" s="40">
        <v>425188</v>
      </c>
      <c r="U33" s="40">
        <v>191114</v>
      </c>
      <c r="V33" s="40">
        <v>1931025</v>
      </c>
      <c r="W33" s="40">
        <v>2051841</v>
      </c>
      <c r="X33" s="40">
        <v>335347</v>
      </c>
      <c r="Y33" s="40">
        <v>1166399</v>
      </c>
      <c r="Z33" s="40">
        <v>642443</v>
      </c>
      <c r="AA33" s="40">
        <v>191114</v>
      </c>
      <c r="AB33" s="40">
        <v>-902060</v>
      </c>
      <c r="AC33" s="40">
        <v>0</v>
      </c>
      <c r="AD33" s="40">
        <v>122712</v>
      </c>
      <c r="AE33" s="40">
        <v>0</v>
      </c>
      <c r="AF33" s="40">
        <v>0</v>
      </c>
      <c r="AG33" s="40">
        <v>138637</v>
      </c>
      <c r="AH33" s="40">
        <v>2278202</v>
      </c>
      <c r="AI33" s="40">
        <v>250360</v>
      </c>
      <c r="AJ33" s="40">
        <v>273230</v>
      </c>
      <c r="AK33" s="42">
        <v>28901914</v>
      </c>
      <c r="AL33" s="42">
        <v>829968</v>
      </c>
      <c r="AM33" s="3"/>
      <c r="AN33" s="40">
        <v>2109837</v>
      </c>
      <c r="AO33" s="40">
        <v>33719</v>
      </c>
      <c r="AP33" s="3"/>
      <c r="AQ33" s="40">
        <v>1335167</v>
      </c>
      <c r="AR33" s="40">
        <v>144855</v>
      </c>
      <c r="AS33" s="3"/>
      <c r="AT33" s="40">
        <v>984170</v>
      </c>
      <c r="AU33" s="3"/>
      <c r="AV33" s="3"/>
      <c r="AW33" s="3"/>
      <c r="AX33" s="3"/>
      <c r="AY33" s="3"/>
      <c r="AZ33" s="1">
        <v>2375853.94</v>
      </c>
      <c r="BA33" s="1">
        <v>1211686</v>
      </c>
      <c r="BB33" s="43"/>
      <c r="BC33" s="15">
        <v>0</v>
      </c>
      <c r="BD33" s="15">
        <v>0</v>
      </c>
      <c r="BE33" s="20">
        <v>1413879</v>
      </c>
      <c r="BF33" s="20">
        <v>1413879</v>
      </c>
      <c r="BG33" s="20">
        <v>19503438</v>
      </c>
      <c r="BH33" s="20">
        <v>19499619</v>
      </c>
      <c r="BI33" s="44"/>
      <c r="BJ33" s="44"/>
      <c r="BK33" s="44"/>
      <c r="BL33" s="5">
        <v>185941137</v>
      </c>
      <c r="BM33" s="5">
        <v>134084071</v>
      </c>
      <c r="BN33" s="15">
        <v>215481</v>
      </c>
      <c r="BO33" s="3"/>
      <c r="BP33" s="1"/>
      <c r="BQ33" s="1"/>
      <c r="BR33" s="5"/>
      <c r="BS33" s="5"/>
      <c r="BT33" s="5"/>
    </row>
    <row r="34" spans="1:72" x14ac:dyDescent="0.25">
      <c r="A34" s="6" t="s">
        <v>88</v>
      </c>
      <c r="B34" s="40">
        <v>206004123</v>
      </c>
      <c r="C34" s="40">
        <v>92069997</v>
      </c>
      <c r="D34" s="40">
        <v>58725799</v>
      </c>
      <c r="E34" s="40">
        <v>0</v>
      </c>
      <c r="F34" s="40">
        <v>32552324</v>
      </c>
      <c r="G34" s="40">
        <v>11038621</v>
      </c>
      <c r="H34" s="40">
        <v>9680196</v>
      </c>
      <c r="I34" s="40">
        <v>1898390</v>
      </c>
      <c r="J34" s="40">
        <v>96800</v>
      </c>
      <c r="K34" s="40">
        <v>33700</v>
      </c>
      <c r="L34" s="40">
        <v>55850224</v>
      </c>
      <c r="M34" s="40">
        <v>2269185</v>
      </c>
      <c r="N34" s="40">
        <v>1322</v>
      </c>
      <c r="O34" s="40">
        <v>421</v>
      </c>
      <c r="P34" s="40">
        <v>2230617</v>
      </c>
      <c r="Q34" s="40">
        <v>487500</v>
      </c>
      <c r="R34" s="40">
        <v>274425</v>
      </c>
      <c r="S34" s="40">
        <v>4152483</v>
      </c>
      <c r="T34" s="40">
        <v>3694528</v>
      </c>
      <c r="U34" s="40">
        <v>1023649</v>
      </c>
      <c r="V34" s="40">
        <v>2230617</v>
      </c>
      <c r="W34" s="40">
        <v>645380</v>
      </c>
      <c r="X34" s="40">
        <v>274425</v>
      </c>
      <c r="Y34" s="40">
        <v>4152483</v>
      </c>
      <c r="Z34" s="40">
        <v>740921</v>
      </c>
      <c r="AA34" s="40">
        <v>1023649</v>
      </c>
      <c r="AB34" s="40">
        <v>-2478425</v>
      </c>
      <c r="AC34" s="40">
        <v>5254</v>
      </c>
      <c r="AD34" s="40">
        <v>90033</v>
      </c>
      <c r="AE34" s="40">
        <v>12658</v>
      </c>
      <c r="AF34" s="40">
        <v>10762870</v>
      </c>
      <c r="AG34" s="40">
        <v>138285</v>
      </c>
      <c r="AH34" s="40">
        <v>3339644</v>
      </c>
      <c r="AI34" s="40">
        <v>66721</v>
      </c>
      <c r="AJ34" s="3"/>
      <c r="AK34" s="42">
        <v>65588658</v>
      </c>
      <c r="AL34" s="42">
        <v>1442440</v>
      </c>
      <c r="AM34" s="40">
        <v>0</v>
      </c>
      <c r="AN34" s="40">
        <v>6129029</v>
      </c>
      <c r="AO34" s="40">
        <v>66204</v>
      </c>
      <c r="AP34" s="40">
        <v>1216572</v>
      </c>
      <c r="AQ34" s="40">
        <v>5569580</v>
      </c>
      <c r="AR34" s="40">
        <v>5379134</v>
      </c>
      <c r="AS34" s="40">
        <v>0</v>
      </c>
      <c r="AT34" s="40">
        <v>76180</v>
      </c>
      <c r="AU34" s="40">
        <v>0</v>
      </c>
      <c r="AV34" s="40">
        <v>0</v>
      </c>
      <c r="AW34" s="40">
        <v>2104</v>
      </c>
      <c r="AX34" s="40">
        <v>0</v>
      </c>
      <c r="AY34" s="40">
        <v>0</v>
      </c>
      <c r="AZ34" s="1">
        <v>5391652.3099999996</v>
      </c>
      <c r="BA34" s="1">
        <v>2749743</v>
      </c>
      <c r="BB34" s="43"/>
      <c r="BC34" s="15">
        <v>4471134</v>
      </c>
      <c r="BD34" s="15">
        <v>8942268</v>
      </c>
      <c r="BE34" s="20">
        <v>10171403</v>
      </c>
      <c r="BF34" s="20">
        <v>10171403</v>
      </c>
      <c r="BG34" s="20">
        <v>30028179</v>
      </c>
      <c r="BH34" s="20">
        <v>27517011</v>
      </c>
      <c r="BI34" s="44"/>
      <c r="BJ34" s="44"/>
      <c r="BK34" s="44"/>
      <c r="BL34" s="5">
        <v>483911486</v>
      </c>
      <c r="BM34" s="5">
        <v>371971097</v>
      </c>
      <c r="BN34" s="15">
        <v>391160</v>
      </c>
      <c r="BO34" s="3"/>
      <c r="BP34" s="1"/>
      <c r="BQ34" s="1"/>
      <c r="BR34" s="5"/>
      <c r="BS34" s="5"/>
      <c r="BT34" s="5"/>
    </row>
    <row r="35" spans="1:72" x14ac:dyDescent="0.25">
      <c r="A35" s="6" t="s">
        <v>89</v>
      </c>
      <c r="B35" s="40">
        <v>15043326400</v>
      </c>
      <c r="C35" s="40">
        <v>880218800</v>
      </c>
      <c r="D35" s="40">
        <v>6377418000</v>
      </c>
      <c r="E35" s="40">
        <v>0</v>
      </c>
      <c r="F35" s="40">
        <v>526441100</v>
      </c>
      <c r="G35" s="40">
        <v>40940400</v>
      </c>
      <c r="H35" s="40">
        <v>9920700</v>
      </c>
      <c r="I35" s="40">
        <v>370700</v>
      </c>
      <c r="J35" s="40">
        <v>741400</v>
      </c>
      <c r="K35" s="40">
        <v>67400</v>
      </c>
      <c r="L35" s="40">
        <v>1674238900</v>
      </c>
      <c r="M35" s="40">
        <v>603260633</v>
      </c>
      <c r="N35" s="40">
        <v>16070</v>
      </c>
      <c r="O35" s="40">
        <v>1268</v>
      </c>
      <c r="P35" s="40">
        <v>155224075</v>
      </c>
      <c r="Q35" s="40">
        <v>14892000</v>
      </c>
      <c r="R35" s="40">
        <v>79584500</v>
      </c>
      <c r="S35" s="40">
        <v>27838267</v>
      </c>
      <c r="T35" s="40">
        <v>2437700</v>
      </c>
      <c r="U35" s="40">
        <v>18214900</v>
      </c>
      <c r="V35" s="40">
        <v>155224075</v>
      </c>
      <c r="W35" s="40">
        <v>15434600</v>
      </c>
      <c r="X35" s="40">
        <v>79584500</v>
      </c>
      <c r="Y35" s="40">
        <v>27838267</v>
      </c>
      <c r="Z35" s="40">
        <v>32520525</v>
      </c>
      <c r="AA35" s="40">
        <v>18214900</v>
      </c>
      <c r="AB35" s="40">
        <v>50432450</v>
      </c>
      <c r="AC35" s="40">
        <v>-7444840</v>
      </c>
      <c r="AD35" s="40">
        <v>0</v>
      </c>
      <c r="AE35" s="40">
        <v>0</v>
      </c>
      <c r="AF35" s="40">
        <v>0</v>
      </c>
      <c r="AG35" s="40">
        <v>0</v>
      </c>
      <c r="AH35" s="3"/>
      <c r="AI35" s="40">
        <v>2240787</v>
      </c>
      <c r="AJ35" s="3"/>
      <c r="AK35" s="42">
        <v>1723186376</v>
      </c>
      <c r="AL35" s="42">
        <v>26465180</v>
      </c>
      <c r="AM35" s="40">
        <v>271500</v>
      </c>
      <c r="AN35" s="40">
        <v>922314684</v>
      </c>
      <c r="AO35" s="40">
        <v>27282400</v>
      </c>
      <c r="AP35" s="40">
        <v>398426682</v>
      </c>
      <c r="AQ35" s="40">
        <v>631171970</v>
      </c>
      <c r="AR35" s="40">
        <v>252966285</v>
      </c>
      <c r="AS35" s="40">
        <v>153772369</v>
      </c>
      <c r="AT35" s="40">
        <v>774405145</v>
      </c>
      <c r="AU35" s="40">
        <v>285434</v>
      </c>
      <c r="AV35" s="40">
        <v>48848</v>
      </c>
      <c r="AW35" s="40">
        <v>26521799</v>
      </c>
      <c r="AX35" s="40">
        <v>6085023</v>
      </c>
      <c r="AY35" s="40">
        <v>31823059</v>
      </c>
      <c r="AZ35" s="1">
        <v>141660908.03999999</v>
      </c>
      <c r="BA35" s="1">
        <v>72247063</v>
      </c>
      <c r="BB35" s="43"/>
      <c r="BC35" s="15">
        <v>4507186</v>
      </c>
      <c r="BD35" s="15">
        <v>9014373</v>
      </c>
      <c r="BE35" s="20">
        <v>211440518</v>
      </c>
      <c r="BF35" s="20">
        <v>209765026</v>
      </c>
      <c r="BG35" s="20">
        <v>510544188</v>
      </c>
      <c r="BH35" s="20">
        <v>483851757</v>
      </c>
      <c r="BI35" s="44"/>
      <c r="BJ35" s="44"/>
      <c r="BK35" s="44"/>
      <c r="BL35" s="5">
        <v>26403995629</v>
      </c>
      <c r="BM35" s="5">
        <v>23883973041</v>
      </c>
      <c r="BN35" s="15">
        <v>22141300</v>
      </c>
      <c r="BO35" s="3"/>
      <c r="BP35" s="1"/>
      <c r="BQ35" s="1"/>
      <c r="BR35" s="5"/>
      <c r="BS35" s="5"/>
      <c r="BT35" s="5"/>
    </row>
    <row r="36" spans="1:72" x14ac:dyDescent="0.25">
      <c r="A36" s="6" t="s">
        <v>90</v>
      </c>
      <c r="B36" s="40">
        <v>245856628</v>
      </c>
      <c r="C36" s="40">
        <v>156351225</v>
      </c>
      <c r="D36" s="40">
        <v>53077850</v>
      </c>
      <c r="E36" s="40">
        <v>0</v>
      </c>
      <c r="F36" s="40">
        <v>28945800</v>
      </c>
      <c r="G36" s="40">
        <v>6731500</v>
      </c>
      <c r="H36" s="40">
        <v>11754450</v>
      </c>
      <c r="I36" s="40">
        <v>1988700</v>
      </c>
      <c r="J36" s="40">
        <v>67400</v>
      </c>
      <c r="K36" s="40">
        <v>0</v>
      </c>
      <c r="L36" s="40">
        <v>166026855</v>
      </c>
      <c r="M36" s="40">
        <v>82722617</v>
      </c>
      <c r="N36" s="40">
        <v>1295</v>
      </c>
      <c r="O36" s="40">
        <v>293</v>
      </c>
      <c r="P36" s="40">
        <v>2917600</v>
      </c>
      <c r="Q36" s="40">
        <v>2117500</v>
      </c>
      <c r="R36" s="40">
        <v>880000</v>
      </c>
      <c r="S36" s="40">
        <v>2130650</v>
      </c>
      <c r="T36" s="40">
        <v>652200</v>
      </c>
      <c r="U36" s="40">
        <v>1031955</v>
      </c>
      <c r="V36" s="40">
        <v>2917600</v>
      </c>
      <c r="W36" s="40">
        <v>2048000</v>
      </c>
      <c r="X36" s="40">
        <v>880000</v>
      </c>
      <c r="Y36" s="40">
        <v>2130650</v>
      </c>
      <c r="Z36" s="40">
        <v>447000</v>
      </c>
      <c r="AA36" s="40">
        <v>1031955</v>
      </c>
      <c r="AB36" s="40">
        <v>-3891800</v>
      </c>
      <c r="AC36" s="40">
        <v>-18798</v>
      </c>
      <c r="AD36" s="40">
        <v>51718</v>
      </c>
      <c r="AE36" s="40">
        <v>46882</v>
      </c>
      <c r="AF36" s="40">
        <v>68246230</v>
      </c>
      <c r="AG36" s="40">
        <v>213153</v>
      </c>
      <c r="AH36" s="3"/>
      <c r="AI36" s="40">
        <v>112459</v>
      </c>
      <c r="AJ36" s="3"/>
      <c r="AK36" s="42">
        <v>81643037</v>
      </c>
      <c r="AL36" s="42">
        <v>1270537</v>
      </c>
      <c r="AM36" s="40">
        <v>0</v>
      </c>
      <c r="AN36" s="40">
        <v>14101351</v>
      </c>
      <c r="AO36" s="40">
        <v>890824</v>
      </c>
      <c r="AP36" s="40">
        <v>27501374</v>
      </c>
      <c r="AQ36" s="40">
        <v>19917667</v>
      </c>
      <c r="AR36" s="40">
        <v>9692598</v>
      </c>
      <c r="AS36" s="40">
        <v>0</v>
      </c>
      <c r="AT36" s="40">
        <v>418610</v>
      </c>
      <c r="AU36" s="40">
        <v>0</v>
      </c>
      <c r="AV36" s="40">
        <v>34719</v>
      </c>
      <c r="AW36" s="40">
        <v>0</v>
      </c>
      <c r="AX36" s="40">
        <v>0</v>
      </c>
      <c r="AY36" s="40">
        <v>441500</v>
      </c>
      <c r="AZ36" s="1">
        <v>6711387.0300000003</v>
      </c>
      <c r="BA36" s="1">
        <v>3422807</v>
      </c>
      <c r="BB36" s="43"/>
      <c r="BC36" s="15">
        <v>555706</v>
      </c>
      <c r="BD36" s="15">
        <v>1111412</v>
      </c>
      <c r="BE36" s="20">
        <v>14464192</v>
      </c>
      <c r="BF36" s="20">
        <v>14464192</v>
      </c>
      <c r="BG36" s="20">
        <v>26279064</v>
      </c>
      <c r="BH36" s="20">
        <v>26056019</v>
      </c>
      <c r="BI36" s="44"/>
      <c r="BJ36" s="44"/>
      <c r="BK36" s="44"/>
      <c r="BL36" s="5">
        <v>617720302</v>
      </c>
      <c r="BM36" s="5">
        <v>490308004</v>
      </c>
      <c r="BN36" s="15">
        <v>828280</v>
      </c>
      <c r="BO36" s="3"/>
      <c r="BP36" s="1"/>
      <c r="BQ36" s="1"/>
      <c r="BR36" s="5"/>
      <c r="BS36" s="5"/>
      <c r="BT36" s="5"/>
    </row>
    <row r="37" spans="1:72" x14ac:dyDescent="0.25">
      <c r="A37" s="6" t="s">
        <v>91</v>
      </c>
      <c r="B37" s="40">
        <v>575573889</v>
      </c>
      <c r="C37" s="40">
        <v>112136836</v>
      </c>
      <c r="D37" s="40">
        <v>225559820</v>
      </c>
      <c r="E37" s="40">
        <v>0</v>
      </c>
      <c r="F37" s="40">
        <v>80211500</v>
      </c>
      <c r="G37" s="40">
        <v>62639900</v>
      </c>
      <c r="H37" s="40">
        <v>18027884</v>
      </c>
      <c r="I37" s="40">
        <v>8561100</v>
      </c>
      <c r="J37" s="40">
        <v>253400</v>
      </c>
      <c r="K37" s="40">
        <v>67400</v>
      </c>
      <c r="L37" s="40">
        <v>63923360</v>
      </c>
      <c r="M37" s="40">
        <v>202649180</v>
      </c>
      <c r="N37" s="40">
        <v>3366</v>
      </c>
      <c r="O37" s="40">
        <v>2722</v>
      </c>
      <c r="P37" s="40">
        <v>4223500</v>
      </c>
      <c r="Q37" s="40">
        <v>986000</v>
      </c>
      <c r="R37" s="40">
        <v>3430000</v>
      </c>
      <c r="S37" s="40">
        <v>1759000</v>
      </c>
      <c r="T37" s="40">
        <v>673600</v>
      </c>
      <c r="U37" s="40">
        <v>458000</v>
      </c>
      <c r="V37" s="40">
        <v>4223500</v>
      </c>
      <c r="W37" s="40">
        <v>986000</v>
      </c>
      <c r="X37" s="40">
        <v>3430000</v>
      </c>
      <c r="Y37" s="40">
        <v>1759000</v>
      </c>
      <c r="Z37" s="40">
        <v>782900</v>
      </c>
      <c r="AA37" s="40">
        <v>458000</v>
      </c>
      <c r="AB37" s="40">
        <v>-10230800</v>
      </c>
      <c r="AC37" s="40">
        <v>-3379</v>
      </c>
      <c r="AD37" s="40">
        <v>0</v>
      </c>
      <c r="AE37" s="40">
        <v>0</v>
      </c>
      <c r="AF37" s="40">
        <v>0</v>
      </c>
      <c r="AG37" s="40">
        <v>0</v>
      </c>
      <c r="AH37" s="40">
        <v>1823478</v>
      </c>
      <c r="AI37" s="40">
        <v>136956079</v>
      </c>
      <c r="AJ37" s="40">
        <v>134357605</v>
      </c>
      <c r="AK37" s="42">
        <v>247099796</v>
      </c>
      <c r="AL37" s="42">
        <v>6590045</v>
      </c>
      <c r="AM37" s="40">
        <v>0</v>
      </c>
      <c r="AN37" s="40">
        <v>138154652</v>
      </c>
      <c r="AO37" s="40">
        <v>1353940</v>
      </c>
      <c r="AP37" s="40">
        <v>7143139</v>
      </c>
      <c r="AQ37" s="40">
        <v>84119063</v>
      </c>
      <c r="AR37" s="40">
        <v>23590362</v>
      </c>
      <c r="AS37" s="40">
        <v>603307</v>
      </c>
      <c r="AT37" s="40">
        <v>25000</v>
      </c>
      <c r="AU37" s="40">
        <v>0</v>
      </c>
      <c r="AV37" s="40">
        <v>0</v>
      </c>
      <c r="AW37" s="40">
        <v>0</v>
      </c>
      <c r="AX37" s="40">
        <v>0</v>
      </c>
      <c r="AY37" s="40">
        <v>16000</v>
      </c>
      <c r="AZ37" s="1">
        <v>20312600.16</v>
      </c>
      <c r="BA37" s="1">
        <v>10359426</v>
      </c>
      <c r="BB37" s="43"/>
      <c r="BC37" s="15">
        <v>4747744</v>
      </c>
      <c r="BD37" s="15">
        <v>9495487</v>
      </c>
      <c r="BE37" s="20">
        <v>61163018</v>
      </c>
      <c r="BF37" s="20">
        <v>61163018</v>
      </c>
      <c r="BG37" s="20">
        <v>134898046</v>
      </c>
      <c r="BH37" s="20">
        <v>131343187</v>
      </c>
      <c r="BI37" s="44"/>
      <c r="BJ37" s="44"/>
      <c r="BK37" s="44"/>
      <c r="BL37" s="5">
        <v>1871338578</v>
      </c>
      <c r="BM37" s="5">
        <v>1410035362</v>
      </c>
      <c r="BN37" s="15">
        <v>12306100</v>
      </c>
      <c r="BO37" s="3"/>
      <c r="BP37" s="1"/>
      <c r="BQ37" s="1"/>
      <c r="BR37" s="5"/>
      <c r="BS37" s="5"/>
      <c r="BT37" s="5"/>
    </row>
    <row r="38" spans="1:72" x14ac:dyDescent="0.25">
      <c r="A38" s="6" t="s">
        <v>92</v>
      </c>
      <c r="B38" s="40">
        <v>1876537480</v>
      </c>
      <c r="C38" s="40">
        <v>155998927</v>
      </c>
      <c r="D38" s="40">
        <v>759906344</v>
      </c>
      <c r="E38" s="40">
        <v>0</v>
      </c>
      <c r="F38" s="40">
        <v>122875334</v>
      </c>
      <c r="G38" s="40">
        <v>11007268</v>
      </c>
      <c r="H38" s="40">
        <v>9392996</v>
      </c>
      <c r="I38" s="40">
        <v>707326</v>
      </c>
      <c r="J38" s="40">
        <v>101100</v>
      </c>
      <c r="K38" s="40">
        <v>67400</v>
      </c>
      <c r="L38" s="40">
        <v>156896874</v>
      </c>
      <c r="M38" s="40">
        <v>122021889</v>
      </c>
      <c r="N38" s="40">
        <v>3989</v>
      </c>
      <c r="O38" s="40">
        <v>375</v>
      </c>
      <c r="P38" s="40">
        <v>17805562</v>
      </c>
      <c r="Q38" s="40">
        <v>2433769</v>
      </c>
      <c r="R38" s="40">
        <v>4839200</v>
      </c>
      <c r="S38" s="40">
        <v>5482913</v>
      </c>
      <c r="T38" s="40">
        <v>1417080</v>
      </c>
      <c r="U38" s="40">
        <v>10670380</v>
      </c>
      <c r="V38" s="40">
        <v>17805562</v>
      </c>
      <c r="W38" s="40">
        <v>3435370</v>
      </c>
      <c r="X38" s="40">
        <v>4839200</v>
      </c>
      <c r="Y38" s="40">
        <v>5482913</v>
      </c>
      <c r="Z38" s="40">
        <v>2022578</v>
      </c>
      <c r="AA38" s="40">
        <v>10670380</v>
      </c>
      <c r="AB38" s="40">
        <v>-3987967</v>
      </c>
      <c r="AC38" s="40">
        <v>-202233</v>
      </c>
      <c r="AD38" s="40">
        <v>0</v>
      </c>
      <c r="AE38" s="40">
        <v>0</v>
      </c>
      <c r="AF38" s="40">
        <v>0</v>
      </c>
      <c r="AG38" s="40">
        <v>103551</v>
      </c>
      <c r="AH38" s="3"/>
      <c r="AI38" s="40">
        <v>496787</v>
      </c>
      <c r="AJ38" s="3"/>
      <c r="AK38" s="42">
        <v>290302048</v>
      </c>
      <c r="AL38" s="42">
        <v>10080744</v>
      </c>
      <c r="AM38" s="40">
        <v>123900</v>
      </c>
      <c r="AN38" s="40">
        <v>109122880</v>
      </c>
      <c r="AO38" s="40">
        <v>10841570</v>
      </c>
      <c r="AP38" s="40">
        <v>203179325</v>
      </c>
      <c r="AQ38" s="40">
        <v>56875353</v>
      </c>
      <c r="AR38" s="40">
        <v>50523797</v>
      </c>
      <c r="AS38" s="40">
        <v>1266367</v>
      </c>
      <c r="AT38" s="40">
        <v>3900002</v>
      </c>
      <c r="AU38" s="40">
        <v>0</v>
      </c>
      <c r="AV38" s="40">
        <v>0</v>
      </c>
      <c r="AW38" s="40">
        <v>29690</v>
      </c>
      <c r="AX38" s="40">
        <v>24975</v>
      </c>
      <c r="AY38" s="40">
        <v>1539536</v>
      </c>
      <c r="AZ38" s="1">
        <v>23863999.579999998</v>
      </c>
      <c r="BA38" s="1">
        <v>12170640</v>
      </c>
      <c r="BB38" s="43">
        <v>3172279.79</v>
      </c>
      <c r="BC38" s="15">
        <v>960986</v>
      </c>
      <c r="BD38" s="15">
        <v>1921972</v>
      </c>
      <c r="BE38" s="20">
        <v>10776535</v>
      </c>
      <c r="BF38" s="20">
        <v>10033629</v>
      </c>
      <c r="BG38" s="20">
        <v>39178000</v>
      </c>
      <c r="BH38" s="20">
        <v>37567535</v>
      </c>
      <c r="BI38" s="44">
        <v>109765417</v>
      </c>
      <c r="BJ38" s="44"/>
      <c r="BK38" s="44"/>
      <c r="BL38" s="5">
        <v>3440660340</v>
      </c>
      <c r="BM38" s="5">
        <v>2969779341</v>
      </c>
      <c r="BN38" s="15">
        <v>5633052</v>
      </c>
      <c r="BO38" s="3"/>
      <c r="BP38" s="1"/>
      <c r="BQ38" s="1"/>
      <c r="BR38" s="5"/>
      <c r="BS38" s="5"/>
      <c r="BT38" s="5"/>
    </row>
    <row r="39" spans="1:72" x14ac:dyDescent="0.25">
      <c r="A39" s="6" t="s">
        <v>93</v>
      </c>
      <c r="B39" s="40">
        <v>74992340</v>
      </c>
      <c r="C39" s="40">
        <v>53481826</v>
      </c>
      <c r="D39" s="40">
        <v>63163752</v>
      </c>
      <c r="E39" s="40">
        <v>1540745</v>
      </c>
      <c r="F39" s="40">
        <v>17597250</v>
      </c>
      <c r="G39" s="40">
        <v>4023615</v>
      </c>
      <c r="H39" s="40">
        <v>3486035</v>
      </c>
      <c r="I39" s="40">
        <v>292420</v>
      </c>
      <c r="J39" s="40">
        <v>0</v>
      </c>
      <c r="K39" s="40">
        <v>15000</v>
      </c>
      <c r="L39" s="40">
        <v>200784340</v>
      </c>
      <c r="M39" s="40">
        <v>14493545</v>
      </c>
      <c r="N39" s="40">
        <v>704</v>
      </c>
      <c r="O39" s="40">
        <v>160</v>
      </c>
      <c r="P39" s="40">
        <v>1940160</v>
      </c>
      <c r="Q39" s="40">
        <v>636130</v>
      </c>
      <c r="R39" s="40">
        <v>474250</v>
      </c>
      <c r="S39" s="40">
        <v>1195970</v>
      </c>
      <c r="T39" s="40">
        <v>331485</v>
      </c>
      <c r="U39" s="40">
        <v>782000</v>
      </c>
      <c r="V39" s="40">
        <v>1940160</v>
      </c>
      <c r="W39" s="40">
        <v>1665620</v>
      </c>
      <c r="X39" s="40">
        <v>474250</v>
      </c>
      <c r="Y39" s="40">
        <v>1195970</v>
      </c>
      <c r="Z39" s="40">
        <v>391315</v>
      </c>
      <c r="AA39" s="40">
        <v>782000</v>
      </c>
      <c r="AB39" s="40">
        <v>-1168699</v>
      </c>
      <c r="AC39" s="40">
        <v>-31900</v>
      </c>
      <c r="AD39" s="40">
        <v>22266</v>
      </c>
      <c r="AE39" s="40">
        <v>11637</v>
      </c>
      <c r="AF39" s="40">
        <v>2796154</v>
      </c>
      <c r="AG39" s="40">
        <v>118862</v>
      </c>
      <c r="AH39" s="3"/>
      <c r="AI39" s="40">
        <v>398402</v>
      </c>
      <c r="AJ39" s="3"/>
      <c r="AK39" s="42">
        <v>31680715</v>
      </c>
      <c r="AL39" s="42">
        <v>544853</v>
      </c>
      <c r="AM39" s="40">
        <v>0</v>
      </c>
      <c r="AN39" s="40">
        <v>13414737</v>
      </c>
      <c r="AO39" s="40">
        <v>2039187</v>
      </c>
      <c r="AP39" s="40">
        <v>34912439</v>
      </c>
      <c r="AQ39" s="40">
        <v>17494305</v>
      </c>
      <c r="AR39" s="40">
        <v>54208138</v>
      </c>
      <c r="AS39" s="40">
        <v>13107414</v>
      </c>
      <c r="AT39" s="40">
        <v>437451</v>
      </c>
      <c r="AU39" s="40">
        <v>0</v>
      </c>
      <c r="AV39" s="40">
        <v>10670747</v>
      </c>
      <c r="AW39" s="40">
        <v>4744354</v>
      </c>
      <c r="AX39" s="40">
        <v>2468971</v>
      </c>
      <c r="AY39" s="40">
        <v>126400</v>
      </c>
      <c r="AZ39" s="1">
        <v>2604282.59</v>
      </c>
      <c r="BA39" s="1">
        <v>1328184</v>
      </c>
      <c r="BB39" s="43">
        <v>37084974.090000004</v>
      </c>
      <c r="BC39" s="15">
        <v>654540</v>
      </c>
      <c r="BD39" s="15">
        <v>1309079</v>
      </c>
      <c r="BE39" s="20">
        <v>11011239</v>
      </c>
      <c r="BF39" s="20">
        <v>11011239</v>
      </c>
      <c r="BG39" s="20">
        <v>14488656</v>
      </c>
      <c r="BH39" s="20">
        <v>11482411</v>
      </c>
      <c r="BI39" s="44"/>
      <c r="BJ39" s="44">
        <v>2459819</v>
      </c>
      <c r="BK39" s="44"/>
      <c r="BL39" s="5">
        <v>284146310</v>
      </c>
      <c r="BM39" s="5">
        <v>224984549</v>
      </c>
      <c r="BN39" s="15">
        <v>1143242</v>
      </c>
      <c r="BO39" s="3"/>
      <c r="BP39" s="1"/>
      <c r="BQ39" s="1"/>
      <c r="BR39" s="5"/>
      <c r="BS39" s="5"/>
      <c r="BT39" s="5"/>
    </row>
    <row r="40" spans="1:72" x14ac:dyDescent="0.25">
      <c r="A40" s="6" t="s">
        <v>94</v>
      </c>
      <c r="B40" s="40">
        <v>241152544</v>
      </c>
      <c r="C40" s="40">
        <v>60675356</v>
      </c>
      <c r="D40" s="40">
        <v>93165940</v>
      </c>
      <c r="E40" s="40">
        <v>59804470</v>
      </c>
      <c r="F40" s="40">
        <v>11583950</v>
      </c>
      <c r="G40" s="40">
        <v>5094100</v>
      </c>
      <c r="H40" s="40">
        <v>3695200</v>
      </c>
      <c r="I40" s="40">
        <v>631200</v>
      </c>
      <c r="J40" s="40">
        <v>0</v>
      </c>
      <c r="K40" s="40">
        <v>0</v>
      </c>
      <c r="L40" s="40">
        <v>97067855</v>
      </c>
      <c r="M40" s="40">
        <v>1147515</v>
      </c>
      <c r="N40" s="40">
        <v>474</v>
      </c>
      <c r="O40" s="40">
        <v>179</v>
      </c>
      <c r="P40" s="40">
        <v>3477450</v>
      </c>
      <c r="Q40" s="40">
        <v>3549000</v>
      </c>
      <c r="R40" s="40">
        <v>2334754</v>
      </c>
      <c r="S40" s="40">
        <v>4193409</v>
      </c>
      <c r="T40" s="40">
        <v>1446395</v>
      </c>
      <c r="U40" s="40">
        <v>5057600</v>
      </c>
      <c r="V40" s="40">
        <v>3477450</v>
      </c>
      <c r="W40" s="40">
        <v>7537255</v>
      </c>
      <c r="X40" s="40">
        <v>2334754</v>
      </c>
      <c r="Y40" s="40">
        <v>4193409</v>
      </c>
      <c r="Z40" s="40">
        <v>2434500</v>
      </c>
      <c r="AA40" s="40">
        <v>5057600</v>
      </c>
      <c r="AB40" s="40">
        <v>-2352384</v>
      </c>
      <c r="AC40" s="40">
        <v>-6416</v>
      </c>
      <c r="AD40" s="40">
        <v>21404</v>
      </c>
      <c r="AE40" s="40">
        <v>0</v>
      </c>
      <c r="AF40" s="40">
        <v>0</v>
      </c>
      <c r="AG40" s="40">
        <v>49969</v>
      </c>
      <c r="AH40" s="3"/>
      <c r="AI40" s="40">
        <v>3302025</v>
      </c>
      <c r="AJ40" s="3"/>
      <c r="AK40" s="42">
        <v>45541065</v>
      </c>
      <c r="AL40" s="42">
        <v>3047081</v>
      </c>
      <c r="AM40" s="40">
        <v>471577</v>
      </c>
      <c r="AN40" s="40">
        <v>19280290</v>
      </c>
      <c r="AO40" s="40">
        <v>1383885</v>
      </c>
      <c r="AP40" s="40">
        <v>258456600</v>
      </c>
      <c r="AQ40" s="40">
        <v>26350254</v>
      </c>
      <c r="AR40" s="40">
        <v>73617076</v>
      </c>
      <c r="AS40" s="40">
        <v>20824182</v>
      </c>
      <c r="AT40" s="40">
        <v>165220</v>
      </c>
      <c r="AU40" s="40">
        <v>0</v>
      </c>
      <c r="AV40" s="40">
        <v>0</v>
      </c>
      <c r="AW40" s="40">
        <v>25504151</v>
      </c>
      <c r="AX40" s="40">
        <v>415246</v>
      </c>
      <c r="AY40" s="40">
        <v>20000</v>
      </c>
      <c r="AZ40" s="1">
        <v>3743659.28</v>
      </c>
      <c r="BA40" s="1">
        <v>1909266</v>
      </c>
      <c r="BB40" s="43">
        <v>15063212.439999999</v>
      </c>
      <c r="BC40" s="15">
        <v>714834</v>
      </c>
      <c r="BD40" s="15">
        <v>1429669</v>
      </c>
      <c r="BE40" s="20">
        <v>4335334</v>
      </c>
      <c r="BF40" s="20">
        <v>4335334</v>
      </c>
      <c r="BG40" s="20">
        <v>21584412</v>
      </c>
      <c r="BH40" s="20">
        <v>20689625</v>
      </c>
      <c r="BI40" s="44"/>
      <c r="BJ40" s="44"/>
      <c r="BK40" s="44"/>
      <c r="BL40" s="5">
        <v>521547499</v>
      </c>
      <c r="BM40" s="5">
        <v>445310294</v>
      </c>
      <c r="BN40" s="15">
        <v>166820</v>
      </c>
      <c r="BO40" s="3"/>
      <c r="BP40" s="1"/>
      <c r="BQ40" s="1"/>
      <c r="BR40" s="5"/>
      <c r="BS40" s="5"/>
      <c r="BT40" s="5"/>
    </row>
    <row r="41" spans="1:72" x14ac:dyDescent="0.25">
      <c r="A41" s="6" t="s">
        <v>95</v>
      </c>
      <c r="B41" s="40">
        <v>492453331</v>
      </c>
      <c r="C41" s="40">
        <v>125357010</v>
      </c>
      <c r="D41" s="40">
        <v>51542102</v>
      </c>
      <c r="E41" s="40">
        <v>0</v>
      </c>
      <c r="F41" s="40">
        <v>35832000</v>
      </c>
      <c r="G41" s="40">
        <v>10102980</v>
      </c>
      <c r="H41" s="40">
        <v>11015300</v>
      </c>
      <c r="I41" s="40">
        <v>2100900</v>
      </c>
      <c r="J41" s="40">
        <v>101100</v>
      </c>
      <c r="K41" s="40">
        <v>0</v>
      </c>
      <c r="L41" s="40">
        <v>192870790</v>
      </c>
      <c r="M41" s="40">
        <v>89824900</v>
      </c>
      <c r="N41" s="40">
        <v>1413</v>
      </c>
      <c r="O41" s="40">
        <v>382</v>
      </c>
      <c r="P41" s="40">
        <v>2286850</v>
      </c>
      <c r="Q41" s="40">
        <v>989000</v>
      </c>
      <c r="R41" s="40">
        <v>705000</v>
      </c>
      <c r="S41" s="40">
        <v>6178310</v>
      </c>
      <c r="T41" s="40">
        <v>974950</v>
      </c>
      <c r="U41" s="40">
        <v>1673600</v>
      </c>
      <c r="V41" s="40">
        <v>2286850</v>
      </c>
      <c r="W41" s="40">
        <v>1011000</v>
      </c>
      <c r="X41" s="40">
        <v>705000</v>
      </c>
      <c r="Y41" s="40">
        <v>6178310</v>
      </c>
      <c r="Z41" s="40">
        <v>1595400</v>
      </c>
      <c r="AA41" s="40">
        <v>1673600</v>
      </c>
      <c r="AB41" s="40">
        <v>-3032204</v>
      </c>
      <c r="AC41" s="40">
        <v>-1663</v>
      </c>
      <c r="AD41" s="40">
        <v>0</v>
      </c>
      <c r="AE41" s="40">
        <v>0</v>
      </c>
      <c r="AF41" s="40">
        <v>0</v>
      </c>
      <c r="AG41" s="40">
        <v>134395</v>
      </c>
      <c r="AH41" s="3"/>
      <c r="AI41" s="40">
        <v>483705</v>
      </c>
      <c r="AJ41" s="3"/>
      <c r="AK41" s="42">
        <v>94193037</v>
      </c>
      <c r="AL41" s="42">
        <v>5923814</v>
      </c>
      <c r="AM41" s="40">
        <v>442989</v>
      </c>
      <c r="AN41" s="40">
        <v>14090051</v>
      </c>
      <c r="AO41" s="40">
        <v>113562</v>
      </c>
      <c r="AP41" s="40">
        <v>6653236</v>
      </c>
      <c r="AQ41" s="40">
        <v>5631393</v>
      </c>
      <c r="AR41" s="40">
        <v>1468495</v>
      </c>
      <c r="AS41" s="40">
        <v>0</v>
      </c>
      <c r="AT41" s="40">
        <v>273701</v>
      </c>
      <c r="AU41" s="40">
        <v>0</v>
      </c>
      <c r="AV41" s="40">
        <v>0</v>
      </c>
      <c r="AW41" s="40">
        <v>0</v>
      </c>
      <c r="AX41" s="40">
        <v>0</v>
      </c>
      <c r="AY41" s="40">
        <v>24000</v>
      </c>
      <c r="AZ41" s="1">
        <v>7743047.6699999999</v>
      </c>
      <c r="BA41" s="1">
        <v>3948954</v>
      </c>
      <c r="BB41" s="43"/>
      <c r="BC41" s="15">
        <v>0</v>
      </c>
      <c r="BD41" s="15">
        <v>0</v>
      </c>
      <c r="BE41" s="20">
        <v>14840094</v>
      </c>
      <c r="BF41" s="20">
        <v>14840094</v>
      </c>
      <c r="BG41" s="20">
        <v>27853311</v>
      </c>
      <c r="BH41" s="20">
        <v>27844399</v>
      </c>
      <c r="BI41" s="44"/>
      <c r="BJ41" s="44"/>
      <c r="BK41" s="44"/>
      <c r="BL41" s="5">
        <v>836421452</v>
      </c>
      <c r="BM41" s="5">
        <v>689671154</v>
      </c>
      <c r="BN41" s="15">
        <v>824500</v>
      </c>
      <c r="BO41" s="3"/>
      <c r="BP41" s="1"/>
      <c r="BQ41" s="1"/>
      <c r="BR41" s="5"/>
      <c r="BS41" s="5"/>
      <c r="BT41" s="5"/>
    </row>
    <row r="42" spans="1:72" x14ac:dyDescent="0.25">
      <c r="A42" s="6" t="s">
        <v>96</v>
      </c>
      <c r="B42" s="40">
        <v>606842390</v>
      </c>
      <c r="C42" s="40">
        <v>191582249</v>
      </c>
      <c r="D42" s="40">
        <v>186336859</v>
      </c>
      <c r="E42" s="40">
        <v>600000</v>
      </c>
      <c r="F42" s="40">
        <v>33294430</v>
      </c>
      <c r="G42" s="40">
        <v>6734410</v>
      </c>
      <c r="H42" s="40">
        <v>16980700</v>
      </c>
      <c r="I42" s="40">
        <v>1794700</v>
      </c>
      <c r="J42" s="40">
        <v>267300</v>
      </c>
      <c r="K42" s="40">
        <v>0</v>
      </c>
      <c r="L42" s="40">
        <v>310588134</v>
      </c>
      <c r="M42" s="40">
        <v>158778800</v>
      </c>
      <c r="N42" s="40">
        <v>1544</v>
      </c>
      <c r="O42" s="40">
        <v>271</v>
      </c>
      <c r="P42" s="40">
        <v>4059550</v>
      </c>
      <c r="Q42" s="40">
        <v>2792300</v>
      </c>
      <c r="R42" s="40">
        <v>1092000</v>
      </c>
      <c r="S42" s="40">
        <v>8274795</v>
      </c>
      <c r="T42" s="40">
        <v>1178400</v>
      </c>
      <c r="U42" s="40">
        <v>10567231</v>
      </c>
      <c r="V42" s="40">
        <v>4059550</v>
      </c>
      <c r="W42" s="40">
        <v>2725000</v>
      </c>
      <c r="X42" s="40">
        <v>1092000</v>
      </c>
      <c r="Y42" s="40">
        <v>8274795</v>
      </c>
      <c r="Z42" s="40">
        <v>3378331</v>
      </c>
      <c r="AA42" s="40">
        <v>10567231</v>
      </c>
      <c r="AB42" s="40">
        <v>-630140</v>
      </c>
      <c r="AC42" s="40">
        <v>-313675</v>
      </c>
      <c r="AD42" s="40">
        <v>66583</v>
      </c>
      <c r="AE42" s="40">
        <v>32</v>
      </c>
      <c r="AF42" s="40">
        <v>0</v>
      </c>
      <c r="AG42" s="40">
        <v>146365</v>
      </c>
      <c r="AH42" s="3"/>
      <c r="AI42" s="3"/>
      <c r="AJ42" s="3"/>
      <c r="AK42" s="42">
        <v>123432698</v>
      </c>
      <c r="AL42" s="42">
        <v>4309047</v>
      </c>
      <c r="AM42" s="40">
        <v>0</v>
      </c>
      <c r="AN42" s="40">
        <v>26597052</v>
      </c>
      <c r="AO42" s="40">
        <v>4370621</v>
      </c>
      <c r="AP42" s="40">
        <v>26612649</v>
      </c>
      <c r="AQ42" s="40">
        <v>32652208</v>
      </c>
      <c r="AR42" s="40">
        <v>20254381</v>
      </c>
      <c r="AS42" s="40">
        <v>2363708</v>
      </c>
      <c r="AT42" s="40">
        <v>0</v>
      </c>
      <c r="AU42" s="40">
        <v>0</v>
      </c>
      <c r="AV42" s="40">
        <v>0</v>
      </c>
      <c r="AW42" s="40">
        <v>0</v>
      </c>
      <c r="AX42" s="40">
        <v>6363</v>
      </c>
      <c r="AY42" s="40">
        <v>0</v>
      </c>
      <c r="AZ42" s="1">
        <v>10146665.77</v>
      </c>
      <c r="BA42" s="1">
        <v>5174800</v>
      </c>
      <c r="BB42" s="43"/>
      <c r="BC42" s="15">
        <v>2577755</v>
      </c>
      <c r="BD42" s="15">
        <v>5155510</v>
      </c>
      <c r="BE42" s="20">
        <v>27977550</v>
      </c>
      <c r="BF42" s="20">
        <v>27977550</v>
      </c>
      <c r="BG42" s="20">
        <v>62614247</v>
      </c>
      <c r="BH42" s="20">
        <v>57541196</v>
      </c>
      <c r="BI42" s="44"/>
      <c r="BJ42" s="44"/>
      <c r="BK42" s="44"/>
      <c r="BL42" s="5">
        <v>1269394425</v>
      </c>
      <c r="BM42" s="5">
        <v>1048381379</v>
      </c>
      <c r="BN42" s="15">
        <v>1767100</v>
      </c>
      <c r="BO42" s="3"/>
      <c r="BP42" s="1"/>
      <c r="BQ42" s="1"/>
      <c r="BR42" s="5"/>
      <c r="BS42" s="5"/>
      <c r="BT42" s="5"/>
    </row>
    <row r="43" spans="1:72" x14ac:dyDescent="0.25">
      <c r="A43" s="6" t="s">
        <v>97</v>
      </c>
      <c r="B43" s="40">
        <v>691712740</v>
      </c>
      <c r="C43" s="40">
        <v>328817606</v>
      </c>
      <c r="D43" s="40">
        <v>248607518</v>
      </c>
      <c r="E43" s="40">
        <v>0</v>
      </c>
      <c r="F43" s="40">
        <v>87092471</v>
      </c>
      <c r="G43" s="40">
        <v>17386250</v>
      </c>
      <c r="H43" s="40">
        <v>23091500</v>
      </c>
      <c r="I43" s="40">
        <v>2815350</v>
      </c>
      <c r="J43" s="40">
        <v>98800</v>
      </c>
      <c r="K43" s="40">
        <v>67400</v>
      </c>
      <c r="L43" s="40">
        <v>780429348</v>
      </c>
      <c r="M43" s="40">
        <v>181873767</v>
      </c>
      <c r="N43" s="40">
        <v>3434</v>
      </c>
      <c r="O43" s="40">
        <v>672</v>
      </c>
      <c r="P43" s="40">
        <v>3960250</v>
      </c>
      <c r="Q43" s="40">
        <v>43100</v>
      </c>
      <c r="R43" s="40">
        <v>1499000</v>
      </c>
      <c r="S43" s="40">
        <v>3979957</v>
      </c>
      <c r="T43" s="40">
        <v>287000</v>
      </c>
      <c r="U43" s="40">
        <v>119495</v>
      </c>
      <c r="V43" s="40">
        <v>3960250</v>
      </c>
      <c r="W43" s="40">
        <v>163800</v>
      </c>
      <c r="X43" s="40">
        <v>1499000</v>
      </c>
      <c r="Y43" s="40">
        <v>3979957</v>
      </c>
      <c r="Z43" s="40">
        <v>982000</v>
      </c>
      <c r="AA43" s="40">
        <v>119495</v>
      </c>
      <c r="AB43" s="40">
        <v>-7940529</v>
      </c>
      <c r="AC43" s="40">
        <v>-407020</v>
      </c>
      <c r="AD43" s="40">
        <v>55078</v>
      </c>
      <c r="AE43" s="40">
        <v>0</v>
      </c>
      <c r="AF43" s="40">
        <v>1930382</v>
      </c>
      <c r="AG43" s="40">
        <v>313674</v>
      </c>
      <c r="AH43" s="3"/>
      <c r="AI43" s="40">
        <v>646065</v>
      </c>
      <c r="AJ43" s="3"/>
      <c r="AK43" s="42">
        <v>223499580</v>
      </c>
      <c r="AL43" s="42">
        <v>6519957</v>
      </c>
      <c r="AM43" s="40">
        <v>0</v>
      </c>
      <c r="AN43" s="40">
        <v>45995132</v>
      </c>
      <c r="AO43" s="40">
        <v>6866393</v>
      </c>
      <c r="AP43" s="40">
        <v>20863451</v>
      </c>
      <c r="AQ43" s="40">
        <v>61538289</v>
      </c>
      <c r="AR43" s="40">
        <v>49883813</v>
      </c>
      <c r="AS43" s="40">
        <v>1434638</v>
      </c>
      <c r="AT43" s="40">
        <v>1720000</v>
      </c>
      <c r="AU43" s="40">
        <v>0</v>
      </c>
      <c r="AV43" s="40">
        <v>0</v>
      </c>
      <c r="AW43" s="40">
        <v>5228728</v>
      </c>
      <c r="AX43" s="40">
        <v>90459</v>
      </c>
      <c r="AY43" s="40">
        <v>0</v>
      </c>
      <c r="AZ43" s="1">
        <v>18372567.190000001</v>
      </c>
      <c r="BA43" s="1">
        <v>9370009</v>
      </c>
      <c r="BB43" s="43"/>
      <c r="BC43" s="15">
        <v>2332847</v>
      </c>
      <c r="BD43" s="15">
        <v>4665693</v>
      </c>
      <c r="BE43" s="20">
        <v>50880500</v>
      </c>
      <c r="BF43" s="20">
        <v>48346346</v>
      </c>
      <c r="BG43" s="20">
        <v>94224536</v>
      </c>
      <c r="BH43" s="20">
        <v>80528039</v>
      </c>
      <c r="BI43" s="44"/>
      <c r="BJ43" s="44">
        <v>4474236</v>
      </c>
      <c r="BK43" s="44"/>
      <c r="BL43" s="5">
        <v>1759254757</v>
      </c>
      <c r="BM43" s="5">
        <v>1384183743</v>
      </c>
      <c r="BN43" s="15">
        <v>4378644</v>
      </c>
      <c r="BO43" s="3"/>
      <c r="BP43" s="1"/>
      <c r="BQ43" s="1"/>
      <c r="BR43" s="5"/>
      <c r="BS43" s="5"/>
      <c r="BT43" s="5"/>
    </row>
    <row r="44" spans="1:72" x14ac:dyDescent="0.25">
      <c r="A44" s="6" t="s">
        <v>98</v>
      </c>
      <c r="B44" s="40">
        <v>594428168</v>
      </c>
      <c r="C44" s="40">
        <v>183390372</v>
      </c>
      <c r="D44" s="40">
        <v>155124055</v>
      </c>
      <c r="E44" s="40">
        <v>15550000</v>
      </c>
      <c r="F44" s="40">
        <v>48866529</v>
      </c>
      <c r="G44" s="40">
        <v>13135766</v>
      </c>
      <c r="H44" s="40">
        <v>19276350</v>
      </c>
      <c r="I44" s="40">
        <v>3138700</v>
      </c>
      <c r="J44" s="40">
        <v>199500</v>
      </c>
      <c r="K44" s="40">
        <v>0</v>
      </c>
      <c r="L44" s="40">
        <v>243937102</v>
      </c>
      <c r="M44" s="40">
        <v>111983331</v>
      </c>
      <c r="N44" s="40">
        <v>2179</v>
      </c>
      <c r="O44" s="40">
        <v>565</v>
      </c>
      <c r="P44" s="40">
        <v>11383269</v>
      </c>
      <c r="Q44" s="40">
        <v>2604781</v>
      </c>
      <c r="R44" s="40">
        <v>1715213</v>
      </c>
      <c r="S44" s="40">
        <v>4704881</v>
      </c>
      <c r="T44" s="40">
        <v>2169493</v>
      </c>
      <c r="U44" s="40">
        <v>3291090</v>
      </c>
      <c r="V44" s="40">
        <v>11383269</v>
      </c>
      <c r="W44" s="40">
        <v>2869873</v>
      </c>
      <c r="X44" s="40">
        <v>1715213</v>
      </c>
      <c r="Y44" s="40">
        <v>4704881</v>
      </c>
      <c r="Z44" s="40">
        <v>1687704</v>
      </c>
      <c r="AA44" s="40">
        <v>3291090</v>
      </c>
      <c r="AB44" s="40">
        <v>-3990431</v>
      </c>
      <c r="AC44" s="40">
        <v>-245206</v>
      </c>
      <c r="AD44" s="40">
        <v>127828</v>
      </c>
      <c r="AE44" s="40">
        <v>71807</v>
      </c>
      <c r="AF44" s="40">
        <v>77263395</v>
      </c>
      <c r="AG44" s="40">
        <v>270046</v>
      </c>
      <c r="AH44" s="40">
        <v>0</v>
      </c>
      <c r="AI44" s="40">
        <v>1011082</v>
      </c>
      <c r="AJ44" s="3"/>
      <c r="AK44" s="42">
        <v>125692642</v>
      </c>
      <c r="AL44" s="42">
        <v>14344651</v>
      </c>
      <c r="AM44" s="40">
        <v>243440</v>
      </c>
      <c r="AN44" s="40">
        <v>34872930</v>
      </c>
      <c r="AO44" s="40">
        <v>1469058</v>
      </c>
      <c r="AP44" s="40">
        <v>72211991</v>
      </c>
      <c r="AQ44" s="40">
        <v>44749764</v>
      </c>
      <c r="AR44" s="40">
        <v>44098108</v>
      </c>
      <c r="AS44" s="40">
        <v>3120159</v>
      </c>
      <c r="AT44" s="40">
        <v>2767</v>
      </c>
      <c r="AU44" s="40">
        <v>0</v>
      </c>
      <c r="AV44" s="40">
        <v>44467</v>
      </c>
      <c r="AW44" s="40">
        <v>83147</v>
      </c>
      <c r="AX44" s="40">
        <v>414528</v>
      </c>
      <c r="AY44" s="40">
        <v>499540</v>
      </c>
      <c r="AZ44" s="1">
        <v>10332442.279999999</v>
      </c>
      <c r="BA44" s="1">
        <v>5269546</v>
      </c>
      <c r="BB44" s="43"/>
      <c r="BC44" s="15">
        <v>2132071</v>
      </c>
      <c r="BD44" s="15">
        <v>4264143</v>
      </c>
      <c r="BE44" s="20">
        <v>13107159</v>
      </c>
      <c r="BF44" s="20">
        <v>8666601</v>
      </c>
      <c r="BG44" s="20">
        <v>42936697</v>
      </c>
      <c r="BH44" s="20">
        <v>40194391</v>
      </c>
      <c r="BI44" s="44"/>
      <c r="BJ44" s="44"/>
      <c r="BK44" s="44"/>
      <c r="BL44" s="5">
        <v>1211345331</v>
      </c>
      <c r="BM44" s="5">
        <v>1015045429</v>
      </c>
      <c r="BN44" s="15">
        <v>1314270</v>
      </c>
      <c r="BO44" s="3"/>
      <c r="BP44" s="1"/>
      <c r="BQ44" s="1"/>
      <c r="BR44" s="5"/>
      <c r="BS44" s="5"/>
      <c r="BT44" s="5"/>
    </row>
    <row r="45" spans="1:72" x14ac:dyDescent="0.25">
      <c r="A45" s="6" t="s">
        <v>99</v>
      </c>
      <c r="B45" s="40">
        <v>164278434</v>
      </c>
      <c r="C45" s="40">
        <v>109560979</v>
      </c>
      <c r="D45" s="40">
        <v>31108887</v>
      </c>
      <c r="E45" s="40">
        <v>0</v>
      </c>
      <c r="F45" s="40">
        <v>22578250</v>
      </c>
      <c r="G45" s="40">
        <v>8939728</v>
      </c>
      <c r="H45" s="40">
        <v>11591800</v>
      </c>
      <c r="I45" s="40">
        <v>2741000</v>
      </c>
      <c r="J45" s="40">
        <v>63700</v>
      </c>
      <c r="K45" s="40">
        <v>0</v>
      </c>
      <c r="L45" s="40">
        <v>185247598</v>
      </c>
      <c r="M45" s="40">
        <v>54428049</v>
      </c>
      <c r="N45" s="40">
        <v>1063</v>
      </c>
      <c r="O45" s="40">
        <v>381</v>
      </c>
      <c r="P45" s="40">
        <v>4005058</v>
      </c>
      <c r="Q45" s="40">
        <v>3034688</v>
      </c>
      <c r="R45" s="40">
        <v>513317</v>
      </c>
      <c r="S45" s="40">
        <v>636489</v>
      </c>
      <c r="T45" s="40">
        <v>51700</v>
      </c>
      <c r="U45" s="40">
        <v>2696028</v>
      </c>
      <c r="V45" s="40">
        <v>4005058</v>
      </c>
      <c r="W45" s="40">
        <v>2422850</v>
      </c>
      <c r="X45" s="40">
        <v>513317</v>
      </c>
      <c r="Y45" s="40">
        <v>636489</v>
      </c>
      <c r="Z45" s="40">
        <v>29500</v>
      </c>
      <c r="AA45" s="40">
        <v>2696028</v>
      </c>
      <c r="AB45" s="40">
        <v>-2433722</v>
      </c>
      <c r="AC45" s="40">
        <v>-351495</v>
      </c>
      <c r="AD45" s="40">
        <v>3</v>
      </c>
      <c r="AE45" s="40">
        <v>0</v>
      </c>
      <c r="AF45" s="40">
        <v>0</v>
      </c>
      <c r="AG45" s="40">
        <v>179</v>
      </c>
      <c r="AH45" s="40">
        <v>3541867</v>
      </c>
      <c r="AI45" s="40">
        <v>181795</v>
      </c>
      <c r="AJ45" s="3"/>
      <c r="AK45" s="42">
        <v>51907034</v>
      </c>
      <c r="AL45" s="42">
        <v>1115494</v>
      </c>
      <c r="AM45" s="40">
        <v>0</v>
      </c>
      <c r="AN45" s="40">
        <v>6006703</v>
      </c>
      <c r="AO45" s="40">
        <v>89969</v>
      </c>
      <c r="AP45" s="40">
        <v>3831860</v>
      </c>
      <c r="AQ45" s="40">
        <v>4909850</v>
      </c>
      <c r="AR45" s="40">
        <v>892516</v>
      </c>
      <c r="AS45" s="40">
        <v>0</v>
      </c>
      <c r="AT45" s="40">
        <v>160709</v>
      </c>
      <c r="AU45" s="40">
        <v>0</v>
      </c>
      <c r="AV45" s="40">
        <v>0</v>
      </c>
      <c r="AW45" s="40">
        <v>8000</v>
      </c>
      <c r="AX45" s="40">
        <v>0</v>
      </c>
      <c r="AY45" s="40">
        <v>0</v>
      </c>
      <c r="AZ45" s="1">
        <v>4266967.62</v>
      </c>
      <c r="BA45" s="1">
        <v>2176153</v>
      </c>
      <c r="BB45" s="43"/>
      <c r="BC45" s="47">
        <v>0</v>
      </c>
      <c r="BD45" s="47">
        <v>0</v>
      </c>
      <c r="BE45" s="20">
        <v>8845551</v>
      </c>
      <c r="BF45" s="20">
        <v>8845551</v>
      </c>
      <c r="BG45" s="20">
        <v>35535128</v>
      </c>
      <c r="BH45" s="20">
        <v>35512211</v>
      </c>
      <c r="BI45" s="44"/>
      <c r="BJ45" s="44"/>
      <c r="BK45" s="44"/>
      <c r="BL45" s="5">
        <v>419234927</v>
      </c>
      <c r="BM45" s="5">
        <v>319678484</v>
      </c>
      <c r="BN45" s="15">
        <v>276762</v>
      </c>
      <c r="BO45" s="3"/>
      <c r="BP45" s="1"/>
      <c r="BQ45" s="1"/>
      <c r="BR45" s="5"/>
      <c r="BS45" s="5"/>
      <c r="BT45" s="5"/>
    </row>
    <row r="46" spans="1:72" x14ac:dyDescent="0.25">
      <c r="A46" s="6" t="s">
        <v>100</v>
      </c>
      <c r="B46" s="40">
        <v>867555957</v>
      </c>
      <c r="C46" s="40">
        <v>113802895</v>
      </c>
      <c r="D46" s="40">
        <v>268581869</v>
      </c>
      <c r="E46" s="40">
        <v>0</v>
      </c>
      <c r="F46" s="40">
        <v>104073775</v>
      </c>
      <c r="G46" s="40">
        <v>27518428</v>
      </c>
      <c r="H46" s="40">
        <v>15188026</v>
      </c>
      <c r="I46" s="40">
        <v>4290397</v>
      </c>
      <c r="J46" s="40">
        <v>134800</v>
      </c>
      <c r="K46" s="40">
        <v>33700</v>
      </c>
      <c r="L46" s="40">
        <v>102845788</v>
      </c>
      <c r="M46" s="40">
        <v>97388155</v>
      </c>
      <c r="N46" s="40">
        <v>3821</v>
      </c>
      <c r="O46" s="40">
        <v>1085</v>
      </c>
      <c r="P46" s="40">
        <v>6106614</v>
      </c>
      <c r="Q46" s="40">
        <v>2020764</v>
      </c>
      <c r="R46" s="40">
        <v>118400</v>
      </c>
      <c r="S46" s="40">
        <v>1680578</v>
      </c>
      <c r="T46" s="40">
        <v>243220</v>
      </c>
      <c r="U46" s="40">
        <v>123500</v>
      </c>
      <c r="V46" s="40">
        <v>6106614</v>
      </c>
      <c r="W46" s="40">
        <v>2081589</v>
      </c>
      <c r="X46" s="40">
        <v>118400</v>
      </c>
      <c r="Y46" s="40">
        <v>1680578</v>
      </c>
      <c r="Z46" s="40">
        <v>485722</v>
      </c>
      <c r="AA46" s="40">
        <v>123500</v>
      </c>
      <c r="AB46" s="40">
        <v>-18562280</v>
      </c>
      <c r="AC46" s="40">
        <v>-131900</v>
      </c>
      <c r="AD46" s="40">
        <v>149113</v>
      </c>
      <c r="AE46" s="40">
        <v>0</v>
      </c>
      <c r="AF46" s="40">
        <v>0</v>
      </c>
      <c r="AG46" s="40">
        <v>189408</v>
      </c>
      <c r="AH46" s="40">
        <v>731662</v>
      </c>
      <c r="AI46" s="40">
        <v>250680</v>
      </c>
      <c r="AJ46" s="3"/>
      <c r="AK46" s="42">
        <v>211435013</v>
      </c>
      <c r="AL46" s="42">
        <v>6335728</v>
      </c>
      <c r="AM46" s="40">
        <v>30000</v>
      </c>
      <c r="AN46" s="40">
        <v>41851744</v>
      </c>
      <c r="AO46" s="40">
        <v>1031699</v>
      </c>
      <c r="AP46" s="40">
        <v>114528480</v>
      </c>
      <c r="AQ46" s="40">
        <v>49401817</v>
      </c>
      <c r="AR46" s="40">
        <v>47282222</v>
      </c>
      <c r="AS46" s="40">
        <v>40686628</v>
      </c>
      <c r="AT46" s="40">
        <v>308890</v>
      </c>
      <c r="AU46" s="40">
        <v>0</v>
      </c>
      <c r="AV46" s="40">
        <v>0</v>
      </c>
      <c r="AW46" s="40">
        <v>0</v>
      </c>
      <c r="AX46" s="40">
        <v>0</v>
      </c>
      <c r="AY46" s="40">
        <v>915702</v>
      </c>
      <c r="AZ46" s="1">
        <v>17380811.109999999</v>
      </c>
      <c r="BA46" s="1">
        <v>8864214</v>
      </c>
      <c r="BB46" s="43">
        <v>26524352.329999998</v>
      </c>
      <c r="BC46" s="15">
        <v>29214972</v>
      </c>
      <c r="BD46" s="15">
        <v>58429943</v>
      </c>
      <c r="BE46" s="20">
        <v>44326046</v>
      </c>
      <c r="BF46" s="20">
        <v>44326046</v>
      </c>
      <c r="BG46" s="20">
        <v>88404710</v>
      </c>
      <c r="BH46" s="20">
        <v>73930769</v>
      </c>
      <c r="BI46" s="44"/>
      <c r="BJ46" s="44"/>
      <c r="BK46" s="44"/>
      <c r="BL46" s="5">
        <v>1717315065</v>
      </c>
      <c r="BM46" s="5">
        <v>1343208323</v>
      </c>
      <c r="BN46" s="15">
        <v>1868550</v>
      </c>
      <c r="BO46" s="3"/>
      <c r="BP46" s="1"/>
      <c r="BQ46" s="1"/>
      <c r="BR46" s="5"/>
      <c r="BS46" s="5"/>
      <c r="BT46" s="5"/>
    </row>
    <row r="47" spans="1:72" x14ac:dyDescent="0.25">
      <c r="A47" s="6" t="s">
        <v>101</v>
      </c>
      <c r="B47" s="40">
        <v>145743690</v>
      </c>
      <c r="C47" s="40">
        <v>78669850</v>
      </c>
      <c r="D47" s="40">
        <v>117525208</v>
      </c>
      <c r="E47" s="40">
        <v>284333329</v>
      </c>
      <c r="F47" s="40">
        <v>15841900</v>
      </c>
      <c r="G47" s="40">
        <v>3089200</v>
      </c>
      <c r="H47" s="40">
        <v>8130800</v>
      </c>
      <c r="I47" s="40">
        <v>1323100</v>
      </c>
      <c r="J47" s="40">
        <v>0</v>
      </c>
      <c r="K47" s="40">
        <v>0</v>
      </c>
      <c r="L47" s="40">
        <v>137950350</v>
      </c>
      <c r="M47" s="40">
        <v>58573400</v>
      </c>
      <c r="N47" s="40">
        <v>759</v>
      </c>
      <c r="O47" s="40">
        <v>151</v>
      </c>
      <c r="P47" s="40">
        <v>2763200</v>
      </c>
      <c r="Q47" s="40">
        <v>1912200</v>
      </c>
      <c r="R47" s="40">
        <v>5930900</v>
      </c>
      <c r="S47" s="40">
        <v>1686500</v>
      </c>
      <c r="T47" s="40">
        <v>1822300</v>
      </c>
      <c r="U47" s="40">
        <v>5153000</v>
      </c>
      <c r="V47" s="40">
        <v>2763200</v>
      </c>
      <c r="W47" s="40">
        <v>2061600</v>
      </c>
      <c r="X47" s="40">
        <v>5930900</v>
      </c>
      <c r="Y47" s="40">
        <v>1686500</v>
      </c>
      <c r="Z47" s="40">
        <v>987000</v>
      </c>
      <c r="AA47" s="40">
        <v>5153000</v>
      </c>
      <c r="AB47" s="40">
        <v>-1580700</v>
      </c>
      <c r="AC47" s="40">
        <v>-406185</v>
      </c>
      <c r="AD47" s="40">
        <v>87250</v>
      </c>
      <c r="AE47" s="40">
        <v>0</v>
      </c>
      <c r="AF47" s="40">
        <v>0</v>
      </c>
      <c r="AG47" s="40">
        <v>107269</v>
      </c>
      <c r="AH47" s="40">
        <v>600016</v>
      </c>
      <c r="AI47" s="40">
        <v>320476</v>
      </c>
      <c r="AJ47" s="40">
        <v>230000</v>
      </c>
      <c r="AK47" s="42">
        <v>48673038</v>
      </c>
      <c r="AL47" s="42">
        <v>1805081</v>
      </c>
      <c r="AM47" s="40">
        <v>0</v>
      </c>
      <c r="AN47" s="40">
        <v>29584240</v>
      </c>
      <c r="AO47" s="40">
        <v>32555594</v>
      </c>
      <c r="AP47" s="40">
        <v>480139735</v>
      </c>
      <c r="AQ47" s="40">
        <v>33369126</v>
      </c>
      <c r="AR47" s="40">
        <v>112767796</v>
      </c>
      <c r="AS47" s="40">
        <v>9004663</v>
      </c>
      <c r="AT47" s="40">
        <v>1486543</v>
      </c>
      <c r="AU47" s="40">
        <v>0</v>
      </c>
      <c r="AV47" s="40">
        <v>0</v>
      </c>
      <c r="AW47" s="40">
        <v>0</v>
      </c>
      <c r="AX47" s="40">
        <v>64023</v>
      </c>
      <c r="AY47" s="40">
        <v>12000</v>
      </c>
      <c r="AZ47" s="1">
        <v>4001120.1</v>
      </c>
      <c r="BA47" s="1">
        <v>2040571</v>
      </c>
      <c r="BB47" s="43">
        <v>24477720.210000001</v>
      </c>
      <c r="BC47" s="15">
        <v>1585068</v>
      </c>
      <c r="BD47" s="15">
        <v>3170135</v>
      </c>
      <c r="BE47" s="20">
        <v>12925565</v>
      </c>
      <c r="BF47" s="20">
        <v>12925565</v>
      </c>
      <c r="BG47" s="20">
        <v>33112553</v>
      </c>
      <c r="BH47" s="20">
        <v>31703668</v>
      </c>
      <c r="BI47" s="44"/>
      <c r="BJ47" s="44"/>
      <c r="BK47" s="44"/>
      <c r="BL47" s="5">
        <v>537331191</v>
      </c>
      <c r="BM47" s="5">
        <v>438598200</v>
      </c>
      <c r="BN47" s="15">
        <v>493500</v>
      </c>
      <c r="BO47" s="3"/>
      <c r="BP47" s="1"/>
      <c r="BQ47" s="1"/>
      <c r="BR47" s="5"/>
      <c r="BS47" s="5"/>
      <c r="BT47" s="5"/>
    </row>
    <row r="48" spans="1:72" x14ac:dyDescent="0.25">
      <c r="A48" s="6" t="s">
        <v>102</v>
      </c>
      <c r="B48" s="40">
        <v>3476800639</v>
      </c>
      <c r="C48" s="40">
        <v>363294810</v>
      </c>
      <c r="D48" s="40">
        <v>1292334276</v>
      </c>
      <c r="E48" s="40">
        <v>6750000</v>
      </c>
      <c r="F48" s="40">
        <v>184001100</v>
      </c>
      <c r="G48" s="40">
        <v>22003300</v>
      </c>
      <c r="H48" s="40">
        <v>24159200</v>
      </c>
      <c r="I48" s="40">
        <v>2221300</v>
      </c>
      <c r="J48" s="40">
        <v>370700</v>
      </c>
      <c r="K48" s="40">
        <v>0</v>
      </c>
      <c r="L48" s="40">
        <v>493675200</v>
      </c>
      <c r="M48" s="40">
        <v>236400100</v>
      </c>
      <c r="N48" s="40">
        <v>6338</v>
      </c>
      <c r="O48" s="40">
        <v>781</v>
      </c>
      <c r="P48" s="40">
        <v>53956600</v>
      </c>
      <c r="Q48" s="40">
        <v>3721100</v>
      </c>
      <c r="R48" s="40">
        <v>15126500</v>
      </c>
      <c r="S48" s="40">
        <v>16165900</v>
      </c>
      <c r="T48" s="40">
        <v>1379000</v>
      </c>
      <c r="U48" s="40">
        <v>2667900</v>
      </c>
      <c r="V48" s="40">
        <v>53956600</v>
      </c>
      <c r="W48" s="40">
        <v>3721100</v>
      </c>
      <c r="X48" s="40">
        <v>15126500</v>
      </c>
      <c r="Y48" s="40">
        <v>16165900</v>
      </c>
      <c r="Z48" s="40">
        <v>1379000</v>
      </c>
      <c r="AA48" s="40">
        <v>2667900</v>
      </c>
      <c r="AB48" s="40">
        <v>-11124191</v>
      </c>
      <c r="AC48" s="40">
        <v>10400916</v>
      </c>
      <c r="AD48" s="40">
        <v>87557</v>
      </c>
      <c r="AE48" s="40">
        <v>0</v>
      </c>
      <c r="AF48" s="40">
        <v>0</v>
      </c>
      <c r="AG48" s="40">
        <v>265324</v>
      </c>
      <c r="AH48" s="3"/>
      <c r="AI48" s="40">
        <v>832723</v>
      </c>
      <c r="AJ48" s="3"/>
      <c r="AK48" s="42">
        <v>531923124</v>
      </c>
      <c r="AL48" s="42">
        <v>14761541</v>
      </c>
      <c r="AM48" s="40">
        <v>59000</v>
      </c>
      <c r="AN48" s="40">
        <v>169719042</v>
      </c>
      <c r="AO48" s="40">
        <v>15508283</v>
      </c>
      <c r="AP48" s="40">
        <v>475151496</v>
      </c>
      <c r="AQ48" s="40">
        <v>158368618</v>
      </c>
      <c r="AR48" s="40">
        <v>117035130</v>
      </c>
      <c r="AS48" s="40">
        <v>35217727</v>
      </c>
      <c r="AT48" s="40">
        <v>1538</v>
      </c>
      <c r="AU48" s="40">
        <v>0</v>
      </c>
      <c r="AV48" s="40">
        <v>18010</v>
      </c>
      <c r="AW48" s="40">
        <v>16820194</v>
      </c>
      <c r="AX48" s="40">
        <v>594221</v>
      </c>
      <c r="AY48" s="40">
        <v>2906960</v>
      </c>
      <c r="AZ48" s="1">
        <v>43726226.850000001</v>
      </c>
      <c r="BA48" s="1">
        <v>22300376</v>
      </c>
      <c r="BB48" s="43">
        <v>2292227.98</v>
      </c>
      <c r="BC48" s="15">
        <v>5171050</v>
      </c>
      <c r="BD48" s="15">
        <v>10342100</v>
      </c>
      <c r="BE48" s="20">
        <v>36751878</v>
      </c>
      <c r="BF48" s="20">
        <v>30483881</v>
      </c>
      <c r="BG48" s="20">
        <v>158196942</v>
      </c>
      <c r="BH48" s="20">
        <v>150108632</v>
      </c>
      <c r="BI48" s="44"/>
      <c r="BJ48" s="44"/>
      <c r="BK48" s="44"/>
      <c r="BL48" s="5">
        <v>6231606995</v>
      </c>
      <c r="BM48" s="5">
        <v>5476858391</v>
      </c>
      <c r="BN48" s="15">
        <v>12150800</v>
      </c>
      <c r="BO48" s="3"/>
      <c r="BP48" s="1"/>
      <c r="BQ48" s="1"/>
      <c r="BR48" s="5"/>
      <c r="BS48" s="5"/>
      <c r="BT48" s="5"/>
    </row>
    <row r="49" spans="1:72" x14ac:dyDescent="0.25">
      <c r="A49" s="6" t="s">
        <v>103</v>
      </c>
      <c r="B49" s="40">
        <v>373957916</v>
      </c>
      <c r="C49" s="40">
        <v>37669404</v>
      </c>
      <c r="D49" s="40">
        <v>151091508</v>
      </c>
      <c r="E49" s="40">
        <v>0</v>
      </c>
      <c r="F49" s="40">
        <v>54336199</v>
      </c>
      <c r="G49" s="40">
        <v>66586583</v>
      </c>
      <c r="H49" s="40">
        <v>2328195</v>
      </c>
      <c r="I49" s="40">
        <v>1490560</v>
      </c>
      <c r="J49" s="40">
        <v>312800</v>
      </c>
      <c r="K49" s="40">
        <v>122550</v>
      </c>
      <c r="L49" s="40">
        <v>95471003</v>
      </c>
      <c r="M49" s="40">
        <v>136959162</v>
      </c>
      <c r="N49" s="40">
        <v>2016</v>
      </c>
      <c r="O49" s="40">
        <v>2511</v>
      </c>
      <c r="P49" s="40">
        <v>3772160</v>
      </c>
      <c r="Q49" s="40">
        <v>0</v>
      </c>
      <c r="R49" s="40">
        <v>32400</v>
      </c>
      <c r="S49" s="40">
        <v>3509784</v>
      </c>
      <c r="T49" s="40">
        <v>129550</v>
      </c>
      <c r="U49" s="40">
        <v>917700</v>
      </c>
      <c r="V49" s="40">
        <v>3772160</v>
      </c>
      <c r="W49" s="40">
        <v>0</v>
      </c>
      <c r="X49" s="40">
        <v>32400</v>
      </c>
      <c r="Y49" s="40">
        <v>3509784</v>
      </c>
      <c r="Z49" s="40">
        <v>203175</v>
      </c>
      <c r="AA49" s="40">
        <v>917700</v>
      </c>
      <c r="AB49" s="40">
        <v>-4052025</v>
      </c>
      <c r="AC49" s="40">
        <v>0</v>
      </c>
      <c r="AD49" s="40">
        <v>236052</v>
      </c>
      <c r="AE49" s="40">
        <v>0</v>
      </c>
      <c r="AF49" s="40">
        <v>0</v>
      </c>
      <c r="AG49" s="40">
        <v>208202</v>
      </c>
      <c r="AH49" s="40">
        <v>8732142</v>
      </c>
      <c r="AI49" s="40">
        <v>43859939</v>
      </c>
      <c r="AJ49" s="40">
        <v>211393890</v>
      </c>
      <c r="AK49" s="42">
        <v>149227951</v>
      </c>
      <c r="AL49" s="42">
        <v>1433235</v>
      </c>
      <c r="AM49" s="40">
        <v>0</v>
      </c>
      <c r="AN49" s="40">
        <v>192792939</v>
      </c>
      <c r="AO49" s="40">
        <v>6409941</v>
      </c>
      <c r="AP49" s="40">
        <v>36562398</v>
      </c>
      <c r="AQ49" s="40">
        <v>38438865</v>
      </c>
      <c r="AR49" s="40">
        <v>10875149</v>
      </c>
      <c r="AS49" s="40">
        <v>0</v>
      </c>
      <c r="AT49" s="40">
        <v>13885</v>
      </c>
      <c r="AU49" s="40">
        <v>0</v>
      </c>
      <c r="AV49" s="40">
        <v>0</v>
      </c>
      <c r="AW49" s="40">
        <v>0</v>
      </c>
      <c r="AX49" s="40">
        <v>0</v>
      </c>
      <c r="AY49" s="40">
        <v>268500</v>
      </c>
      <c r="AZ49" s="1">
        <v>12267139.640000001</v>
      </c>
      <c r="BA49" s="1">
        <v>6256241</v>
      </c>
      <c r="BB49" s="43"/>
      <c r="BC49" s="15">
        <v>7329228</v>
      </c>
      <c r="BD49" s="15">
        <v>14658457</v>
      </c>
      <c r="BE49" s="20">
        <v>10399718</v>
      </c>
      <c r="BF49" s="20">
        <v>10399718</v>
      </c>
      <c r="BG49" s="20">
        <v>43908607</v>
      </c>
      <c r="BH49" s="20">
        <v>39921433</v>
      </c>
      <c r="BI49" s="44"/>
      <c r="BJ49" s="44"/>
      <c r="BK49" s="44"/>
      <c r="BL49" s="5">
        <v>1278914350</v>
      </c>
      <c r="BM49" s="5">
        <v>1064346544</v>
      </c>
      <c r="BN49" s="15">
        <v>678421</v>
      </c>
      <c r="BO49" s="3"/>
      <c r="BP49" s="1"/>
      <c r="BQ49" s="1"/>
      <c r="BR49" s="5"/>
      <c r="BS49" s="5"/>
      <c r="BT49" s="5"/>
    </row>
    <row r="50" spans="1:72" x14ac:dyDescent="0.25">
      <c r="A50" s="6" t="s">
        <v>104</v>
      </c>
      <c r="B50" s="40">
        <v>457012720</v>
      </c>
      <c r="C50" s="40">
        <v>215902517</v>
      </c>
      <c r="D50" s="40">
        <v>104449938</v>
      </c>
      <c r="E50" s="40">
        <v>0</v>
      </c>
      <c r="F50" s="40">
        <v>32557176</v>
      </c>
      <c r="G50" s="40">
        <v>4734800</v>
      </c>
      <c r="H50" s="40">
        <v>12806060</v>
      </c>
      <c r="I50" s="40">
        <v>1707957</v>
      </c>
      <c r="J50" s="40">
        <v>67400</v>
      </c>
      <c r="K50" s="40">
        <v>0</v>
      </c>
      <c r="L50" s="40">
        <v>308883332</v>
      </c>
      <c r="M50" s="40">
        <v>149679062</v>
      </c>
      <c r="N50" s="40">
        <v>1363</v>
      </c>
      <c r="O50" s="40">
        <v>198</v>
      </c>
      <c r="P50" s="40">
        <v>2000085</v>
      </c>
      <c r="Q50" s="40">
        <v>3282608</v>
      </c>
      <c r="R50" s="40">
        <v>414175</v>
      </c>
      <c r="S50" s="40">
        <v>49900</v>
      </c>
      <c r="T50" s="40">
        <v>0</v>
      </c>
      <c r="U50" s="40">
        <v>0</v>
      </c>
      <c r="V50" s="40">
        <v>2000085</v>
      </c>
      <c r="W50" s="40">
        <v>3282608</v>
      </c>
      <c r="X50" s="40">
        <v>414175</v>
      </c>
      <c r="Y50" s="40">
        <v>49900</v>
      </c>
      <c r="Z50" s="40">
        <v>0</v>
      </c>
      <c r="AA50" s="40">
        <v>0</v>
      </c>
      <c r="AB50" s="40">
        <v>-2581838</v>
      </c>
      <c r="AC50" s="40">
        <v>-323336</v>
      </c>
      <c r="AD50" s="40">
        <v>0</v>
      </c>
      <c r="AE50" s="40">
        <v>0</v>
      </c>
      <c r="AF50" s="40">
        <v>0</v>
      </c>
      <c r="AG50" s="40">
        <v>195326</v>
      </c>
      <c r="AH50" s="3"/>
      <c r="AI50" s="3"/>
      <c r="AJ50" s="3"/>
      <c r="AK50" s="42">
        <v>105838077</v>
      </c>
      <c r="AL50" s="42">
        <v>2624878</v>
      </c>
      <c r="AM50" s="40">
        <v>0</v>
      </c>
      <c r="AN50" s="40">
        <v>21574592</v>
      </c>
      <c r="AO50" s="40">
        <v>3486543</v>
      </c>
      <c r="AP50" s="40">
        <v>91183530</v>
      </c>
      <c r="AQ50" s="40">
        <v>15277624</v>
      </c>
      <c r="AR50" s="40">
        <v>13479775</v>
      </c>
      <c r="AS50" s="40">
        <v>659100</v>
      </c>
      <c r="AT50" s="40">
        <v>704285</v>
      </c>
      <c r="AU50" s="40">
        <v>0</v>
      </c>
      <c r="AV50" s="40">
        <v>18381</v>
      </c>
      <c r="AW50" s="40">
        <v>16456936</v>
      </c>
      <c r="AX50" s="40">
        <v>8250</v>
      </c>
      <c r="AY50" s="40">
        <v>221700</v>
      </c>
      <c r="AZ50" s="1">
        <v>8700316.9399999995</v>
      </c>
      <c r="BA50" s="1">
        <v>4437162</v>
      </c>
      <c r="BB50" s="43"/>
      <c r="BC50" s="15">
        <v>2109694</v>
      </c>
      <c r="BD50" s="15">
        <v>4219388</v>
      </c>
      <c r="BE50" s="20">
        <v>11041434</v>
      </c>
      <c r="BF50" s="20">
        <v>11041434</v>
      </c>
      <c r="BG50" s="20">
        <v>41409211</v>
      </c>
      <c r="BH50" s="20">
        <v>38215682</v>
      </c>
      <c r="BI50" s="44"/>
      <c r="BJ50" s="44"/>
      <c r="BK50" s="44"/>
      <c r="BL50" s="5">
        <v>981970861</v>
      </c>
      <c r="BM50" s="5">
        <v>817703934</v>
      </c>
      <c r="BN50" s="15">
        <v>1109334</v>
      </c>
      <c r="BO50" s="3"/>
      <c r="BP50" s="1"/>
      <c r="BQ50" s="1"/>
      <c r="BR50" s="5"/>
      <c r="BS50" s="5"/>
      <c r="BT50" s="5"/>
    </row>
    <row r="51" spans="1:72" x14ac:dyDescent="0.25">
      <c r="A51" s="6" t="s">
        <v>105</v>
      </c>
      <c r="B51" s="40">
        <v>278780439</v>
      </c>
      <c r="C51" s="40">
        <v>189290016</v>
      </c>
      <c r="D51" s="40">
        <v>126513423</v>
      </c>
      <c r="E51" s="40">
        <v>0</v>
      </c>
      <c r="F51" s="40">
        <v>33971600</v>
      </c>
      <c r="G51" s="40">
        <v>9984050</v>
      </c>
      <c r="H51" s="40">
        <v>16790000</v>
      </c>
      <c r="I51" s="40">
        <v>3041900</v>
      </c>
      <c r="J51" s="40">
        <v>111400</v>
      </c>
      <c r="K51" s="40">
        <v>0</v>
      </c>
      <c r="L51" s="40">
        <v>276736759</v>
      </c>
      <c r="M51" s="40">
        <v>118583262</v>
      </c>
      <c r="N51" s="40">
        <v>1616</v>
      </c>
      <c r="O51" s="40">
        <v>456</v>
      </c>
      <c r="P51" s="40">
        <v>2388200</v>
      </c>
      <c r="Q51" s="40">
        <v>2746500</v>
      </c>
      <c r="R51" s="40">
        <v>654000</v>
      </c>
      <c r="S51" s="40">
        <v>1753355</v>
      </c>
      <c r="T51" s="40">
        <v>356750</v>
      </c>
      <c r="U51" s="40">
        <v>507600</v>
      </c>
      <c r="V51" s="40">
        <v>2388200</v>
      </c>
      <c r="W51" s="40">
        <v>2800500</v>
      </c>
      <c r="X51" s="40">
        <v>654000</v>
      </c>
      <c r="Y51" s="40">
        <v>1753355</v>
      </c>
      <c r="Z51" s="40">
        <v>433950</v>
      </c>
      <c r="AA51" s="40">
        <v>507600</v>
      </c>
      <c r="AB51" s="40">
        <v>-1793950</v>
      </c>
      <c r="AC51" s="40">
        <v>220418</v>
      </c>
      <c r="AD51" s="40">
        <v>105077</v>
      </c>
      <c r="AE51" s="40">
        <v>0</v>
      </c>
      <c r="AF51" s="40">
        <v>0</v>
      </c>
      <c r="AG51" s="40">
        <v>235693</v>
      </c>
      <c r="AH51" s="40">
        <v>1817051</v>
      </c>
      <c r="AI51" s="40">
        <v>165893</v>
      </c>
      <c r="AJ51" s="3"/>
      <c r="AK51" s="42">
        <v>73926848</v>
      </c>
      <c r="AL51" s="42">
        <v>3393648</v>
      </c>
      <c r="AM51" s="40">
        <v>0</v>
      </c>
      <c r="AN51" s="40">
        <v>15138784</v>
      </c>
      <c r="AO51" s="40">
        <v>279182</v>
      </c>
      <c r="AP51" s="40">
        <v>180177490</v>
      </c>
      <c r="AQ51" s="40">
        <v>40171067</v>
      </c>
      <c r="AR51" s="40">
        <v>29571333</v>
      </c>
      <c r="AS51" s="40">
        <v>1245606</v>
      </c>
      <c r="AT51" s="40">
        <v>43807</v>
      </c>
      <c r="AU51" s="40">
        <v>0</v>
      </c>
      <c r="AV51" s="40">
        <v>87566</v>
      </c>
      <c r="AW51" s="40">
        <v>3058275</v>
      </c>
      <c r="AX51" s="40">
        <v>244022</v>
      </c>
      <c r="AY51" s="40">
        <v>10000</v>
      </c>
      <c r="AZ51" s="1">
        <v>6077085.1699999999</v>
      </c>
      <c r="BA51" s="1">
        <v>3099313</v>
      </c>
      <c r="BB51" s="43"/>
      <c r="BC51" s="15">
        <v>1385536</v>
      </c>
      <c r="BD51" s="15">
        <v>2771071</v>
      </c>
      <c r="BE51" s="20">
        <v>9668808</v>
      </c>
      <c r="BF51" s="20">
        <v>9668808</v>
      </c>
      <c r="BG51" s="20">
        <v>64623369</v>
      </c>
      <c r="BH51" s="20">
        <v>62253275</v>
      </c>
      <c r="BI51" s="44"/>
      <c r="BJ51" s="44"/>
      <c r="BK51" s="44"/>
      <c r="BL51" s="5">
        <v>805883283</v>
      </c>
      <c r="BM51" s="5">
        <v>652155855</v>
      </c>
      <c r="BN51" s="15">
        <v>739201</v>
      </c>
      <c r="BO51" s="3"/>
      <c r="BP51" s="1"/>
      <c r="BQ51" s="1"/>
      <c r="BR51" s="5"/>
      <c r="BS51" s="5"/>
      <c r="BT51" s="5"/>
    </row>
    <row r="52" spans="1:72" x14ac:dyDescent="0.25">
      <c r="A52" s="6" t="s">
        <v>106</v>
      </c>
      <c r="B52" s="40">
        <v>1239088817</v>
      </c>
      <c r="C52" s="40">
        <v>234355534</v>
      </c>
      <c r="D52" s="40">
        <v>482075622</v>
      </c>
      <c r="E52" s="40">
        <v>113952725</v>
      </c>
      <c r="F52" s="40">
        <v>105686760</v>
      </c>
      <c r="G52" s="40">
        <v>15713988</v>
      </c>
      <c r="H52" s="40">
        <v>9794806</v>
      </c>
      <c r="I52" s="40">
        <v>604400</v>
      </c>
      <c r="J52" s="40">
        <v>235900</v>
      </c>
      <c r="K52" s="40">
        <v>33700</v>
      </c>
      <c r="L52" s="40">
        <v>399196408</v>
      </c>
      <c r="M52" s="40">
        <v>99490408</v>
      </c>
      <c r="N52" s="40">
        <v>3572</v>
      </c>
      <c r="O52" s="40">
        <v>543</v>
      </c>
      <c r="P52" s="40">
        <v>10086971</v>
      </c>
      <c r="Q52" s="40">
        <v>2699400</v>
      </c>
      <c r="R52" s="40">
        <v>6594440</v>
      </c>
      <c r="S52" s="40">
        <v>11995816</v>
      </c>
      <c r="T52" s="40">
        <v>2298900</v>
      </c>
      <c r="U52" s="40">
        <v>4694653</v>
      </c>
      <c r="V52" s="40">
        <v>10086971</v>
      </c>
      <c r="W52" s="40">
        <v>3138850</v>
      </c>
      <c r="X52" s="40">
        <v>6594440</v>
      </c>
      <c r="Y52" s="40">
        <v>11995816</v>
      </c>
      <c r="Z52" s="40">
        <v>4511474</v>
      </c>
      <c r="AA52" s="40">
        <v>4694653</v>
      </c>
      <c r="AB52" s="40">
        <v>-5572640</v>
      </c>
      <c r="AC52" s="40">
        <v>-4377673</v>
      </c>
      <c r="AD52" s="40">
        <v>36962</v>
      </c>
      <c r="AE52" s="40">
        <v>5131</v>
      </c>
      <c r="AF52" s="40">
        <v>18490510</v>
      </c>
      <c r="AG52" s="40">
        <v>244265</v>
      </c>
      <c r="AH52" s="40">
        <v>28342716</v>
      </c>
      <c r="AI52" s="40">
        <v>0</v>
      </c>
      <c r="AJ52" s="40">
        <v>52370820</v>
      </c>
      <c r="AK52" s="42">
        <v>262470410</v>
      </c>
      <c r="AL52" s="42">
        <v>13870635</v>
      </c>
      <c r="AM52" s="40">
        <v>246057</v>
      </c>
      <c r="AN52" s="40">
        <v>105216195</v>
      </c>
      <c r="AO52" s="40">
        <v>15284049</v>
      </c>
      <c r="AP52" s="40">
        <v>333643199</v>
      </c>
      <c r="AQ52" s="40">
        <v>106533720</v>
      </c>
      <c r="AR52" s="40">
        <v>119846176</v>
      </c>
      <c r="AS52" s="40">
        <v>38546283</v>
      </c>
      <c r="AT52" s="40">
        <v>3144088</v>
      </c>
      <c r="AU52" s="40">
        <v>0</v>
      </c>
      <c r="AV52" s="40">
        <v>10055703</v>
      </c>
      <c r="AW52" s="40">
        <v>39938277</v>
      </c>
      <c r="AX52" s="40">
        <v>25078841</v>
      </c>
      <c r="AY52" s="40">
        <v>5906510</v>
      </c>
      <c r="AZ52" s="1">
        <v>21576126.649999999</v>
      </c>
      <c r="BA52" s="1">
        <v>11003825</v>
      </c>
      <c r="BB52" s="43">
        <v>61644559.590000004</v>
      </c>
      <c r="BC52" s="15">
        <v>2675345</v>
      </c>
      <c r="BD52" s="15">
        <v>5350691</v>
      </c>
      <c r="BE52" s="20">
        <v>26237804</v>
      </c>
      <c r="BF52" s="20">
        <v>26237804</v>
      </c>
      <c r="BG52" s="20">
        <v>85543957</v>
      </c>
      <c r="BH52" s="20">
        <v>82612874</v>
      </c>
      <c r="BI52" s="44"/>
      <c r="BJ52" s="44"/>
      <c r="BK52" s="44"/>
      <c r="BL52" s="5">
        <v>2662138366</v>
      </c>
      <c r="BM52" s="5">
        <v>2263267473</v>
      </c>
      <c r="BN52" s="15">
        <v>4561962</v>
      </c>
      <c r="BO52" s="3"/>
      <c r="BP52" s="1"/>
      <c r="BQ52" s="1"/>
      <c r="BR52" s="5"/>
      <c r="BS52" s="5"/>
      <c r="BT52" s="5"/>
    </row>
    <row r="53" spans="1:72" x14ac:dyDescent="0.25">
      <c r="A53" s="6" t="s">
        <v>107</v>
      </c>
      <c r="B53" s="40">
        <v>426761400</v>
      </c>
      <c r="C53" s="40">
        <v>174732920</v>
      </c>
      <c r="D53" s="40">
        <v>67380500</v>
      </c>
      <c r="E53" s="40">
        <v>0</v>
      </c>
      <c r="F53" s="40">
        <v>29758100</v>
      </c>
      <c r="G53" s="40">
        <v>5141600</v>
      </c>
      <c r="H53" s="40">
        <v>10091100</v>
      </c>
      <c r="I53" s="40">
        <v>471800</v>
      </c>
      <c r="J53" s="40">
        <v>33700</v>
      </c>
      <c r="K53" s="40">
        <v>0</v>
      </c>
      <c r="L53" s="40">
        <v>297337114</v>
      </c>
      <c r="M53" s="40">
        <v>124457320</v>
      </c>
      <c r="N53" s="40">
        <v>1211</v>
      </c>
      <c r="O53" s="40">
        <v>173</v>
      </c>
      <c r="P53" s="40">
        <v>2538500</v>
      </c>
      <c r="Q53" s="40">
        <v>3238700</v>
      </c>
      <c r="R53" s="40">
        <v>749700</v>
      </c>
      <c r="S53" s="40">
        <v>5196300</v>
      </c>
      <c r="T53" s="40">
        <v>3023000</v>
      </c>
      <c r="U53" s="40">
        <v>784000</v>
      </c>
      <c r="V53" s="40">
        <v>2538500</v>
      </c>
      <c r="W53" s="40">
        <v>3829400</v>
      </c>
      <c r="X53" s="40">
        <v>749700</v>
      </c>
      <c r="Y53" s="40">
        <v>5196300</v>
      </c>
      <c r="Z53" s="40">
        <v>1073700</v>
      </c>
      <c r="AA53" s="40">
        <v>784000</v>
      </c>
      <c r="AB53" s="40">
        <v>-2318000</v>
      </c>
      <c r="AC53" s="40">
        <v>-130995</v>
      </c>
      <c r="AD53" s="40">
        <v>31512</v>
      </c>
      <c r="AE53" s="40">
        <v>84946</v>
      </c>
      <c r="AF53" s="40">
        <v>144004300</v>
      </c>
      <c r="AG53" s="40">
        <v>168799</v>
      </c>
      <c r="AH53" s="3"/>
      <c r="AI53" s="40">
        <v>387516</v>
      </c>
      <c r="AJ53" s="3"/>
      <c r="AK53" s="42">
        <v>87503087</v>
      </c>
      <c r="AL53" s="42">
        <v>2243743</v>
      </c>
      <c r="AM53" s="40">
        <v>20000</v>
      </c>
      <c r="AN53" s="40">
        <v>15176522</v>
      </c>
      <c r="AO53" s="40">
        <v>1194721</v>
      </c>
      <c r="AP53" s="40">
        <v>34134031</v>
      </c>
      <c r="AQ53" s="40">
        <v>14394331</v>
      </c>
      <c r="AR53" s="40">
        <v>20329553</v>
      </c>
      <c r="AS53" s="40">
        <v>4339542</v>
      </c>
      <c r="AT53" s="40">
        <v>2321244</v>
      </c>
      <c r="AU53" s="40">
        <v>0</v>
      </c>
      <c r="AV53" s="40">
        <v>0</v>
      </c>
      <c r="AW53" s="40">
        <v>55248</v>
      </c>
      <c r="AX53" s="40">
        <v>0</v>
      </c>
      <c r="AY53" s="40">
        <v>328500</v>
      </c>
      <c r="AZ53" s="1">
        <v>7193106.7800000003</v>
      </c>
      <c r="BA53" s="1">
        <v>3668484</v>
      </c>
      <c r="BB53" s="43">
        <v>4052331.61</v>
      </c>
      <c r="BC53" s="15">
        <v>932393</v>
      </c>
      <c r="BD53" s="15">
        <v>1864785</v>
      </c>
      <c r="BE53" s="20">
        <v>8602975</v>
      </c>
      <c r="BF53" s="20">
        <v>8602975</v>
      </c>
      <c r="BG53" s="20">
        <v>38990588</v>
      </c>
      <c r="BH53" s="20">
        <v>37804823</v>
      </c>
      <c r="BI53" s="44"/>
      <c r="BJ53" s="44"/>
      <c r="BK53" s="44"/>
      <c r="BL53" s="5">
        <v>840783415</v>
      </c>
      <c r="BM53" s="5">
        <v>700027910</v>
      </c>
      <c r="BN53" s="15">
        <v>440200</v>
      </c>
      <c r="BO53" s="3"/>
      <c r="BP53" s="1"/>
      <c r="BQ53" s="1"/>
      <c r="BR53" s="5"/>
      <c r="BS53" s="5"/>
      <c r="BT53" s="5"/>
    </row>
    <row r="54" spans="1:72" x14ac:dyDescent="0.25">
      <c r="A54" s="6" t="s">
        <v>108</v>
      </c>
      <c r="B54" s="40">
        <v>62966001</v>
      </c>
      <c r="C54" s="40">
        <v>78904165</v>
      </c>
      <c r="D54" s="40">
        <v>12046403</v>
      </c>
      <c r="E54" s="40">
        <v>0</v>
      </c>
      <c r="F54" s="40">
        <v>12976875</v>
      </c>
      <c r="G54" s="40">
        <v>2219100</v>
      </c>
      <c r="H54" s="40">
        <v>5759850</v>
      </c>
      <c r="I54" s="40">
        <v>269600</v>
      </c>
      <c r="J54" s="40">
        <v>10000</v>
      </c>
      <c r="K54" s="40">
        <v>0</v>
      </c>
      <c r="L54" s="40">
        <v>132201477</v>
      </c>
      <c r="M54" s="40">
        <v>24947450</v>
      </c>
      <c r="N54" s="40">
        <v>620</v>
      </c>
      <c r="O54" s="40">
        <v>97</v>
      </c>
      <c r="P54" s="40">
        <v>1756300</v>
      </c>
      <c r="Q54" s="40">
        <v>439050</v>
      </c>
      <c r="R54" s="40">
        <v>200000</v>
      </c>
      <c r="S54" s="40">
        <v>549700</v>
      </c>
      <c r="T54" s="40">
        <v>215262</v>
      </c>
      <c r="U54" s="40">
        <v>105000</v>
      </c>
      <c r="V54" s="40">
        <v>1756300</v>
      </c>
      <c r="W54" s="40">
        <v>441400</v>
      </c>
      <c r="X54" s="40">
        <v>200000</v>
      </c>
      <c r="Y54" s="40">
        <v>549700</v>
      </c>
      <c r="Z54" s="40">
        <v>207004</v>
      </c>
      <c r="AA54" s="40">
        <v>105000</v>
      </c>
      <c r="AB54" s="40">
        <v>-373408</v>
      </c>
      <c r="AC54" s="40">
        <v>-941542</v>
      </c>
      <c r="AD54" s="40">
        <v>27522</v>
      </c>
      <c r="AE54" s="40">
        <v>94970</v>
      </c>
      <c r="AF54" s="40">
        <v>84113803</v>
      </c>
      <c r="AG54" s="40">
        <v>145745</v>
      </c>
      <c r="AH54" s="3"/>
      <c r="AI54" s="40">
        <v>17648</v>
      </c>
      <c r="AJ54" s="3"/>
      <c r="AK54" s="42">
        <v>31547776</v>
      </c>
      <c r="AL54" s="42">
        <v>720420</v>
      </c>
      <c r="AM54" s="40">
        <v>0</v>
      </c>
      <c r="AN54" s="40">
        <v>9191133</v>
      </c>
      <c r="AO54" s="40">
        <v>9256</v>
      </c>
      <c r="AP54" s="40">
        <v>463532</v>
      </c>
      <c r="AQ54" s="40">
        <v>6987419</v>
      </c>
      <c r="AR54" s="40">
        <v>2051609</v>
      </c>
      <c r="AS54" s="40">
        <v>0</v>
      </c>
      <c r="AT54" s="40">
        <v>1302840</v>
      </c>
      <c r="AU54" s="40">
        <v>0</v>
      </c>
      <c r="AV54" s="40">
        <v>23137</v>
      </c>
      <c r="AW54" s="40">
        <v>1917189</v>
      </c>
      <c r="AX54" s="40">
        <v>0</v>
      </c>
      <c r="AY54" s="40">
        <v>0</v>
      </c>
      <c r="AZ54" s="1">
        <v>2593354.4700000002</v>
      </c>
      <c r="BA54" s="1">
        <v>1322611</v>
      </c>
      <c r="BB54" s="43">
        <v>7940932.6399999997</v>
      </c>
      <c r="BC54" s="15">
        <v>1485612</v>
      </c>
      <c r="BD54" s="15">
        <v>2971225</v>
      </c>
      <c r="BE54" s="20">
        <v>25182951</v>
      </c>
      <c r="BF54" s="20">
        <v>25182951</v>
      </c>
      <c r="BG54" s="20">
        <v>35097702</v>
      </c>
      <c r="BH54" s="20">
        <v>25384264</v>
      </c>
      <c r="BI54" s="44"/>
      <c r="BJ54" s="44"/>
      <c r="BK54" s="44"/>
      <c r="BL54" s="5">
        <v>255765659</v>
      </c>
      <c r="BM54" s="5">
        <v>170122025</v>
      </c>
      <c r="BN54" s="15">
        <v>335700</v>
      </c>
      <c r="BO54" s="3"/>
      <c r="BP54" s="1"/>
      <c r="BQ54" s="1"/>
      <c r="BR54" s="5"/>
      <c r="BS54" s="5"/>
      <c r="BT54" s="5"/>
    </row>
    <row r="55" spans="1:72" x14ac:dyDescent="0.25">
      <c r="A55" s="6" t="s">
        <v>109</v>
      </c>
      <c r="B55" s="40">
        <v>1036373047</v>
      </c>
      <c r="C55" s="40">
        <v>205706259</v>
      </c>
      <c r="D55" s="40">
        <v>390838506</v>
      </c>
      <c r="E55" s="40">
        <v>0</v>
      </c>
      <c r="F55" s="40">
        <v>99940735</v>
      </c>
      <c r="G55" s="40">
        <v>30462845</v>
      </c>
      <c r="H55" s="40">
        <v>13190200</v>
      </c>
      <c r="I55" s="40">
        <v>2796500</v>
      </c>
      <c r="J55" s="40">
        <v>269600</v>
      </c>
      <c r="K55" s="40">
        <v>0</v>
      </c>
      <c r="L55" s="40">
        <v>249911850</v>
      </c>
      <c r="M55" s="40">
        <v>124576900</v>
      </c>
      <c r="N55" s="40">
        <v>3656</v>
      </c>
      <c r="O55" s="40">
        <v>1159</v>
      </c>
      <c r="P55" s="40">
        <v>13962247</v>
      </c>
      <c r="Q55" s="40">
        <v>4615120</v>
      </c>
      <c r="R55" s="40">
        <v>20615400</v>
      </c>
      <c r="S55" s="40">
        <v>12993560</v>
      </c>
      <c r="T55" s="40">
        <v>1997255</v>
      </c>
      <c r="U55" s="40">
        <v>6693530</v>
      </c>
      <c r="V55" s="40">
        <v>13962247</v>
      </c>
      <c r="W55" s="40">
        <v>6790025</v>
      </c>
      <c r="X55" s="40">
        <v>20615400</v>
      </c>
      <c r="Y55" s="40">
        <v>12993560</v>
      </c>
      <c r="Z55" s="40">
        <v>3484270</v>
      </c>
      <c r="AA55" s="40">
        <v>6693530</v>
      </c>
      <c r="AB55" s="40">
        <v>-2548293</v>
      </c>
      <c r="AC55" s="40">
        <v>1937400</v>
      </c>
      <c r="AD55" s="40">
        <v>96438</v>
      </c>
      <c r="AE55" s="40">
        <v>104163</v>
      </c>
      <c r="AF55" s="40">
        <v>13820393</v>
      </c>
      <c r="AG55" s="40">
        <v>2406451</v>
      </c>
      <c r="AH55" s="40">
        <v>7121694</v>
      </c>
      <c r="AI55" s="40">
        <v>1995799</v>
      </c>
      <c r="AJ55" s="40">
        <v>60716975</v>
      </c>
      <c r="AK55" s="42">
        <v>272124477</v>
      </c>
      <c r="AL55" s="42">
        <v>8277604</v>
      </c>
      <c r="AM55" s="40">
        <v>5830</v>
      </c>
      <c r="AN55" s="40">
        <v>206286245</v>
      </c>
      <c r="AO55" s="40">
        <v>7561775</v>
      </c>
      <c r="AP55" s="40">
        <v>148648211</v>
      </c>
      <c r="AQ55" s="40">
        <v>85277346</v>
      </c>
      <c r="AR55" s="40">
        <v>53165494</v>
      </c>
      <c r="AS55" s="40">
        <v>93162318</v>
      </c>
      <c r="AT55" s="40">
        <v>2839378</v>
      </c>
      <c r="AU55" s="40">
        <v>0</v>
      </c>
      <c r="AV55" s="40">
        <v>6185482</v>
      </c>
      <c r="AW55" s="40">
        <v>4008727</v>
      </c>
      <c r="AX55" s="40">
        <v>2484628</v>
      </c>
      <c r="AY55" s="40">
        <v>6949050</v>
      </c>
      <c r="AZ55" s="1">
        <v>22369729.899999999</v>
      </c>
      <c r="BA55" s="1">
        <v>11408562</v>
      </c>
      <c r="BB55" s="43">
        <v>900518.13</v>
      </c>
      <c r="BC55" s="15">
        <v>9549566</v>
      </c>
      <c r="BD55" s="15">
        <v>19099132</v>
      </c>
      <c r="BE55" s="20">
        <v>59752362</v>
      </c>
      <c r="BF55" s="20">
        <v>55063386</v>
      </c>
      <c r="BG55" s="20">
        <v>169024190</v>
      </c>
      <c r="BH55" s="20">
        <v>159920546</v>
      </c>
      <c r="BI55" s="44"/>
      <c r="BJ55" s="44"/>
      <c r="BK55" s="44"/>
      <c r="BL55" s="5">
        <v>2518221787</v>
      </c>
      <c r="BM55" s="5">
        <v>2001877646</v>
      </c>
      <c r="BN55" s="15">
        <v>5095400</v>
      </c>
      <c r="BO55" s="3"/>
      <c r="BP55" s="1"/>
      <c r="BQ55" s="1"/>
      <c r="BR55" s="5"/>
      <c r="BS55" s="5"/>
      <c r="BT55" s="5"/>
    </row>
    <row r="56" spans="1:72" x14ac:dyDescent="0.25">
      <c r="A56" s="6" t="s">
        <v>110</v>
      </c>
      <c r="B56" s="40">
        <v>134378750</v>
      </c>
      <c r="C56" s="40">
        <v>65673415</v>
      </c>
      <c r="D56" s="40">
        <v>41069920</v>
      </c>
      <c r="E56" s="40">
        <v>0</v>
      </c>
      <c r="F56" s="40">
        <v>21009650</v>
      </c>
      <c r="G56" s="40">
        <v>14902000</v>
      </c>
      <c r="H56" s="40">
        <v>14551975</v>
      </c>
      <c r="I56" s="40">
        <v>3599075</v>
      </c>
      <c r="J56" s="40">
        <v>33700</v>
      </c>
      <c r="K56" s="40">
        <v>0</v>
      </c>
      <c r="L56" s="40">
        <v>100919120</v>
      </c>
      <c r="M56" s="40">
        <v>0</v>
      </c>
      <c r="N56" s="40">
        <v>1209</v>
      </c>
      <c r="O56" s="40">
        <v>667</v>
      </c>
      <c r="P56" s="40">
        <v>697300</v>
      </c>
      <c r="Q56" s="40">
        <v>864850</v>
      </c>
      <c r="R56" s="40">
        <v>458000</v>
      </c>
      <c r="S56" s="40">
        <v>1437200</v>
      </c>
      <c r="T56" s="40">
        <v>921550</v>
      </c>
      <c r="U56" s="40">
        <v>398100</v>
      </c>
      <c r="V56" s="40">
        <v>697300</v>
      </c>
      <c r="W56" s="40">
        <v>1089600</v>
      </c>
      <c r="X56" s="40">
        <v>458000</v>
      </c>
      <c r="Y56" s="40">
        <v>1437200</v>
      </c>
      <c r="Z56" s="40">
        <v>1326650</v>
      </c>
      <c r="AA56" s="40">
        <v>398100</v>
      </c>
      <c r="AB56" s="40">
        <v>-1865675</v>
      </c>
      <c r="AC56" s="40">
        <v>0</v>
      </c>
      <c r="AD56" s="40">
        <v>75840</v>
      </c>
      <c r="AE56" s="40">
        <v>3312</v>
      </c>
      <c r="AF56" s="40">
        <v>3081751</v>
      </c>
      <c r="AG56" s="40">
        <v>144155</v>
      </c>
      <c r="AH56" s="40">
        <v>0</v>
      </c>
      <c r="AI56" s="40">
        <v>505574</v>
      </c>
      <c r="AJ56" s="40">
        <v>51352</v>
      </c>
      <c r="AK56" s="42">
        <v>52504741</v>
      </c>
      <c r="AL56" s="42">
        <v>1074049</v>
      </c>
      <c r="AM56" s="40">
        <v>0</v>
      </c>
      <c r="AN56" s="40">
        <v>5462382</v>
      </c>
      <c r="AO56" s="40">
        <v>52312</v>
      </c>
      <c r="AP56" s="40">
        <v>3614447</v>
      </c>
      <c r="AQ56" s="40">
        <v>5395129</v>
      </c>
      <c r="AR56" s="40">
        <v>287270</v>
      </c>
      <c r="AS56" s="40">
        <v>0</v>
      </c>
      <c r="AT56" s="40">
        <v>233018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1">
        <v>4316101.54</v>
      </c>
      <c r="BA56" s="1">
        <v>2201212</v>
      </c>
      <c r="BB56" s="43"/>
      <c r="BC56" s="15">
        <v>0</v>
      </c>
      <c r="BD56" s="15">
        <v>0</v>
      </c>
      <c r="BE56" s="20">
        <v>7426510</v>
      </c>
      <c r="BF56" s="20">
        <v>7426510</v>
      </c>
      <c r="BG56" s="20">
        <v>41433958</v>
      </c>
      <c r="BH56" s="20">
        <v>41407221</v>
      </c>
      <c r="BI56" s="44"/>
      <c r="BJ56" s="44"/>
      <c r="BK56" s="44"/>
      <c r="BL56" s="5">
        <v>357202567</v>
      </c>
      <c r="BM56" s="5">
        <v>252588834</v>
      </c>
      <c r="BN56" s="15">
        <v>3760000</v>
      </c>
      <c r="BO56" s="3"/>
      <c r="BP56" s="1"/>
      <c r="BQ56" s="1"/>
      <c r="BR56" s="5"/>
      <c r="BS56" s="5"/>
      <c r="BT56" s="5"/>
    </row>
    <row r="57" spans="1:72" x14ac:dyDescent="0.25">
      <c r="A57" s="6" t="s">
        <v>111</v>
      </c>
      <c r="B57" s="40">
        <v>36382887476</v>
      </c>
      <c r="C57" s="40">
        <v>124807770</v>
      </c>
      <c r="D57" s="40">
        <v>14996114471</v>
      </c>
      <c r="E57" s="40">
        <v>167514540</v>
      </c>
      <c r="F57" s="40">
        <v>1793922890</v>
      </c>
      <c r="G57" s="40">
        <v>159211100</v>
      </c>
      <c r="H57" s="40">
        <v>5557880</v>
      </c>
      <c r="I57" s="40">
        <v>269600</v>
      </c>
      <c r="J57" s="40">
        <v>3469630</v>
      </c>
      <c r="K57" s="40">
        <v>202200</v>
      </c>
      <c r="L57" s="40">
        <v>583330710</v>
      </c>
      <c r="M57" s="40">
        <v>715165150</v>
      </c>
      <c r="N57" s="40">
        <v>53992</v>
      </c>
      <c r="O57" s="40">
        <v>4876</v>
      </c>
      <c r="P57" s="40">
        <v>195032890</v>
      </c>
      <c r="Q57" s="40">
        <v>9405190</v>
      </c>
      <c r="R57" s="40">
        <v>220175250</v>
      </c>
      <c r="S57" s="40">
        <v>94928920</v>
      </c>
      <c r="T57" s="40">
        <v>2937470</v>
      </c>
      <c r="U57" s="40">
        <v>285248100</v>
      </c>
      <c r="V57" s="40">
        <v>195032890</v>
      </c>
      <c r="W57" s="40">
        <v>55286090</v>
      </c>
      <c r="X57" s="40">
        <v>220175250</v>
      </c>
      <c r="Y57" s="40">
        <v>94928920</v>
      </c>
      <c r="Z57" s="40">
        <v>6841930</v>
      </c>
      <c r="AA57" s="40">
        <v>285248100</v>
      </c>
      <c r="AB57" s="40">
        <v>-184576540</v>
      </c>
      <c r="AC57" s="40">
        <v>11729401</v>
      </c>
      <c r="AD57" s="40">
        <v>0</v>
      </c>
      <c r="AE57" s="40">
        <v>0</v>
      </c>
      <c r="AF57" s="40">
        <v>0</v>
      </c>
      <c r="AG57" s="40">
        <v>0</v>
      </c>
      <c r="AH57" s="3"/>
      <c r="AI57" s="40">
        <v>372090</v>
      </c>
      <c r="AJ57" s="3"/>
      <c r="AK57" s="42">
        <v>3909233293</v>
      </c>
      <c r="AL57" s="42">
        <v>74373145</v>
      </c>
      <c r="AM57" s="40">
        <v>5255466</v>
      </c>
      <c r="AN57" s="40">
        <v>2222696754</v>
      </c>
      <c r="AO57" s="40">
        <v>66464414</v>
      </c>
      <c r="AP57" s="40">
        <v>1667244628</v>
      </c>
      <c r="AQ57" s="40">
        <v>1831950843</v>
      </c>
      <c r="AR57" s="40">
        <v>932748372</v>
      </c>
      <c r="AS57" s="40">
        <v>897797762</v>
      </c>
      <c r="AT57" s="40">
        <v>2548430800</v>
      </c>
      <c r="AU57" s="40">
        <v>383</v>
      </c>
      <c r="AV57" s="40">
        <v>487857</v>
      </c>
      <c r="AW57" s="40">
        <v>24961081</v>
      </c>
      <c r="AX57" s="40">
        <v>26820970</v>
      </c>
      <c r="AY57" s="40">
        <v>133186441</v>
      </c>
      <c r="AZ57" s="1">
        <v>322823856.58999997</v>
      </c>
      <c r="BA57" s="1">
        <v>164640167</v>
      </c>
      <c r="BB57" s="43">
        <v>30617616.579999998</v>
      </c>
      <c r="BC57" s="15">
        <v>19968744</v>
      </c>
      <c r="BD57" s="15">
        <v>39937488</v>
      </c>
      <c r="BE57" s="20">
        <v>520070656</v>
      </c>
      <c r="BF57" s="20">
        <v>515912282</v>
      </c>
      <c r="BG57" s="20">
        <v>1350608166</v>
      </c>
      <c r="BH57" s="20">
        <v>1258946452</v>
      </c>
      <c r="BI57" s="44">
        <v>162368932</v>
      </c>
      <c r="BJ57" s="44"/>
      <c r="BK57" s="44"/>
      <c r="BL57" s="5">
        <v>61730736833</v>
      </c>
      <c r="BM57" s="5">
        <v>55625293818</v>
      </c>
      <c r="BN57" s="15">
        <v>158311930</v>
      </c>
      <c r="BO57" s="3"/>
      <c r="BP57" s="1"/>
      <c r="BQ57" s="1"/>
      <c r="BR57" s="5"/>
      <c r="BS57" s="5"/>
      <c r="BT57" s="5"/>
    </row>
    <row r="58" spans="1:72" x14ac:dyDescent="0.25">
      <c r="A58" s="6" t="s">
        <v>112</v>
      </c>
      <c r="B58" s="40">
        <v>2453674513</v>
      </c>
      <c r="C58" s="40">
        <v>230104738</v>
      </c>
      <c r="D58" s="40">
        <v>628771822</v>
      </c>
      <c r="E58" s="40">
        <v>0</v>
      </c>
      <c r="F58" s="40">
        <v>76288804</v>
      </c>
      <c r="G58" s="40">
        <v>11416730</v>
      </c>
      <c r="H58" s="40">
        <v>8284104</v>
      </c>
      <c r="I58" s="40">
        <v>514315</v>
      </c>
      <c r="J58" s="40">
        <v>33700</v>
      </c>
      <c r="K58" s="40">
        <v>0</v>
      </c>
      <c r="L58" s="40">
        <v>566776363</v>
      </c>
      <c r="M58" s="40">
        <v>805679520</v>
      </c>
      <c r="N58" s="40">
        <v>2549</v>
      </c>
      <c r="O58" s="40">
        <v>367</v>
      </c>
      <c r="P58" s="40">
        <v>31691944</v>
      </c>
      <c r="Q58" s="40">
        <v>4403468</v>
      </c>
      <c r="R58" s="40">
        <v>31800701</v>
      </c>
      <c r="S58" s="40">
        <v>33962103</v>
      </c>
      <c r="T58" s="40">
        <v>3173869</v>
      </c>
      <c r="U58" s="40">
        <v>16251108</v>
      </c>
      <c r="V58" s="40">
        <v>31691944</v>
      </c>
      <c r="W58" s="40">
        <v>5132456</v>
      </c>
      <c r="X58" s="40">
        <v>31800701</v>
      </c>
      <c r="Y58" s="40">
        <v>33962103</v>
      </c>
      <c r="Z58" s="40">
        <v>16941341</v>
      </c>
      <c r="AA58" s="40">
        <v>16251108</v>
      </c>
      <c r="AB58" s="40">
        <v>-2869337</v>
      </c>
      <c r="AC58" s="40">
        <v>-148943</v>
      </c>
      <c r="AD58" s="40">
        <v>0</v>
      </c>
      <c r="AE58" s="40">
        <v>0</v>
      </c>
      <c r="AF58" s="40">
        <v>0</v>
      </c>
      <c r="AG58" s="40">
        <v>89317</v>
      </c>
      <c r="AH58" s="3"/>
      <c r="AI58" s="40">
        <v>381754</v>
      </c>
      <c r="AJ58" s="3"/>
      <c r="AK58" s="42">
        <v>287340644</v>
      </c>
      <c r="AL58" s="42">
        <v>8394326</v>
      </c>
      <c r="AM58" s="40">
        <v>0</v>
      </c>
      <c r="AN58" s="40">
        <v>96030055</v>
      </c>
      <c r="AO58" s="40">
        <v>1394431</v>
      </c>
      <c r="AP58" s="40">
        <v>95364894</v>
      </c>
      <c r="AQ58" s="40">
        <v>75355678</v>
      </c>
      <c r="AR58" s="40">
        <v>55263156</v>
      </c>
      <c r="AS58" s="40">
        <v>50238444</v>
      </c>
      <c r="AT58" s="40">
        <v>1809961</v>
      </c>
      <c r="AU58" s="40">
        <v>0</v>
      </c>
      <c r="AV58" s="40">
        <v>0</v>
      </c>
      <c r="AW58" s="40">
        <v>63205</v>
      </c>
      <c r="AX58" s="40">
        <v>2434</v>
      </c>
      <c r="AY58" s="40">
        <v>23900500</v>
      </c>
      <c r="AZ58" s="1">
        <v>23620560.219999999</v>
      </c>
      <c r="BA58" s="1">
        <v>12046486</v>
      </c>
      <c r="BB58" s="43"/>
      <c r="BC58" s="15">
        <v>1495558</v>
      </c>
      <c r="BD58" s="15">
        <v>2991116</v>
      </c>
      <c r="BE58" s="20">
        <v>32236354</v>
      </c>
      <c r="BF58" s="20">
        <v>32236354</v>
      </c>
      <c r="BG58" s="20">
        <v>49001717</v>
      </c>
      <c r="BH58" s="20">
        <v>45695088</v>
      </c>
      <c r="BI58" s="45">
        <v>19432910</v>
      </c>
      <c r="BJ58" s="44"/>
      <c r="BK58" s="44"/>
      <c r="BL58" s="5">
        <v>3892354357</v>
      </c>
      <c r="BM58" s="5">
        <v>3485712991</v>
      </c>
      <c r="BN58" s="15">
        <v>2016250</v>
      </c>
      <c r="BO58" s="3"/>
      <c r="BP58" s="1"/>
      <c r="BQ58" s="1"/>
      <c r="BR58" s="5"/>
      <c r="BS58" s="5"/>
      <c r="BT58" s="5"/>
    </row>
    <row r="59" spans="1:72" x14ac:dyDescent="0.25">
      <c r="A59" s="6" t="s">
        <v>113</v>
      </c>
      <c r="B59" s="40">
        <v>404155915</v>
      </c>
      <c r="C59" s="40">
        <v>92620333</v>
      </c>
      <c r="D59" s="40">
        <v>174538585</v>
      </c>
      <c r="E59" s="40">
        <v>0</v>
      </c>
      <c r="F59" s="40">
        <v>43075200</v>
      </c>
      <c r="G59" s="40">
        <v>29478950</v>
      </c>
      <c r="H59" s="40">
        <v>15116687</v>
      </c>
      <c r="I59" s="40">
        <v>6231675</v>
      </c>
      <c r="J59" s="40">
        <v>134800</v>
      </c>
      <c r="K59" s="40">
        <v>33700</v>
      </c>
      <c r="L59" s="40">
        <v>93625430</v>
      </c>
      <c r="M59" s="40">
        <v>78935215</v>
      </c>
      <c r="N59" s="40">
        <v>1929</v>
      </c>
      <c r="O59" s="40">
        <v>1285</v>
      </c>
      <c r="P59" s="40">
        <v>2510000</v>
      </c>
      <c r="Q59" s="40">
        <v>503000</v>
      </c>
      <c r="R59" s="40">
        <v>0</v>
      </c>
      <c r="S59" s="40">
        <v>2332865</v>
      </c>
      <c r="T59" s="40">
        <v>521550</v>
      </c>
      <c r="U59" s="40">
        <v>1570400</v>
      </c>
      <c r="V59" s="40">
        <v>2510000</v>
      </c>
      <c r="W59" s="40">
        <v>432000</v>
      </c>
      <c r="X59" s="40">
        <v>0</v>
      </c>
      <c r="Y59" s="40">
        <v>2332865</v>
      </c>
      <c r="Z59" s="40">
        <v>1038660</v>
      </c>
      <c r="AA59" s="40">
        <v>1570400</v>
      </c>
      <c r="AB59" s="40">
        <v>-4914948</v>
      </c>
      <c r="AC59" s="40">
        <v>-2733400</v>
      </c>
      <c r="AD59" s="40">
        <v>129678</v>
      </c>
      <c r="AE59" s="40">
        <v>1</v>
      </c>
      <c r="AF59" s="40">
        <v>0</v>
      </c>
      <c r="AG59" s="40">
        <v>13376</v>
      </c>
      <c r="AH59" s="40">
        <v>589346</v>
      </c>
      <c r="AI59" s="40">
        <v>12219840</v>
      </c>
      <c r="AJ59" s="40">
        <v>10181582</v>
      </c>
      <c r="AK59" s="42">
        <v>131490650</v>
      </c>
      <c r="AL59" s="42">
        <v>4873986</v>
      </c>
      <c r="AM59" s="40">
        <v>0</v>
      </c>
      <c r="AN59" s="40">
        <v>47562665</v>
      </c>
      <c r="AO59" s="40">
        <v>1997088</v>
      </c>
      <c r="AP59" s="40">
        <v>2664119</v>
      </c>
      <c r="AQ59" s="40">
        <v>28078431</v>
      </c>
      <c r="AR59" s="40">
        <v>5386038</v>
      </c>
      <c r="AS59" s="40">
        <v>1075757</v>
      </c>
      <c r="AT59" s="40">
        <v>54554</v>
      </c>
      <c r="AU59" s="40">
        <v>0</v>
      </c>
      <c r="AV59" s="40">
        <v>0</v>
      </c>
      <c r="AW59" s="40">
        <v>0</v>
      </c>
      <c r="AX59" s="40">
        <v>0</v>
      </c>
      <c r="AY59" s="40">
        <v>2463500</v>
      </c>
      <c r="AZ59" s="1">
        <v>10809061.93</v>
      </c>
      <c r="BA59" s="1">
        <v>5512622</v>
      </c>
      <c r="BB59" s="43"/>
      <c r="BC59" s="15">
        <v>2526163</v>
      </c>
      <c r="BD59" s="15">
        <v>5052325</v>
      </c>
      <c r="BE59" s="20">
        <v>41531348</v>
      </c>
      <c r="BF59" s="20">
        <v>41510747</v>
      </c>
      <c r="BG59" s="20">
        <v>70247047</v>
      </c>
      <c r="BH59" s="20">
        <v>68319293</v>
      </c>
      <c r="BI59" s="44"/>
      <c r="BJ59" s="44"/>
      <c r="BK59" s="44"/>
      <c r="BL59" s="5">
        <v>1026177246</v>
      </c>
      <c r="BM59" s="5">
        <v>771943785</v>
      </c>
      <c r="BN59" s="15">
        <v>9353195</v>
      </c>
      <c r="BO59" s="3"/>
      <c r="BP59" s="1"/>
      <c r="BQ59" s="1"/>
      <c r="BR59" s="5"/>
      <c r="BS59" s="5"/>
      <c r="BT59" s="5"/>
    </row>
    <row r="60" spans="1:72" x14ac:dyDescent="0.25">
      <c r="A60" s="6" t="s">
        <v>114</v>
      </c>
      <c r="B60" s="40">
        <v>7292605760</v>
      </c>
      <c r="C60" s="40">
        <v>100310530</v>
      </c>
      <c r="D60" s="40">
        <v>2265135180</v>
      </c>
      <c r="E60" s="40">
        <v>0</v>
      </c>
      <c r="F60" s="40">
        <v>299042300</v>
      </c>
      <c r="G60" s="40">
        <v>26231600</v>
      </c>
      <c r="H60" s="40">
        <v>6099700</v>
      </c>
      <c r="I60" s="40">
        <v>438100</v>
      </c>
      <c r="J60" s="40">
        <v>1415400</v>
      </c>
      <c r="K60" s="40">
        <v>134800</v>
      </c>
      <c r="L60" s="40">
        <v>209226970</v>
      </c>
      <c r="M60" s="40">
        <v>0</v>
      </c>
      <c r="N60" s="40">
        <v>9164</v>
      </c>
      <c r="O60" s="40">
        <v>813</v>
      </c>
      <c r="P60" s="40">
        <v>61473311</v>
      </c>
      <c r="Q60" s="40">
        <v>2533500</v>
      </c>
      <c r="R60" s="40">
        <v>28020600</v>
      </c>
      <c r="S60" s="40">
        <v>60060400</v>
      </c>
      <c r="T60" s="40">
        <v>2283300</v>
      </c>
      <c r="U60" s="40">
        <v>56031900</v>
      </c>
      <c r="V60" s="40">
        <v>61473311</v>
      </c>
      <c r="W60" s="40">
        <v>2533500</v>
      </c>
      <c r="X60" s="40">
        <v>28020600</v>
      </c>
      <c r="Y60" s="40">
        <v>60060400</v>
      </c>
      <c r="Z60" s="40">
        <v>2283300</v>
      </c>
      <c r="AA60" s="40">
        <v>56031900</v>
      </c>
      <c r="AB60" s="40">
        <v>-12012500</v>
      </c>
      <c r="AC60" s="40">
        <v>-12053</v>
      </c>
      <c r="AD60" s="40">
        <v>0</v>
      </c>
      <c r="AE60" s="40">
        <v>0</v>
      </c>
      <c r="AF60" s="40">
        <v>0</v>
      </c>
      <c r="AG60" s="40">
        <v>0</v>
      </c>
      <c r="AH60" s="3"/>
      <c r="AI60" s="3"/>
      <c r="AJ60" s="3"/>
      <c r="AK60" s="42">
        <v>847928832</v>
      </c>
      <c r="AL60" s="42">
        <v>17527203</v>
      </c>
      <c r="AM60" s="40">
        <v>445094</v>
      </c>
      <c r="AN60" s="40">
        <v>306346019</v>
      </c>
      <c r="AO60" s="40">
        <v>6649214</v>
      </c>
      <c r="AP60" s="40">
        <v>280264203</v>
      </c>
      <c r="AQ60" s="40">
        <v>221188957</v>
      </c>
      <c r="AR60" s="40">
        <v>130192432</v>
      </c>
      <c r="AS60" s="40">
        <v>87355192</v>
      </c>
      <c r="AT60" s="40">
        <v>16076</v>
      </c>
      <c r="AU60" s="40">
        <v>0</v>
      </c>
      <c r="AV60" s="40">
        <v>0</v>
      </c>
      <c r="AW60" s="40">
        <v>19642</v>
      </c>
      <c r="AX60" s="40">
        <v>161041</v>
      </c>
      <c r="AY60" s="40">
        <v>0</v>
      </c>
      <c r="AZ60" s="1">
        <v>69703170.980000004</v>
      </c>
      <c r="BA60" s="1">
        <v>35548617</v>
      </c>
      <c r="BB60" s="43">
        <v>8759585.4900000002</v>
      </c>
      <c r="BC60" s="15">
        <v>12127321</v>
      </c>
      <c r="BD60" s="15">
        <v>24254642</v>
      </c>
      <c r="BE60" s="20">
        <v>119500850</v>
      </c>
      <c r="BF60" s="20">
        <v>119500850</v>
      </c>
      <c r="BG60" s="20">
        <v>217748406</v>
      </c>
      <c r="BH60" s="20">
        <v>210410384</v>
      </c>
      <c r="BI60" s="44"/>
      <c r="BJ60" s="44"/>
      <c r="BK60" s="44"/>
      <c r="BL60" s="5">
        <v>11435278867</v>
      </c>
      <c r="BM60" s="5">
        <v>10192235660</v>
      </c>
      <c r="BN60" s="15">
        <v>4554400</v>
      </c>
      <c r="BO60" s="3"/>
      <c r="BP60" s="1"/>
      <c r="BQ60" s="1"/>
      <c r="BR60" s="5"/>
      <c r="BS60" s="5"/>
      <c r="BT60" s="5"/>
    </row>
    <row r="61" spans="1:72" x14ac:dyDescent="0.25">
      <c r="A61" s="6" t="s">
        <v>115</v>
      </c>
      <c r="B61" s="40">
        <v>150325453</v>
      </c>
      <c r="C61" s="40">
        <v>48119544</v>
      </c>
      <c r="D61" s="40">
        <v>79821466</v>
      </c>
      <c r="E61" s="40">
        <v>0</v>
      </c>
      <c r="F61" s="40">
        <v>28369566</v>
      </c>
      <c r="G61" s="40">
        <v>21515900</v>
      </c>
      <c r="H61" s="40">
        <v>13801854</v>
      </c>
      <c r="I61" s="40">
        <v>5414550</v>
      </c>
      <c r="J61" s="40">
        <v>101100</v>
      </c>
      <c r="K61" s="40">
        <v>33700</v>
      </c>
      <c r="L61" s="40">
        <v>58357348</v>
      </c>
      <c r="M61" s="40">
        <v>54188891</v>
      </c>
      <c r="N61" s="40">
        <v>1416</v>
      </c>
      <c r="O61" s="40">
        <v>990</v>
      </c>
      <c r="P61" s="40">
        <v>4223500</v>
      </c>
      <c r="Q61" s="40">
        <v>547900</v>
      </c>
      <c r="R61" s="40">
        <v>449300</v>
      </c>
      <c r="S61" s="40">
        <v>3200200</v>
      </c>
      <c r="T61" s="40">
        <v>843900</v>
      </c>
      <c r="U61" s="40">
        <v>878700</v>
      </c>
      <c r="V61" s="40">
        <v>4223500</v>
      </c>
      <c r="W61" s="40">
        <v>679400</v>
      </c>
      <c r="X61" s="40">
        <v>449300</v>
      </c>
      <c r="Y61" s="40">
        <v>3200200</v>
      </c>
      <c r="Z61" s="40">
        <v>1397700</v>
      </c>
      <c r="AA61" s="40">
        <v>878700</v>
      </c>
      <c r="AB61" s="40">
        <v>-2832800</v>
      </c>
      <c r="AC61" s="40">
        <v>-13776</v>
      </c>
      <c r="AD61" s="40">
        <v>197482</v>
      </c>
      <c r="AE61" s="40">
        <v>0</v>
      </c>
      <c r="AF61" s="40">
        <v>0</v>
      </c>
      <c r="AG61" s="40">
        <v>121226</v>
      </c>
      <c r="AH61" s="40">
        <v>7335096</v>
      </c>
      <c r="AI61" s="40">
        <v>147410928</v>
      </c>
      <c r="AJ61" s="40">
        <v>259856725</v>
      </c>
      <c r="AK61" s="42">
        <v>91611048</v>
      </c>
      <c r="AL61" s="42">
        <v>1673657</v>
      </c>
      <c r="AM61" s="40">
        <v>116775</v>
      </c>
      <c r="AN61" s="40">
        <v>131828016</v>
      </c>
      <c r="AO61" s="40">
        <v>925582</v>
      </c>
      <c r="AP61" s="40">
        <v>21818863</v>
      </c>
      <c r="AQ61" s="40">
        <v>4519009</v>
      </c>
      <c r="AR61" s="40">
        <v>2573331</v>
      </c>
      <c r="AS61" s="40">
        <v>0</v>
      </c>
      <c r="AT61" s="40">
        <v>31595</v>
      </c>
      <c r="AU61" s="40">
        <v>0</v>
      </c>
      <c r="AV61" s="40">
        <v>0</v>
      </c>
      <c r="AW61" s="40">
        <v>0</v>
      </c>
      <c r="AX61" s="40">
        <v>0</v>
      </c>
      <c r="AY61" s="40">
        <v>0</v>
      </c>
      <c r="AZ61" s="1">
        <v>7530797.75</v>
      </c>
      <c r="BA61" s="1">
        <v>3840707</v>
      </c>
      <c r="BB61" s="43"/>
      <c r="BC61" s="15">
        <v>1130682</v>
      </c>
      <c r="BD61" s="15">
        <v>2261363</v>
      </c>
      <c r="BE61" s="20">
        <v>5821268</v>
      </c>
      <c r="BF61" s="20">
        <v>5821268</v>
      </c>
      <c r="BG61" s="20">
        <v>45986166</v>
      </c>
      <c r="BH61" s="20">
        <v>45396657</v>
      </c>
      <c r="BI61" s="44"/>
      <c r="BJ61" s="44"/>
      <c r="BK61" s="44"/>
      <c r="BL61" s="5">
        <v>979615838</v>
      </c>
      <c r="BM61" s="5">
        <v>830141819</v>
      </c>
      <c r="BN61" s="15">
        <v>2290650</v>
      </c>
      <c r="BO61" s="3"/>
      <c r="BP61" s="1"/>
      <c r="BQ61" s="1"/>
      <c r="BR61" s="5"/>
      <c r="BS61" s="5"/>
      <c r="BT61" s="5"/>
    </row>
    <row r="62" spans="1:72" x14ac:dyDescent="0.25">
      <c r="A62" s="6" t="s">
        <v>116</v>
      </c>
      <c r="B62" s="40">
        <v>497978701</v>
      </c>
      <c r="C62" s="40">
        <v>90542835</v>
      </c>
      <c r="D62" s="40">
        <v>219080165</v>
      </c>
      <c r="E62" s="40">
        <v>0</v>
      </c>
      <c r="F62" s="40">
        <v>59916362</v>
      </c>
      <c r="G62" s="40">
        <v>31188423</v>
      </c>
      <c r="H62" s="40">
        <v>15665368</v>
      </c>
      <c r="I62" s="40">
        <v>4544384</v>
      </c>
      <c r="J62" s="40">
        <v>303300</v>
      </c>
      <c r="K62" s="40">
        <v>33700</v>
      </c>
      <c r="L62" s="40">
        <v>146093609</v>
      </c>
      <c r="M62" s="40">
        <v>236636444</v>
      </c>
      <c r="N62" s="40">
        <v>2616</v>
      </c>
      <c r="O62" s="40">
        <v>1383</v>
      </c>
      <c r="P62" s="40">
        <v>7593221</v>
      </c>
      <c r="Q62" s="40">
        <v>1100331</v>
      </c>
      <c r="R62" s="40">
        <v>4473500</v>
      </c>
      <c r="S62" s="40">
        <v>3484383</v>
      </c>
      <c r="T62" s="40">
        <v>1079140</v>
      </c>
      <c r="U62" s="40">
        <v>882459</v>
      </c>
      <c r="V62" s="40">
        <v>7593221</v>
      </c>
      <c r="W62" s="40">
        <v>1611100</v>
      </c>
      <c r="X62" s="40">
        <v>4473500</v>
      </c>
      <c r="Y62" s="40">
        <v>3484383</v>
      </c>
      <c r="Z62" s="40">
        <v>518000</v>
      </c>
      <c r="AA62" s="40">
        <v>882459</v>
      </c>
      <c r="AB62" s="40">
        <v>-8298624</v>
      </c>
      <c r="AC62" s="40">
        <v>-663402</v>
      </c>
      <c r="AD62" s="40">
        <v>139572</v>
      </c>
      <c r="AE62" s="40">
        <v>0</v>
      </c>
      <c r="AF62" s="40">
        <v>0</v>
      </c>
      <c r="AG62" s="40">
        <v>0</v>
      </c>
      <c r="AH62" s="40">
        <v>7607034</v>
      </c>
      <c r="AI62" s="40">
        <v>42723208</v>
      </c>
      <c r="AJ62" s="40">
        <v>6596402</v>
      </c>
      <c r="AK62" s="42">
        <v>136064649</v>
      </c>
      <c r="AL62" s="42">
        <v>3311229</v>
      </c>
      <c r="AM62" s="40">
        <v>0</v>
      </c>
      <c r="AN62" s="40">
        <v>44699836</v>
      </c>
      <c r="AO62" s="40">
        <v>2335544</v>
      </c>
      <c r="AP62" s="40">
        <v>58972234</v>
      </c>
      <c r="AQ62" s="40">
        <v>37801506</v>
      </c>
      <c r="AR62" s="40">
        <v>26798947</v>
      </c>
      <c r="AS62" s="40">
        <v>5953350</v>
      </c>
      <c r="AT62" s="40">
        <v>412208</v>
      </c>
      <c r="AU62" s="40">
        <v>0</v>
      </c>
      <c r="AV62" s="40">
        <v>0</v>
      </c>
      <c r="AW62" s="40">
        <v>0</v>
      </c>
      <c r="AX62" s="40">
        <v>0</v>
      </c>
      <c r="AY62" s="40">
        <v>0</v>
      </c>
      <c r="AZ62" s="1">
        <v>11185063.1</v>
      </c>
      <c r="BA62" s="1">
        <v>5704382</v>
      </c>
      <c r="BB62" s="43"/>
      <c r="BC62" s="15">
        <v>2808988</v>
      </c>
      <c r="BD62" s="15">
        <v>5617977</v>
      </c>
      <c r="BE62" s="20">
        <v>20219276</v>
      </c>
      <c r="BF62" s="20">
        <v>20219276</v>
      </c>
      <c r="BG62" s="20">
        <v>43612462</v>
      </c>
      <c r="BH62" s="20">
        <v>41277328</v>
      </c>
      <c r="BI62" s="44"/>
      <c r="BJ62" s="44"/>
      <c r="BK62" s="44"/>
      <c r="BL62" s="5">
        <v>1158751083</v>
      </c>
      <c r="BM62" s="5">
        <v>949365231</v>
      </c>
      <c r="BN62" s="15">
        <v>193400</v>
      </c>
      <c r="BO62" s="3"/>
      <c r="BP62" s="1"/>
      <c r="BQ62" s="1"/>
      <c r="BR62" s="5"/>
      <c r="BS62" s="5"/>
      <c r="BT62" s="5"/>
    </row>
    <row r="63" spans="1:72" x14ac:dyDescent="0.25">
      <c r="A63" s="6" t="s">
        <v>117</v>
      </c>
      <c r="B63" s="40">
        <v>310079486</v>
      </c>
      <c r="C63" s="40">
        <v>137398748</v>
      </c>
      <c r="D63" s="40">
        <v>60259139</v>
      </c>
      <c r="E63" s="40">
        <v>0</v>
      </c>
      <c r="F63" s="40">
        <v>30938500</v>
      </c>
      <c r="G63" s="40">
        <v>7331000</v>
      </c>
      <c r="H63" s="40">
        <v>12522410</v>
      </c>
      <c r="I63" s="40">
        <v>1137700</v>
      </c>
      <c r="J63" s="40">
        <v>101100</v>
      </c>
      <c r="K63" s="40">
        <v>0</v>
      </c>
      <c r="L63" s="40">
        <v>196960688</v>
      </c>
      <c r="M63" s="40">
        <v>98358491</v>
      </c>
      <c r="N63" s="40">
        <v>1334</v>
      </c>
      <c r="O63" s="40">
        <v>270</v>
      </c>
      <c r="P63" s="40">
        <v>3185350</v>
      </c>
      <c r="Q63" s="40">
        <v>3375324</v>
      </c>
      <c r="R63" s="40">
        <v>310000</v>
      </c>
      <c r="S63" s="40">
        <v>3138504</v>
      </c>
      <c r="T63" s="40">
        <v>1769348</v>
      </c>
      <c r="U63" s="40">
        <v>411000</v>
      </c>
      <c r="V63" s="40">
        <v>3185350</v>
      </c>
      <c r="W63" s="40">
        <v>5200270</v>
      </c>
      <c r="X63" s="40">
        <v>310000</v>
      </c>
      <c r="Y63" s="40">
        <v>3138504</v>
      </c>
      <c r="Z63" s="40">
        <v>1977585</v>
      </c>
      <c r="AA63" s="40">
        <v>411000</v>
      </c>
      <c r="AB63" s="40">
        <v>-2109473</v>
      </c>
      <c r="AC63" s="40">
        <v>-159742</v>
      </c>
      <c r="AD63" s="40">
        <v>50459</v>
      </c>
      <c r="AE63" s="40">
        <v>0</v>
      </c>
      <c r="AF63" s="40">
        <v>0</v>
      </c>
      <c r="AG63" s="40">
        <v>151203</v>
      </c>
      <c r="AH63" s="3"/>
      <c r="AI63" s="3"/>
      <c r="AJ63" s="3"/>
      <c r="AK63" s="42">
        <v>71877278</v>
      </c>
      <c r="AL63" s="42">
        <v>1841604</v>
      </c>
      <c r="AM63" s="40">
        <v>0</v>
      </c>
      <c r="AN63" s="40">
        <v>8561297</v>
      </c>
      <c r="AO63" s="40">
        <v>85407</v>
      </c>
      <c r="AP63" s="40">
        <v>11515463</v>
      </c>
      <c r="AQ63" s="40">
        <v>12681132</v>
      </c>
      <c r="AR63" s="40">
        <v>7527197</v>
      </c>
      <c r="AS63" s="40">
        <v>0</v>
      </c>
      <c r="AT63" s="40">
        <v>666265</v>
      </c>
      <c r="AU63" s="40">
        <v>0</v>
      </c>
      <c r="AV63" s="40">
        <v>17730</v>
      </c>
      <c r="AW63" s="40">
        <v>0</v>
      </c>
      <c r="AX63" s="40">
        <v>12243</v>
      </c>
      <c r="AY63" s="40">
        <v>8700</v>
      </c>
      <c r="AZ63" s="1">
        <v>5908602.2400000002</v>
      </c>
      <c r="BA63" s="1">
        <v>3013387</v>
      </c>
      <c r="BB63" s="43"/>
      <c r="BC63" s="15">
        <v>75835</v>
      </c>
      <c r="BD63" s="15">
        <v>151669</v>
      </c>
      <c r="BE63" s="20">
        <v>5534429</v>
      </c>
      <c r="BF63" s="20">
        <v>5534429</v>
      </c>
      <c r="BG63" s="20">
        <v>32008940</v>
      </c>
      <c r="BH63" s="20">
        <v>31864568</v>
      </c>
      <c r="BI63" s="44"/>
      <c r="BJ63" s="44"/>
      <c r="BK63" s="44"/>
      <c r="BL63" s="5">
        <v>643272310</v>
      </c>
      <c r="BM63" s="5">
        <v>529065209</v>
      </c>
      <c r="BN63" s="15">
        <v>1105681</v>
      </c>
      <c r="BO63" s="3"/>
      <c r="BP63" s="1"/>
      <c r="BQ63" s="1"/>
      <c r="BR63" s="5"/>
      <c r="BS63" s="5"/>
      <c r="BT63" s="5"/>
    </row>
    <row r="64" spans="1:72" x14ac:dyDescent="0.25">
      <c r="A64" s="6" t="s">
        <v>118</v>
      </c>
      <c r="B64" s="40">
        <v>1337873459</v>
      </c>
      <c r="C64" s="40">
        <v>186066344</v>
      </c>
      <c r="D64" s="40">
        <v>662694967</v>
      </c>
      <c r="E64" s="40">
        <v>17993761</v>
      </c>
      <c r="F64" s="40">
        <v>114054309</v>
      </c>
      <c r="G64" s="40">
        <v>50107090</v>
      </c>
      <c r="H64" s="40">
        <v>25136800</v>
      </c>
      <c r="I64" s="40">
        <v>5286376</v>
      </c>
      <c r="J64" s="40">
        <v>235900</v>
      </c>
      <c r="K64" s="40">
        <v>33700</v>
      </c>
      <c r="L64" s="40">
        <v>397988080</v>
      </c>
      <c r="M64" s="40">
        <v>166687300</v>
      </c>
      <c r="N64" s="40">
        <v>4342</v>
      </c>
      <c r="O64" s="40">
        <v>1828</v>
      </c>
      <c r="P64" s="40">
        <v>10264000</v>
      </c>
      <c r="Q64" s="40">
        <v>1786100</v>
      </c>
      <c r="R64" s="40">
        <v>7662600</v>
      </c>
      <c r="S64" s="40">
        <v>10793900</v>
      </c>
      <c r="T64" s="40">
        <v>4276600</v>
      </c>
      <c r="U64" s="40">
        <v>3983400</v>
      </c>
      <c r="V64" s="40">
        <v>10264000</v>
      </c>
      <c r="W64" s="40">
        <v>2717300</v>
      </c>
      <c r="X64" s="40">
        <v>7662600</v>
      </c>
      <c r="Y64" s="40">
        <v>10793900</v>
      </c>
      <c r="Z64" s="40">
        <v>3191700</v>
      </c>
      <c r="AA64" s="40">
        <v>3983400</v>
      </c>
      <c r="AB64" s="40">
        <v>-15272797</v>
      </c>
      <c r="AC64" s="40">
        <v>-3510645</v>
      </c>
      <c r="AD64" s="40">
        <v>84059</v>
      </c>
      <c r="AE64" s="40">
        <v>0</v>
      </c>
      <c r="AF64" s="40">
        <v>0</v>
      </c>
      <c r="AG64" s="40">
        <v>281466</v>
      </c>
      <c r="AH64" s="40">
        <v>13617</v>
      </c>
      <c r="AI64" s="40">
        <v>158038</v>
      </c>
      <c r="AJ64" s="40">
        <v>21484</v>
      </c>
      <c r="AK64" s="42">
        <v>325192595</v>
      </c>
      <c r="AL64" s="42">
        <v>17217017</v>
      </c>
      <c r="AM64" s="40">
        <v>820226</v>
      </c>
      <c r="AN64" s="40">
        <v>181866532</v>
      </c>
      <c r="AO64" s="40">
        <v>33073388</v>
      </c>
      <c r="AP64" s="40">
        <v>143967250</v>
      </c>
      <c r="AQ64" s="40">
        <v>144597372</v>
      </c>
      <c r="AR64" s="40">
        <v>51794439</v>
      </c>
      <c r="AS64" s="40">
        <v>1122787</v>
      </c>
      <c r="AT64" s="40">
        <v>4279396</v>
      </c>
      <c r="AU64" s="40">
        <v>0</v>
      </c>
      <c r="AV64" s="40">
        <v>29113</v>
      </c>
      <c r="AW64" s="40">
        <v>10499571</v>
      </c>
      <c r="AX64" s="40">
        <v>854969</v>
      </c>
      <c r="AY64" s="40">
        <v>1535760</v>
      </c>
      <c r="AZ64" s="1">
        <v>26732143.309999999</v>
      </c>
      <c r="BA64" s="1">
        <v>13633393</v>
      </c>
      <c r="BB64" s="43"/>
      <c r="BC64" s="15">
        <v>2340927</v>
      </c>
      <c r="BD64" s="15">
        <v>4681855</v>
      </c>
      <c r="BE64" s="20">
        <v>35118310</v>
      </c>
      <c r="BF64" s="20">
        <v>35118310</v>
      </c>
      <c r="BG64" s="20">
        <v>92314867</v>
      </c>
      <c r="BH64" s="20">
        <v>87681404</v>
      </c>
      <c r="BI64" s="44"/>
      <c r="BJ64" s="44"/>
      <c r="BK64" s="44"/>
      <c r="BL64" s="5">
        <v>3027548847</v>
      </c>
      <c r="BM64" s="5">
        <v>2546365201</v>
      </c>
      <c r="BN64" s="15">
        <v>2375600</v>
      </c>
      <c r="BO64" s="3"/>
      <c r="BP64" s="1"/>
      <c r="BQ64" s="1"/>
      <c r="BR64" s="5"/>
      <c r="BS64" s="5"/>
      <c r="BT64" s="5"/>
    </row>
    <row r="65" spans="1:72" x14ac:dyDescent="0.25">
      <c r="A65" s="6" t="s">
        <v>119</v>
      </c>
      <c r="B65" s="40">
        <v>227163058</v>
      </c>
      <c r="C65" s="40">
        <v>95481582</v>
      </c>
      <c r="D65" s="40">
        <v>88594714</v>
      </c>
      <c r="E65" s="40">
        <v>0</v>
      </c>
      <c r="F65" s="40">
        <v>24696947</v>
      </c>
      <c r="G65" s="40">
        <v>13559040</v>
      </c>
      <c r="H65" s="40">
        <v>14837920</v>
      </c>
      <c r="I65" s="40">
        <v>5184177</v>
      </c>
      <c r="J65" s="40">
        <v>235900</v>
      </c>
      <c r="K65" s="40">
        <v>0</v>
      </c>
      <c r="L65" s="40">
        <v>113860971</v>
      </c>
      <c r="M65" s="40">
        <v>73696900</v>
      </c>
      <c r="N65" s="40">
        <v>1365</v>
      </c>
      <c r="O65" s="40">
        <v>672</v>
      </c>
      <c r="P65" s="40">
        <v>6713850</v>
      </c>
      <c r="Q65" s="40">
        <v>1767250</v>
      </c>
      <c r="R65" s="40">
        <v>3384000</v>
      </c>
      <c r="S65" s="40">
        <v>1239400</v>
      </c>
      <c r="T65" s="40">
        <v>326800</v>
      </c>
      <c r="U65" s="40">
        <v>682000</v>
      </c>
      <c r="V65" s="40">
        <v>6713850</v>
      </c>
      <c r="W65" s="40">
        <v>2481900</v>
      </c>
      <c r="X65" s="40">
        <v>3384000</v>
      </c>
      <c r="Y65" s="40">
        <v>1239400</v>
      </c>
      <c r="Z65" s="40">
        <v>480500</v>
      </c>
      <c r="AA65" s="40">
        <v>682000</v>
      </c>
      <c r="AB65" s="40">
        <v>-15803766</v>
      </c>
      <c r="AC65" s="40">
        <v>-64221</v>
      </c>
      <c r="AD65" s="40">
        <v>188944</v>
      </c>
      <c r="AE65" s="40">
        <v>0</v>
      </c>
      <c r="AF65" s="40">
        <v>0</v>
      </c>
      <c r="AG65" s="40">
        <v>223431</v>
      </c>
      <c r="AH65" s="40">
        <v>5578154</v>
      </c>
      <c r="AI65" s="40">
        <v>14248097</v>
      </c>
      <c r="AJ65" s="40">
        <v>6831533</v>
      </c>
      <c r="AK65" s="42">
        <v>83698360</v>
      </c>
      <c r="AL65" s="42">
        <v>3864224</v>
      </c>
      <c r="AM65" s="40">
        <v>90000</v>
      </c>
      <c r="AN65" s="40">
        <v>36458057</v>
      </c>
      <c r="AO65" s="40">
        <v>224935</v>
      </c>
      <c r="AP65" s="40">
        <v>3267944</v>
      </c>
      <c r="AQ65" s="40">
        <v>15076136</v>
      </c>
      <c r="AR65" s="40">
        <v>1103620</v>
      </c>
      <c r="AS65" s="40">
        <v>25774</v>
      </c>
      <c r="AT65" s="40">
        <v>281281</v>
      </c>
      <c r="AU65" s="40">
        <v>0</v>
      </c>
      <c r="AV65" s="40">
        <v>0</v>
      </c>
      <c r="AW65" s="40">
        <v>0</v>
      </c>
      <c r="AX65" s="40">
        <v>0</v>
      </c>
      <c r="AY65" s="40">
        <v>6000</v>
      </c>
      <c r="AZ65" s="1">
        <v>6880342.8799999999</v>
      </c>
      <c r="BA65" s="1">
        <v>3508975</v>
      </c>
      <c r="BB65" s="43"/>
      <c r="BC65" s="15">
        <v>2893525</v>
      </c>
      <c r="BD65" s="15">
        <v>5787051</v>
      </c>
      <c r="BE65" s="20">
        <v>54101844</v>
      </c>
      <c r="BF65" s="20">
        <v>54101844</v>
      </c>
      <c r="BG65" s="20">
        <v>71924723</v>
      </c>
      <c r="BH65" s="20">
        <v>69315107</v>
      </c>
      <c r="BI65" s="44"/>
      <c r="BJ65" s="44"/>
      <c r="BK65" s="44"/>
      <c r="BL65" s="5">
        <v>707038301</v>
      </c>
      <c r="BM65" s="5">
        <v>489656266</v>
      </c>
      <c r="BN65" s="15">
        <v>579500</v>
      </c>
      <c r="BO65" s="3"/>
      <c r="BP65" s="1"/>
      <c r="BQ65" s="1"/>
      <c r="BR65" s="5"/>
      <c r="BS65" s="5"/>
      <c r="BT65" s="5"/>
    </row>
    <row r="66" spans="1:72" x14ac:dyDescent="0.25">
      <c r="A66" s="6" t="s">
        <v>120</v>
      </c>
      <c r="B66" s="40">
        <v>81831186</v>
      </c>
      <c r="C66" s="40">
        <v>39689042</v>
      </c>
      <c r="D66" s="40">
        <v>48073500</v>
      </c>
      <c r="E66" s="40">
        <v>0</v>
      </c>
      <c r="F66" s="40">
        <v>9822220</v>
      </c>
      <c r="G66" s="40">
        <v>10965400</v>
      </c>
      <c r="H66" s="40">
        <v>4657725</v>
      </c>
      <c r="I66" s="40">
        <v>3714035</v>
      </c>
      <c r="J66" s="40">
        <v>0</v>
      </c>
      <c r="K66" s="40">
        <v>5000</v>
      </c>
      <c r="L66" s="40">
        <v>49890187</v>
      </c>
      <c r="M66" s="40">
        <v>28985529</v>
      </c>
      <c r="N66" s="40">
        <v>504</v>
      </c>
      <c r="O66" s="40">
        <v>596</v>
      </c>
      <c r="P66" s="40">
        <v>1668150</v>
      </c>
      <c r="Q66" s="40">
        <v>704625</v>
      </c>
      <c r="R66" s="40">
        <v>640900</v>
      </c>
      <c r="S66" s="40">
        <v>1867000</v>
      </c>
      <c r="T66" s="40">
        <v>544355</v>
      </c>
      <c r="U66" s="40">
        <v>641904</v>
      </c>
      <c r="V66" s="40">
        <v>1668150</v>
      </c>
      <c r="W66" s="40">
        <v>784025</v>
      </c>
      <c r="X66" s="40">
        <v>640900</v>
      </c>
      <c r="Y66" s="40">
        <v>1867000</v>
      </c>
      <c r="Z66" s="40">
        <v>399150</v>
      </c>
      <c r="AA66" s="40">
        <v>641904</v>
      </c>
      <c r="AB66" s="40">
        <v>-853642</v>
      </c>
      <c r="AC66" s="40">
        <v>0</v>
      </c>
      <c r="AD66" s="40">
        <v>88831</v>
      </c>
      <c r="AE66" s="40">
        <v>0</v>
      </c>
      <c r="AF66" s="40">
        <v>0</v>
      </c>
      <c r="AG66" s="40">
        <v>104967</v>
      </c>
      <c r="AH66" s="40">
        <v>30849917</v>
      </c>
      <c r="AI66" s="3"/>
      <c r="AJ66" s="40">
        <v>103451</v>
      </c>
      <c r="AK66" s="42">
        <v>32665984</v>
      </c>
      <c r="AL66" s="42">
        <v>669005</v>
      </c>
      <c r="AM66" s="3"/>
      <c r="AN66" s="40">
        <v>6338917</v>
      </c>
      <c r="AO66" s="40">
        <v>36052</v>
      </c>
      <c r="AP66" s="40">
        <v>622078</v>
      </c>
      <c r="AQ66" s="40">
        <v>5572346</v>
      </c>
      <c r="AR66" s="40">
        <v>4335130</v>
      </c>
      <c r="AS66" s="3"/>
      <c r="AT66" s="40">
        <v>57383</v>
      </c>
      <c r="AU66" s="3"/>
      <c r="AV66" s="3"/>
      <c r="AW66" s="3"/>
      <c r="AX66" s="3"/>
      <c r="AY66" s="40">
        <v>115000</v>
      </c>
      <c r="AZ66" s="1">
        <v>2685275.68</v>
      </c>
      <c r="BA66" s="1">
        <v>1369491</v>
      </c>
      <c r="BB66" s="43"/>
      <c r="BC66" s="15">
        <v>2077993</v>
      </c>
      <c r="BD66" s="15">
        <v>4155985</v>
      </c>
      <c r="BE66" s="20">
        <v>6954935</v>
      </c>
      <c r="BF66" s="20">
        <v>6954935</v>
      </c>
      <c r="BG66" s="20">
        <v>23681352</v>
      </c>
      <c r="BH66" s="20">
        <v>19486763</v>
      </c>
      <c r="BI66" s="44"/>
      <c r="BJ66" s="44"/>
      <c r="BK66" s="44"/>
      <c r="BL66" s="5">
        <v>275718582</v>
      </c>
      <c r="BM66" s="5">
        <v>212494411</v>
      </c>
      <c r="BN66" s="15">
        <v>160000</v>
      </c>
      <c r="BO66" s="3"/>
      <c r="BP66" s="1"/>
      <c r="BQ66" s="1"/>
      <c r="BR66" s="5"/>
      <c r="BS66" s="5"/>
      <c r="BT66" s="5"/>
    </row>
    <row r="67" spans="1:72" x14ac:dyDescent="0.25">
      <c r="A67" s="6" t="s">
        <v>121</v>
      </c>
      <c r="B67" s="40">
        <v>108269028</v>
      </c>
      <c r="C67" s="40">
        <v>49676374</v>
      </c>
      <c r="D67" s="40">
        <v>30134310</v>
      </c>
      <c r="E67" s="40">
        <v>0</v>
      </c>
      <c r="F67" s="40">
        <v>19201390</v>
      </c>
      <c r="G67" s="40">
        <v>24932805</v>
      </c>
      <c r="H67" s="40">
        <v>7343050</v>
      </c>
      <c r="I67" s="40">
        <v>3817228</v>
      </c>
      <c r="J67" s="40">
        <v>132600</v>
      </c>
      <c r="K67" s="40">
        <v>33700</v>
      </c>
      <c r="L67" s="40">
        <v>37783338</v>
      </c>
      <c r="M67" s="40">
        <v>28760800</v>
      </c>
      <c r="N67" s="40">
        <v>940</v>
      </c>
      <c r="O67" s="40">
        <v>1082</v>
      </c>
      <c r="P67" s="40">
        <v>1405650</v>
      </c>
      <c r="Q67" s="40">
        <v>66200</v>
      </c>
      <c r="R67" s="40">
        <v>0</v>
      </c>
      <c r="S67" s="40">
        <v>1879013</v>
      </c>
      <c r="T67" s="40">
        <v>420514</v>
      </c>
      <c r="U67" s="40">
        <v>46000</v>
      </c>
      <c r="V67" s="40">
        <v>1405650</v>
      </c>
      <c r="W67" s="40">
        <v>63600</v>
      </c>
      <c r="X67" s="40">
        <v>0</v>
      </c>
      <c r="Y67" s="40">
        <v>1879013</v>
      </c>
      <c r="Z67" s="40">
        <v>408046</v>
      </c>
      <c r="AA67" s="40">
        <v>46000</v>
      </c>
      <c r="AB67" s="40">
        <v>-1940423</v>
      </c>
      <c r="AC67" s="40">
        <v>0</v>
      </c>
      <c r="AD67" s="40">
        <v>178381</v>
      </c>
      <c r="AE67" s="40">
        <v>0</v>
      </c>
      <c r="AF67" s="40">
        <v>0</v>
      </c>
      <c r="AG67" s="40">
        <v>191322</v>
      </c>
      <c r="AH67" s="40">
        <v>30425675</v>
      </c>
      <c r="AI67" s="40">
        <v>43952718</v>
      </c>
      <c r="AJ67" s="40">
        <v>137211170</v>
      </c>
      <c r="AK67" s="42">
        <v>61433307</v>
      </c>
      <c r="AL67" s="42">
        <v>2515159</v>
      </c>
      <c r="AM67" s="40">
        <v>0</v>
      </c>
      <c r="AN67" s="40">
        <v>59180681</v>
      </c>
      <c r="AO67" s="40">
        <v>3502224</v>
      </c>
      <c r="AP67" s="40">
        <v>14043127</v>
      </c>
      <c r="AQ67" s="40">
        <v>2679724</v>
      </c>
      <c r="AR67" s="40">
        <v>1348857</v>
      </c>
      <c r="AS67" s="40">
        <v>0</v>
      </c>
      <c r="AT67" s="40">
        <v>0</v>
      </c>
      <c r="AU67" s="40">
        <v>0</v>
      </c>
      <c r="AV67" s="40">
        <v>0</v>
      </c>
      <c r="AW67" s="40">
        <v>0</v>
      </c>
      <c r="AX67" s="40">
        <v>0</v>
      </c>
      <c r="AY67" s="40">
        <v>0</v>
      </c>
      <c r="AZ67" s="1">
        <v>5050065.6900000004</v>
      </c>
      <c r="BA67" s="1">
        <v>2575534</v>
      </c>
      <c r="BB67" s="43"/>
      <c r="BC67" s="15">
        <v>0</v>
      </c>
      <c r="BD67" s="15">
        <v>0</v>
      </c>
      <c r="BE67" s="20">
        <v>864656</v>
      </c>
      <c r="BF67" s="20">
        <v>864656</v>
      </c>
      <c r="BG67" s="20">
        <v>22204613</v>
      </c>
      <c r="BH67" s="20">
        <v>22114217</v>
      </c>
      <c r="BI67" s="44"/>
      <c r="BJ67" s="44"/>
      <c r="BK67" s="44"/>
      <c r="BL67" s="5">
        <v>554534777</v>
      </c>
      <c r="BM67" s="5">
        <v>465031904</v>
      </c>
      <c r="BN67" s="15">
        <v>542535</v>
      </c>
      <c r="BO67" s="3"/>
      <c r="BP67" s="1"/>
      <c r="BQ67" s="1"/>
      <c r="BR67" s="5"/>
      <c r="BS67" s="5"/>
      <c r="BT67" s="5"/>
    </row>
    <row r="68" spans="1:72" x14ac:dyDescent="0.25">
      <c r="A68" s="6" t="s">
        <v>122</v>
      </c>
      <c r="B68" s="40">
        <v>210548297</v>
      </c>
      <c r="C68" s="40">
        <v>45565246</v>
      </c>
      <c r="D68" s="40">
        <v>112452658</v>
      </c>
      <c r="E68" s="40">
        <v>0</v>
      </c>
      <c r="F68" s="40">
        <v>44882650</v>
      </c>
      <c r="G68" s="40">
        <v>28446369</v>
      </c>
      <c r="H68" s="40">
        <v>13287150</v>
      </c>
      <c r="I68" s="40">
        <v>4780850</v>
      </c>
      <c r="J68" s="40">
        <v>0</v>
      </c>
      <c r="K68" s="40">
        <v>0</v>
      </c>
      <c r="L68" s="40">
        <v>70941154</v>
      </c>
      <c r="M68" s="40">
        <v>52916</v>
      </c>
      <c r="N68" s="40">
        <v>2312</v>
      </c>
      <c r="O68" s="40">
        <v>1370</v>
      </c>
      <c r="P68" s="40">
        <v>1564100</v>
      </c>
      <c r="Q68" s="40">
        <v>780800</v>
      </c>
      <c r="R68" s="40">
        <v>313569</v>
      </c>
      <c r="S68" s="40">
        <v>323500</v>
      </c>
      <c r="T68" s="40">
        <v>28500</v>
      </c>
      <c r="U68" s="40">
        <v>48700</v>
      </c>
      <c r="V68" s="40">
        <v>1564100</v>
      </c>
      <c r="W68" s="40">
        <v>1295000</v>
      </c>
      <c r="X68" s="40">
        <v>313569</v>
      </c>
      <c r="Y68" s="40">
        <v>323500</v>
      </c>
      <c r="Z68" s="40">
        <v>110000</v>
      </c>
      <c r="AA68" s="40">
        <v>48700</v>
      </c>
      <c r="AB68" s="40">
        <v>-4774100</v>
      </c>
      <c r="AC68" s="40">
        <v>-936796</v>
      </c>
      <c r="AD68" s="40">
        <v>0</v>
      </c>
      <c r="AE68" s="40">
        <v>0</v>
      </c>
      <c r="AF68" s="40">
        <v>0</v>
      </c>
      <c r="AG68" s="40">
        <v>0</v>
      </c>
      <c r="AH68" s="40">
        <v>17495373</v>
      </c>
      <c r="AI68" s="40">
        <v>151640238</v>
      </c>
      <c r="AJ68" s="40">
        <v>158329097</v>
      </c>
      <c r="AK68" s="42">
        <v>136312001</v>
      </c>
      <c r="AL68" s="42">
        <v>3137409</v>
      </c>
      <c r="AM68" s="40">
        <v>0</v>
      </c>
      <c r="AN68" s="40">
        <v>119663429</v>
      </c>
      <c r="AO68" s="40">
        <v>6535935</v>
      </c>
      <c r="AP68" s="40">
        <v>25179778</v>
      </c>
      <c r="AQ68" s="40">
        <v>20942086</v>
      </c>
      <c r="AR68" s="40">
        <v>4393739</v>
      </c>
      <c r="AS68" s="40">
        <v>0</v>
      </c>
      <c r="AT68" s="40">
        <v>76478</v>
      </c>
      <c r="AU68" s="40">
        <v>0</v>
      </c>
      <c r="AV68" s="40">
        <v>0</v>
      </c>
      <c r="AW68" s="40">
        <v>0</v>
      </c>
      <c r="AX68" s="40">
        <v>0</v>
      </c>
      <c r="AY68" s="40">
        <v>0</v>
      </c>
      <c r="AZ68" s="1">
        <v>11205396.439999999</v>
      </c>
      <c r="BA68" s="1">
        <v>5714752</v>
      </c>
      <c r="BB68" s="43"/>
      <c r="BC68" s="15">
        <v>2537973</v>
      </c>
      <c r="BD68" s="15">
        <v>5075946</v>
      </c>
      <c r="BE68" s="20">
        <v>9564828</v>
      </c>
      <c r="BF68" s="20">
        <v>9564828</v>
      </c>
      <c r="BG68" s="20">
        <v>39003511</v>
      </c>
      <c r="BH68" s="20">
        <v>36769613</v>
      </c>
      <c r="BI68" s="44"/>
      <c r="BJ68" s="44"/>
      <c r="BK68" s="44"/>
      <c r="BL68" s="5">
        <v>1037208935</v>
      </c>
      <c r="BM68" s="5">
        <v>843172359</v>
      </c>
      <c r="BN68" s="15">
        <v>151750</v>
      </c>
      <c r="BO68" s="3"/>
      <c r="BP68" s="1"/>
      <c r="BQ68" s="1"/>
      <c r="BR68" s="5"/>
      <c r="BS68" s="5"/>
      <c r="BT68" s="5"/>
    </row>
    <row r="69" spans="1:72" x14ac:dyDescent="0.25">
      <c r="A69" s="6" t="s">
        <v>123</v>
      </c>
      <c r="B69" s="40">
        <v>175086879</v>
      </c>
      <c r="C69" s="40">
        <v>100420390</v>
      </c>
      <c r="D69" s="40">
        <v>31792700</v>
      </c>
      <c r="E69" s="40">
        <v>0</v>
      </c>
      <c r="F69" s="40">
        <v>23741300</v>
      </c>
      <c r="G69" s="40">
        <v>10022200</v>
      </c>
      <c r="H69" s="40">
        <v>10031400</v>
      </c>
      <c r="I69" s="40">
        <v>1585800</v>
      </c>
      <c r="J69" s="40">
        <v>29400</v>
      </c>
      <c r="K69" s="40">
        <v>0</v>
      </c>
      <c r="L69" s="40">
        <v>73956140</v>
      </c>
      <c r="M69" s="40">
        <v>1964420</v>
      </c>
      <c r="N69" s="40">
        <v>1175</v>
      </c>
      <c r="O69" s="40">
        <v>436</v>
      </c>
      <c r="P69" s="40">
        <v>3789000</v>
      </c>
      <c r="Q69" s="40">
        <v>1151200</v>
      </c>
      <c r="R69" s="40">
        <v>340400</v>
      </c>
      <c r="S69" s="40">
        <v>1409100</v>
      </c>
      <c r="T69" s="40">
        <v>486300</v>
      </c>
      <c r="U69" s="40">
        <v>104000</v>
      </c>
      <c r="V69" s="40">
        <v>3789000</v>
      </c>
      <c r="W69" s="40">
        <v>1176300</v>
      </c>
      <c r="X69" s="40">
        <v>340400</v>
      </c>
      <c r="Y69" s="40">
        <v>1409100</v>
      </c>
      <c r="Z69" s="40">
        <v>588469</v>
      </c>
      <c r="AA69" s="40">
        <v>104000</v>
      </c>
      <c r="AB69" s="40">
        <v>-3251500</v>
      </c>
      <c r="AC69" s="40">
        <v>-1287892</v>
      </c>
      <c r="AD69" s="40">
        <v>179868</v>
      </c>
      <c r="AE69" s="40">
        <v>0</v>
      </c>
      <c r="AF69" s="40">
        <v>0</v>
      </c>
      <c r="AG69" s="40">
        <v>291259</v>
      </c>
      <c r="AH69" s="3"/>
      <c r="AI69" s="40">
        <v>60328</v>
      </c>
      <c r="AJ69" s="3"/>
      <c r="AK69" s="42">
        <v>64075027</v>
      </c>
      <c r="AL69" s="42">
        <v>1132659</v>
      </c>
      <c r="AM69" s="40">
        <v>0</v>
      </c>
      <c r="AN69" s="40">
        <v>6954186</v>
      </c>
      <c r="AO69" s="40">
        <v>199587</v>
      </c>
      <c r="AP69" s="40">
        <v>5457580</v>
      </c>
      <c r="AQ69" s="40">
        <v>6313949</v>
      </c>
      <c r="AR69" s="40">
        <v>1137599</v>
      </c>
      <c r="AS69" s="40">
        <v>0</v>
      </c>
      <c r="AT69" s="40">
        <v>48102</v>
      </c>
      <c r="AU69" s="40">
        <v>0</v>
      </c>
      <c r="AV69" s="40">
        <v>0</v>
      </c>
      <c r="AW69" s="40">
        <v>0</v>
      </c>
      <c r="AX69" s="40">
        <v>0</v>
      </c>
      <c r="AY69" s="40">
        <v>47000</v>
      </c>
      <c r="AZ69" s="1">
        <v>5267225.7300000004</v>
      </c>
      <c r="BA69" s="1">
        <v>2686285</v>
      </c>
      <c r="BB69" s="43">
        <v>36020725.390000001</v>
      </c>
      <c r="BC69" s="15">
        <v>2583971</v>
      </c>
      <c r="BD69" s="15">
        <v>5167942</v>
      </c>
      <c r="BE69" s="20">
        <v>36398054</v>
      </c>
      <c r="BF69" s="20">
        <v>36398054</v>
      </c>
      <c r="BG69" s="20">
        <v>51488939</v>
      </c>
      <c r="BH69" s="20">
        <v>44039332</v>
      </c>
      <c r="BI69" s="44"/>
      <c r="BJ69" s="44"/>
      <c r="BK69" s="44"/>
      <c r="BL69" s="5">
        <v>471743347</v>
      </c>
      <c r="BM69" s="5">
        <v>320828019</v>
      </c>
      <c r="BN69" s="15">
        <v>1339000</v>
      </c>
      <c r="BO69" s="3"/>
      <c r="BP69" s="1"/>
      <c r="BQ69" s="1"/>
      <c r="BR69" s="5"/>
      <c r="BS69" s="5"/>
      <c r="BT69" s="5"/>
    </row>
    <row r="70" spans="1:72" x14ac:dyDescent="0.25">
      <c r="A70" s="6" t="s">
        <v>124</v>
      </c>
      <c r="B70" s="40">
        <v>480502610</v>
      </c>
      <c r="C70" s="40">
        <v>164589861</v>
      </c>
      <c r="D70" s="40">
        <v>115491879</v>
      </c>
      <c r="E70" s="40">
        <v>0</v>
      </c>
      <c r="F70" s="40">
        <v>53271646</v>
      </c>
      <c r="G70" s="40">
        <v>16328072</v>
      </c>
      <c r="H70" s="40">
        <v>18700046</v>
      </c>
      <c r="I70" s="40">
        <v>2139425</v>
      </c>
      <c r="J70" s="40">
        <v>303300</v>
      </c>
      <c r="K70" s="40">
        <v>33700</v>
      </c>
      <c r="L70" s="40">
        <v>288676500</v>
      </c>
      <c r="M70" s="40">
        <v>103986887</v>
      </c>
      <c r="N70" s="40">
        <v>2366</v>
      </c>
      <c r="O70" s="40">
        <v>682</v>
      </c>
      <c r="P70" s="40">
        <v>6932213</v>
      </c>
      <c r="Q70" s="40">
        <v>2283725</v>
      </c>
      <c r="R70" s="40">
        <v>3205817</v>
      </c>
      <c r="S70" s="40">
        <v>4813956</v>
      </c>
      <c r="T70" s="40">
        <v>930400</v>
      </c>
      <c r="U70" s="40">
        <v>396350</v>
      </c>
      <c r="V70" s="40">
        <v>6932213</v>
      </c>
      <c r="W70" s="40">
        <v>2062971</v>
      </c>
      <c r="X70" s="40">
        <v>3205817</v>
      </c>
      <c r="Y70" s="40">
        <v>4813956</v>
      </c>
      <c r="Z70" s="40">
        <v>1923000</v>
      </c>
      <c r="AA70" s="40">
        <v>396350</v>
      </c>
      <c r="AB70" s="40">
        <v>-3515915</v>
      </c>
      <c r="AC70" s="40">
        <v>-292692</v>
      </c>
      <c r="AD70" s="40">
        <v>58905</v>
      </c>
      <c r="AE70" s="40">
        <v>0</v>
      </c>
      <c r="AF70" s="40">
        <v>0</v>
      </c>
      <c r="AG70" s="40">
        <v>178002</v>
      </c>
      <c r="AH70" s="40">
        <v>46670</v>
      </c>
      <c r="AI70" s="3"/>
      <c r="AJ70" s="3"/>
      <c r="AK70" s="42">
        <v>117963657</v>
      </c>
      <c r="AL70" s="42">
        <v>3360013</v>
      </c>
      <c r="AM70" s="40">
        <v>0</v>
      </c>
      <c r="AN70" s="40">
        <v>16327947</v>
      </c>
      <c r="AO70" s="40">
        <v>2000225</v>
      </c>
      <c r="AP70" s="40">
        <v>19451439</v>
      </c>
      <c r="AQ70" s="40">
        <v>17154308</v>
      </c>
      <c r="AR70" s="40">
        <v>10709213</v>
      </c>
      <c r="AS70" s="40">
        <v>64243</v>
      </c>
      <c r="AT70" s="40">
        <v>3033792</v>
      </c>
      <c r="AU70" s="40">
        <v>0</v>
      </c>
      <c r="AV70" s="40">
        <v>0</v>
      </c>
      <c r="AW70" s="40">
        <v>33172</v>
      </c>
      <c r="AX70" s="40">
        <v>833002</v>
      </c>
      <c r="AY70" s="40">
        <v>0</v>
      </c>
      <c r="AZ70" s="1">
        <v>9697088.5299999993</v>
      </c>
      <c r="BA70" s="1">
        <v>4945515</v>
      </c>
      <c r="BB70" s="43"/>
      <c r="BC70" s="15">
        <v>2230283</v>
      </c>
      <c r="BD70" s="15">
        <v>4460567</v>
      </c>
      <c r="BE70" s="20">
        <v>36117456</v>
      </c>
      <c r="BF70" s="20">
        <v>36117456</v>
      </c>
      <c r="BG70" s="20">
        <v>41281261</v>
      </c>
      <c r="BH70" s="20">
        <v>36408704</v>
      </c>
      <c r="BI70" s="44"/>
      <c r="BJ70" s="44"/>
      <c r="BK70" s="44"/>
      <c r="BL70" s="5">
        <v>997139128</v>
      </c>
      <c r="BM70" s="5">
        <v>796113500</v>
      </c>
      <c r="BN70" s="15">
        <v>475000</v>
      </c>
      <c r="BO70" s="3"/>
      <c r="BP70" s="1"/>
      <c r="BQ70" s="1"/>
      <c r="BR70" s="5"/>
      <c r="BS70" s="5"/>
      <c r="BT70" s="5"/>
    </row>
    <row r="71" spans="1:72" x14ac:dyDescent="0.25">
      <c r="A71" s="6" t="s">
        <v>125</v>
      </c>
      <c r="B71" s="40">
        <v>225738975</v>
      </c>
      <c r="C71" s="40">
        <v>100833612</v>
      </c>
      <c r="D71" s="40">
        <v>79129581</v>
      </c>
      <c r="E71" s="40">
        <v>0</v>
      </c>
      <c r="F71" s="40">
        <v>24707600</v>
      </c>
      <c r="G71" s="40">
        <v>6763650</v>
      </c>
      <c r="H71" s="40">
        <v>7267800</v>
      </c>
      <c r="I71" s="40">
        <v>1052100</v>
      </c>
      <c r="J71" s="40">
        <v>101100</v>
      </c>
      <c r="K71" s="40">
        <v>0</v>
      </c>
      <c r="L71" s="40">
        <v>180757313</v>
      </c>
      <c r="M71" s="40">
        <v>58851900</v>
      </c>
      <c r="N71" s="40">
        <v>1038</v>
      </c>
      <c r="O71" s="40">
        <v>262</v>
      </c>
      <c r="P71" s="40">
        <v>4205130</v>
      </c>
      <c r="Q71" s="40">
        <v>1500900</v>
      </c>
      <c r="R71" s="40">
        <v>1868000</v>
      </c>
      <c r="S71" s="40">
        <v>2010050</v>
      </c>
      <c r="T71" s="40">
        <v>377400</v>
      </c>
      <c r="U71" s="40">
        <v>85905</v>
      </c>
      <c r="V71" s="40">
        <v>4205130</v>
      </c>
      <c r="W71" s="40">
        <v>1553200</v>
      </c>
      <c r="X71" s="40">
        <v>1868000</v>
      </c>
      <c r="Y71" s="40">
        <v>2010050</v>
      </c>
      <c r="Z71" s="40">
        <v>499000</v>
      </c>
      <c r="AA71" s="40">
        <v>85905</v>
      </c>
      <c r="AB71" s="40">
        <v>-1675396</v>
      </c>
      <c r="AC71" s="40">
        <v>0</v>
      </c>
      <c r="AD71" s="40">
        <v>66218</v>
      </c>
      <c r="AE71" s="40">
        <v>0</v>
      </c>
      <c r="AF71" s="40">
        <v>0</v>
      </c>
      <c r="AG71" s="40">
        <v>129610</v>
      </c>
      <c r="AH71" s="3"/>
      <c r="AI71" s="40">
        <v>11837549</v>
      </c>
      <c r="AJ71" s="3"/>
      <c r="AK71" s="42">
        <v>62354816</v>
      </c>
      <c r="AL71" s="42">
        <v>4913926</v>
      </c>
      <c r="AM71" s="40">
        <v>5606366</v>
      </c>
      <c r="AN71" s="40">
        <v>44409835</v>
      </c>
      <c r="AO71" s="40">
        <v>2025744</v>
      </c>
      <c r="AP71" s="40">
        <v>71018072</v>
      </c>
      <c r="AQ71" s="40">
        <v>24185788</v>
      </c>
      <c r="AR71" s="40">
        <v>648312</v>
      </c>
      <c r="AS71" s="40">
        <v>7489764</v>
      </c>
      <c r="AT71" s="40">
        <v>269264</v>
      </c>
      <c r="AU71" s="40">
        <v>0</v>
      </c>
      <c r="AV71" s="40">
        <v>0</v>
      </c>
      <c r="AW71" s="40">
        <v>0</v>
      </c>
      <c r="AX71" s="40">
        <v>0</v>
      </c>
      <c r="AY71" s="40">
        <v>5000</v>
      </c>
      <c r="AZ71" s="1">
        <v>5125817.45</v>
      </c>
      <c r="BA71" s="1">
        <v>2614167</v>
      </c>
      <c r="BB71" s="43">
        <v>64632642.490000002</v>
      </c>
      <c r="BC71" s="15">
        <v>354931</v>
      </c>
      <c r="BD71" s="15">
        <v>709862</v>
      </c>
      <c r="BE71" s="20">
        <v>7984178</v>
      </c>
      <c r="BF71" s="20">
        <v>7628572</v>
      </c>
      <c r="BG71" s="20">
        <v>21312225</v>
      </c>
      <c r="BH71" s="20">
        <v>20825408</v>
      </c>
      <c r="BI71" s="44"/>
      <c r="BJ71" s="44"/>
      <c r="BK71" s="44"/>
      <c r="BL71" s="5">
        <v>586852904</v>
      </c>
      <c r="BM71" s="5">
        <v>488161084</v>
      </c>
      <c r="BN71" s="15">
        <v>374945</v>
      </c>
      <c r="BO71" s="3"/>
      <c r="BP71" s="1"/>
      <c r="BQ71" s="1"/>
      <c r="BR71" s="5"/>
      <c r="BS71" s="5"/>
      <c r="BT71" s="5"/>
    </row>
    <row r="72" spans="1:72" x14ac:dyDescent="0.25">
      <c r="A72" s="6" t="s">
        <v>126</v>
      </c>
      <c r="B72" s="40">
        <v>547456287</v>
      </c>
      <c r="C72" s="40">
        <v>230231025</v>
      </c>
      <c r="D72" s="40">
        <v>181273936</v>
      </c>
      <c r="E72" s="40">
        <v>0</v>
      </c>
      <c r="F72" s="40">
        <v>57534225</v>
      </c>
      <c r="G72" s="40">
        <v>10148550</v>
      </c>
      <c r="H72" s="40">
        <v>14592845</v>
      </c>
      <c r="I72" s="40">
        <v>826585</v>
      </c>
      <c r="J72" s="40">
        <v>67400</v>
      </c>
      <c r="K72" s="40">
        <v>26000</v>
      </c>
      <c r="L72" s="40">
        <v>571508511</v>
      </c>
      <c r="M72" s="40">
        <v>0</v>
      </c>
      <c r="N72" s="40">
        <v>2280</v>
      </c>
      <c r="O72" s="40">
        <v>365</v>
      </c>
      <c r="P72" s="40">
        <v>9632361</v>
      </c>
      <c r="Q72" s="40">
        <v>3972645</v>
      </c>
      <c r="R72" s="40">
        <v>2708140</v>
      </c>
      <c r="S72" s="40">
        <v>4989326</v>
      </c>
      <c r="T72" s="40">
        <v>1309678</v>
      </c>
      <c r="U72" s="40">
        <v>4605220</v>
      </c>
      <c r="V72" s="40">
        <v>9632361</v>
      </c>
      <c r="W72" s="40">
        <v>4739480</v>
      </c>
      <c r="X72" s="40">
        <v>2708140</v>
      </c>
      <c r="Y72" s="40">
        <v>4989326</v>
      </c>
      <c r="Z72" s="40">
        <v>2037549</v>
      </c>
      <c r="AA72" s="40">
        <v>4605220</v>
      </c>
      <c r="AB72" s="40">
        <v>-3887357</v>
      </c>
      <c r="AC72" s="40">
        <v>-2682910</v>
      </c>
      <c r="AD72" s="40">
        <v>102092</v>
      </c>
      <c r="AE72" s="40">
        <v>0</v>
      </c>
      <c r="AF72" s="40">
        <v>570935770</v>
      </c>
      <c r="AG72" s="40">
        <v>318078</v>
      </c>
      <c r="AH72" s="40">
        <v>62503</v>
      </c>
      <c r="AI72" s="40">
        <v>252902</v>
      </c>
      <c r="AJ72" s="3"/>
      <c r="AK72" s="42">
        <v>139966113</v>
      </c>
      <c r="AL72" s="42">
        <v>4717961</v>
      </c>
      <c r="AM72" s="40">
        <v>0</v>
      </c>
      <c r="AN72" s="40">
        <v>34977852</v>
      </c>
      <c r="AO72" s="40">
        <v>10991618</v>
      </c>
      <c r="AP72" s="40">
        <v>413598317</v>
      </c>
      <c r="AQ72" s="40">
        <v>73589208</v>
      </c>
      <c r="AR72" s="40">
        <v>181996681</v>
      </c>
      <c r="AS72" s="40">
        <v>6965515</v>
      </c>
      <c r="AT72" s="40">
        <v>6033815</v>
      </c>
      <c r="AU72" s="40">
        <v>0</v>
      </c>
      <c r="AV72" s="40">
        <v>23538</v>
      </c>
      <c r="AW72" s="40">
        <v>4754828</v>
      </c>
      <c r="AX72" s="40">
        <v>4651735</v>
      </c>
      <c r="AY72" s="40">
        <v>294845</v>
      </c>
      <c r="AZ72" s="1">
        <v>11505779.189999999</v>
      </c>
      <c r="BA72" s="1">
        <v>5867947</v>
      </c>
      <c r="BB72" s="43"/>
      <c r="BC72" s="15">
        <v>2284362</v>
      </c>
      <c r="BD72" s="15">
        <v>4568724</v>
      </c>
      <c r="BE72" s="20">
        <v>13103087</v>
      </c>
      <c r="BF72" s="20">
        <v>13103087</v>
      </c>
      <c r="BG72" s="20">
        <v>48084375</v>
      </c>
      <c r="BH72" s="20">
        <v>47133593</v>
      </c>
      <c r="BI72" s="44"/>
      <c r="BJ72" s="44">
        <v>2471284</v>
      </c>
      <c r="BK72" s="44"/>
      <c r="BL72" s="5">
        <v>1294379678</v>
      </c>
      <c r="BM72" s="5">
        <v>1078835331</v>
      </c>
      <c r="BN72" s="15">
        <v>3581324</v>
      </c>
      <c r="BO72" s="3"/>
      <c r="BP72" s="1"/>
      <c r="BQ72" s="1"/>
      <c r="BR72" s="5"/>
      <c r="BS72" s="5"/>
      <c r="BT72" s="5"/>
    </row>
    <row r="73" spans="1:72" x14ac:dyDescent="0.25">
      <c r="A73" s="6" t="s">
        <v>127</v>
      </c>
      <c r="B73" s="40">
        <v>420957714</v>
      </c>
      <c r="C73" s="40">
        <v>57155534</v>
      </c>
      <c r="D73" s="40">
        <v>79505135</v>
      </c>
      <c r="E73" s="40">
        <v>0</v>
      </c>
      <c r="F73" s="40">
        <v>25971710</v>
      </c>
      <c r="G73" s="40">
        <v>4653894</v>
      </c>
      <c r="H73" s="40">
        <v>5437310</v>
      </c>
      <c r="I73" s="40">
        <v>448200</v>
      </c>
      <c r="J73" s="40">
        <v>33700</v>
      </c>
      <c r="K73" s="40">
        <v>0</v>
      </c>
      <c r="L73" s="40">
        <v>138850815</v>
      </c>
      <c r="M73" s="40">
        <v>34026845</v>
      </c>
      <c r="N73" s="40">
        <v>987</v>
      </c>
      <c r="O73" s="40">
        <v>171</v>
      </c>
      <c r="P73" s="40">
        <v>3670300</v>
      </c>
      <c r="Q73" s="40">
        <v>844649</v>
      </c>
      <c r="R73" s="40">
        <v>120000</v>
      </c>
      <c r="S73" s="40">
        <v>3401810</v>
      </c>
      <c r="T73" s="40">
        <v>658446</v>
      </c>
      <c r="U73" s="40">
        <v>1499505</v>
      </c>
      <c r="V73" s="40">
        <v>3670300</v>
      </c>
      <c r="W73" s="40">
        <v>0</v>
      </c>
      <c r="X73" s="40">
        <v>120000</v>
      </c>
      <c r="Y73" s="40">
        <v>3401810</v>
      </c>
      <c r="Z73" s="40">
        <v>301870</v>
      </c>
      <c r="AA73" s="40">
        <v>1499505</v>
      </c>
      <c r="AB73" s="40">
        <v>-2157280</v>
      </c>
      <c r="AC73" s="40">
        <v>-119989</v>
      </c>
      <c r="AD73" s="40">
        <v>0</v>
      </c>
      <c r="AE73" s="40">
        <v>0</v>
      </c>
      <c r="AF73" s="40">
        <v>0</v>
      </c>
      <c r="AG73" s="40">
        <v>3331</v>
      </c>
      <c r="AH73" s="3"/>
      <c r="AI73" s="3"/>
      <c r="AJ73" s="3"/>
      <c r="AK73" s="42">
        <v>51567773</v>
      </c>
      <c r="AL73" s="42">
        <v>11988387</v>
      </c>
      <c r="AM73" s="40">
        <v>1866973</v>
      </c>
      <c r="AN73" s="40">
        <v>11709567</v>
      </c>
      <c r="AO73" s="40">
        <v>44686</v>
      </c>
      <c r="AP73" s="40">
        <v>5448346</v>
      </c>
      <c r="AQ73" s="40">
        <v>9749632</v>
      </c>
      <c r="AR73" s="40">
        <v>6848123</v>
      </c>
      <c r="AS73" s="40">
        <v>15139743</v>
      </c>
      <c r="AT73" s="40">
        <v>0</v>
      </c>
      <c r="AU73" s="40">
        <v>0</v>
      </c>
      <c r="AV73" s="40">
        <v>197144</v>
      </c>
      <c r="AW73" s="40">
        <v>0</v>
      </c>
      <c r="AX73" s="40">
        <v>0</v>
      </c>
      <c r="AY73" s="40">
        <v>8300</v>
      </c>
      <c r="AZ73" s="1">
        <v>4239078.99</v>
      </c>
      <c r="BA73" s="1">
        <v>2161930</v>
      </c>
      <c r="BB73" s="43">
        <v>27220207.25</v>
      </c>
      <c r="BC73" s="15">
        <v>929906</v>
      </c>
      <c r="BD73" s="15">
        <v>1859813</v>
      </c>
      <c r="BE73" s="20">
        <v>10501007</v>
      </c>
      <c r="BF73" s="20">
        <v>8657626</v>
      </c>
      <c r="BG73" s="20">
        <v>17227199</v>
      </c>
      <c r="BH73" s="20">
        <v>16099892</v>
      </c>
      <c r="BI73" s="44"/>
      <c r="BJ73" s="44"/>
      <c r="BK73" s="44"/>
      <c r="BL73" s="5">
        <v>670527782</v>
      </c>
      <c r="BM73" s="5">
        <v>579122268</v>
      </c>
      <c r="BN73" s="15">
        <v>662507</v>
      </c>
      <c r="BO73" s="3"/>
      <c r="BP73" s="1"/>
      <c r="BQ73" s="1"/>
      <c r="BR73" s="5"/>
      <c r="BS73" s="5"/>
      <c r="BT73" s="5"/>
    </row>
    <row r="74" spans="1:72" x14ac:dyDescent="0.25">
      <c r="A74" s="6" t="s">
        <v>128</v>
      </c>
      <c r="B74" s="40">
        <v>2071219230</v>
      </c>
      <c r="C74" s="40">
        <v>109394034</v>
      </c>
      <c r="D74" s="40">
        <v>974583666</v>
      </c>
      <c r="E74" s="40">
        <v>1196900</v>
      </c>
      <c r="F74" s="40">
        <v>164674025</v>
      </c>
      <c r="G74" s="40">
        <v>21808661</v>
      </c>
      <c r="H74" s="40">
        <v>9816543</v>
      </c>
      <c r="I74" s="40">
        <v>739994</v>
      </c>
      <c r="J74" s="40">
        <v>219400</v>
      </c>
      <c r="K74" s="40">
        <v>30000</v>
      </c>
      <c r="L74" s="40">
        <v>92085833</v>
      </c>
      <c r="M74" s="40">
        <v>11630</v>
      </c>
      <c r="N74" s="40">
        <v>5582</v>
      </c>
      <c r="O74" s="40">
        <v>788</v>
      </c>
      <c r="P74" s="40">
        <v>31974687</v>
      </c>
      <c r="Q74" s="40">
        <v>2673017</v>
      </c>
      <c r="R74" s="40">
        <v>6487250</v>
      </c>
      <c r="S74" s="40">
        <v>23010202</v>
      </c>
      <c r="T74" s="40">
        <v>420118</v>
      </c>
      <c r="U74" s="40">
        <v>14308050</v>
      </c>
      <c r="V74" s="40">
        <v>31974687</v>
      </c>
      <c r="W74" s="40">
        <v>10586370</v>
      </c>
      <c r="X74" s="40">
        <v>6487250</v>
      </c>
      <c r="Y74" s="40">
        <v>23010202</v>
      </c>
      <c r="Z74" s="40">
        <v>408898</v>
      </c>
      <c r="AA74" s="40">
        <v>14308050</v>
      </c>
      <c r="AB74" s="40">
        <v>-17816024</v>
      </c>
      <c r="AC74" s="40">
        <v>2970982</v>
      </c>
      <c r="AD74" s="40">
        <v>0</v>
      </c>
      <c r="AE74" s="40">
        <v>0</v>
      </c>
      <c r="AF74" s="40">
        <v>0</v>
      </c>
      <c r="AG74" s="40">
        <v>0</v>
      </c>
      <c r="AH74" s="3"/>
      <c r="AI74" s="40">
        <v>208639</v>
      </c>
      <c r="AJ74" s="3"/>
      <c r="AK74" s="42">
        <v>421525250</v>
      </c>
      <c r="AL74" s="42">
        <v>13927222</v>
      </c>
      <c r="AM74" s="40">
        <v>45000</v>
      </c>
      <c r="AN74" s="40">
        <v>218140739</v>
      </c>
      <c r="AO74" s="40">
        <v>26636250</v>
      </c>
      <c r="AP74" s="40">
        <v>65500466</v>
      </c>
      <c r="AQ74" s="40">
        <v>565887357</v>
      </c>
      <c r="AR74" s="40">
        <v>1614945625</v>
      </c>
      <c r="AS74" s="40">
        <v>471956855</v>
      </c>
      <c r="AT74" s="40">
        <v>1775292</v>
      </c>
      <c r="AU74" s="40">
        <v>0</v>
      </c>
      <c r="AV74" s="40">
        <v>0</v>
      </c>
      <c r="AW74" s="40">
        <v>141000</v>
      </c>
      <c r="AX74" s="40">
        <v>769042</v>
      </c>
      <c r="AY74" s="40">
        <v>13288124</v>
      </c>
      <c r="AZ74" s="1">
        <v>34651076.200000003</v>
      </c>
      <c r="BA74" s="1">
        <v>17672049</v>
      </c>
      <c r="BB74" s="43">
        <v>26278756.469999999</v>
      </c>
      <c r="BC74" s="15">
        <v>5090864</v>
      </c>
      <c r="BD74" s="15">
        <v>10181728</v>
      </c>
      <c r="BE74" s="20">
        <v>65480835</v>
      </c>
      <c r="BF74" s="20">
        <v>57082772</v>
      </c>
      <c r="BG74" s="20">
        <v>127715851</v>
      </c>
      <c r="BH74" s="20">
        <v>106787403</v>
      </c>
      <c r="BI74" s="44"/>
      <c r="BJ74" s="44">
        <v>33307754</v>
      </c>
      <c r="BK74" s="44"/>
      <c r="BL74" s="5">
        <v>4621463229</v>
      </c>
      <c r="BM74" s="5">
        <v>3966069915</v>
      </c>
      <c r="BN74" s="15">
        <v>12895409</v>
      </c>
      <c r="BO74" s="3"/>
      <c r="BP74" s="1"/>
      <c r="BQ74" s="1"/>
      <c r="BR74" s="5"/>
      <c r="BS74" s="5"/>
      <c r="BT74" s="5"/>
    </row>
    <row r="75" spans="1:72" x14ac:dyDescent="0.25">
      <c r="A75" s="6" t="s">
        <v>129</v>
      </c>
      <c r="B75" s="40">
        <v>201651832</v>
      </c>
      <c r="C75" s="40">
        <v>59990553</v>
      </c>
      <c r="D75" s="40">
        <v>72233246</v>
      </c>
      <c r="E75" s="40">
        <v>0</v>
      </c>
      <c r="F75" s="40">
        <v>33432350</v>
      </c>
      <c r="G75" s="40">
        <v>24692850</v>
      </c>
      <c r="H75" s="40">
        <v>6863050</v>
      </c>
      <c r="I75" s="40">
        <v>2674450</v>
      </c>
      <c r="J75" s="40">
        <v>105400</v>
      </c>
      <c r="K75" s="40">
        <v>0</v>
      </c>
      <c r="L75" s="40">
        <v>32631282</v>
      </c>
      <c r="M75" s="40">
        <v>0</v>
      </c>
      <c r="N75" s="40">
        <v>1354</v>
      </c>
      <c r="O75" s="40">
        <v>958</v>
      </c>
      <c r="P75" s="40">
        <v>2253000</v>
      </c>
      <c r="Q75" s="40">
        <v>861500</v>
      </c>
      <c r="R75" s="40">
        <v>1477500</v>
      </c>
      <c r="S75" s="40">
        <v>3075295</v>
      </c>
      <c r="T75" s="40">
        <v>1505275</v>
      </c>
      <c r="U75" s="40">
        <v>780600</v>
      </c>
      <c r="V75" s="40">
        <v>2253000</v>
      </c>
      <c r="W75" s="40">
        <v>1295500</v>
      </c>
      <c r="X75" s="40">
        <v>1477500</v>
      </c>
      <c r="Y75" s="40">
        <v>3075295</v>
      </c>
      <c r="Z75" s="40">
        <v>1537500</v>
      </c>
      <c r="AA75" s="40">
        <v>780600</v>
      </c>
      <c r="AB75" s="40">
        <v>-3197000</v>
      </c>
      <c r="AC75" s="40">
        <v>0</v>
      </c>
      <c r="AD75" s="40">
        <v>34771</v>
      </c>
      <c r="AE75" s="40">
        <v>0</v>
      </c>
      <c r="AF75" s="40">
        <v>0</v>
      </c>
      <c r="AG75" s="40">
        <v>69845</v>
      </c>
      <c r="AH75" s="40">
        <v>42575</v>
      </c>
      <c r="AI75" s="40">
        <v>2435570</v>
      </c>
      <c r="AJ75" s="40">
        <v>69279</v>
      </c>
      <c r="AK75" s="42">
        <v>58836568</v>
      </c>
      <c r="AL75" s="42">
        <v>2201147</v>
      </c>
      <c r="AM75" s="40">
        <v>0</v>
      </c>
      <c r="AN75" s="40">
        <v>5914325</v>
      </c>
      <c r="AO75" s="40">
        <v>64614</v>
      </c>
      <c r="AP75" s="40">
        <v>2671931</v>
      </c>
      <c r="AQ75" s="40">
        <v>4981385</v>
      </c>
      <c r="AR75" s="40">
        <v>8005677</v>
      </c>
      <c r="AS75" s="40">
        <v>97000</v>
      </c>
      <c r="AT75" s="40">
        <v>213747</v>
      </c>
      <c r="AU75" s="40">
        <v>0</v>
      </c>
      <c r="AV75" s="40">
        <v>0</v>
      </c>
      <c r="AW75" s="40">
        <v>0</v>
      </c>
      <c r="AX75" s="40">
        <v>45470</v>
      </c>
      <c r="AY75" s="40">
        <v>16000</v>
      </c>
      <c r="AZ75" s="1">
        <v>4836603.2699999996</v>
      </c>
      <c r="BA75" s="1">
        <v>2466668</v>
      </c>
      <c r="BB75" s="43"/>
      <c r="BC75" s="15">
        <v>3345425</v>
      </c>
      <c r="BD75" s="15">
        <v>6690850</v>
      </c>
      <c r="BE75" s="20">
        <v>23926006</v>
      </c>
      <c r="BF75" s="20">
        <v>23926006</v>
      </c>
      <c r="BG75" s="20">
        <v>32843935</v>
      </c>
      <c r="BH75" s="20">
        <v>27938149</v>
      </c>
      <c r="BI75" s="44"/>
      <c r="BJ75" s="44"/>
      <c r="BK75" s="44"/>
      <c r="BL75" s="5">
        <v>466097342</v>
      </c>
      <c r="BM75" s="5">
        <v>347383379</v>
      </c>
      <c r="BN75" s="15">
        <v>612100</v>
      </c>
      <c r="BO75" s="3"/>
      <c r="BP75" s="1"/>
      <c r="BQ75" s="1"/>
      <c r="BR75" s="5"/>
      <c r="BS75" s="5"/>
      <c r="BT75" s="5"/>
    </row>
    <row r="76" spans="1:72" x14ac:dyDescent="0.25">
      <c r="A76" s="6" t="s">
        <v>130</v>
      </c>
      <c r="B76" s="40">
        <v>164800844</v>
      </c>
      <c r="C76" s="40">
        <v>137402511</v>
      </c>
      <c r="D76" s="40">
        <v>47193685</v>
      </c>
      <c r="E76" s="40">
        <v>0</v>
      </c>
      <c r="F76" s="40">
        <v>22009060</v>
      </c>
      <c r="G76" s="40">
        <v>5742224</v>
      </c>
      <c r="H76" s="40">
        <v>5532900</v>
      </c>
      <c r="I76" s="40">
        <v>346620</v>
      </c>
      <c r="J76" s="40">
        <v>0</v>
      </c>
      <c r="K76" s="40">
        <v>0</v>
      </c>
      <c r="L76" s="40">
        <v>222884833</v>
      </c>
      <c r="M76" s="40">
        <v>0</v>
      </c>
      <c r="N76" s="40">
        <v>913</v>
      </c>
      <c r="O76" s="40">
        <v>222</v>
      </c>
      <c r="P76" s="40">
        <v>1858400</v>
      </c>
      <c r="Q76" s="40">
        <v>1373940</v>
      </c>
      <c r="R76" s="40">
        <v>725000</v>
      </c>
      <c r="S76" s="40">
        <v>1082152</v>
      </c>
      <c r="T76" s="40">
        <v>232227</v>
      </c>
      <c r="U76" s="40">
        <v>91300</v>
      </c>
      <c r="V76" s="40">
        <v>1858400</v>
      </c>
      <c r="W76" s="40">
        <v>1373940</v>
      </c>
      <c r="X76" s="40">
        <v>725000</v>
      </c>
      <c r="Y76" s="40">
        <v>1082152</v>
      </c>
      <c r="Z76" s="40">
        <v>849499</v>
      </c>
      <c r="AA76" s="40">
        <v>91300</v>
      </c>
      <c r="AB76" s="40">
        <v>-914666</v>
      </c>
      <c r="AC76" s="40">
        <v>-13893</v>
      </c>
      <c r="AD76" s="40">
        <v>16379</v>
      </c>
      <c r="AE76" s="40">
        <v>2486</v>
      </c>
      <c r="AF76" s="40">
        <v>5002433</v>
      </c>
      <c r="AG76" s="40">
        <v>151428</v>
      </c>
      <c r="AH76" s="40">
        <v>5006892</v>
      </c>
      <c r="AI76" s="40">
        <v>38125</v>
      </c>
      <c r="AJ76" s="40">
        <v>294697</v>
      </c>
      <c r="AK76" s="42">
        <v>58485221</v>
      </c>
      <c r="AL76" s="42">
        <v>2139798</v>
      </c>
      <c r="AM76" s="40">
        <v>0</v>
      </c>
      <c r="AN76" s="40">
        <v>9170350</v>
      </c>
      <c r="AO76" s="40">
        <v>1022962</v>
      </c>
      <c r="AP76" s="40">
        <v>5857847</v>
      </c>
      <c r="AQ76" s="40">
        <v>9207076</v>
      </c>
      <c r="AR76" s="40">
        <v>10638079</v>
      </c>
      <c r="AS76" s="40">
        <v>0</v>
      </c>
      <c r="AT76" s="40">
        <v>33580</v>
      </c>
      <c r="AU76" s="40">
        <v>0</v>
      </c>
      <c r="AV76" s="40">
        <v>0</v>
      </c>
      <c r="AW76" s="40">
        <v>14613502</v>
      </c>
      <c r="AX76" s="40">
        <v>869</v>
      </c>
      <c r="AY76" s="40">
        <v>185800</v>
      </c>
      <c r="AZ76" s="1">
        <v>4807721.13</v>
      </c>
      <c r="BA76" s="1">
        <v>2451938</v>
      </c>
      <c r="BB76" s="43">
        <v>11706735.75</v>
      </c>
      <c r="BC76" s="15">
        <v>0</v>
      </c>
      <c r="BD76" s="15">
        <v>0</v>
      </c>
      <c r="BE76" s="20">
        <v>6206674</v>
      </c>
      <c r="BF76" s="20">
        <v>6206674</v>
      </c>
      <c r="BG76" s="20">
        <v>20075405</v>
      </c>
      <c r="BH76" s="20">
        <v>20075405</v>
      </c>
      <c r="BI76" s="44"/>
      <c r="BJ76" s="44"/>
      <c r="BK76" s="44"/>
      <c r="BL76" s="5">
        <v>463496178</v>
      </c>
      <c r="BM76" s="5">
        <v>374137142</v>
      </c>
      <c r="BN76" s="15">
        <v>558226</v>
      </c>
      <c r="BO76" s="3"/>
      <c r="BP76" s="1"/>
      <c r="BQ76" s="1"/>
      <c r="BR76" s="5"/>
      <c r="BS76" s="5"/>
      <c r="BT76" s="5"/>
    </row>
    <row r="77" spans="1:72" x14ac:dyDescent="0.25">
      <c r="A77" s="6" t="s">
        <v>131</v>
      </c>
      <c r="B77" s="40">
        <v>2825117047</v>
      </c>
      <c r="C77" s="40">
        <v>242576712</v>
      </c>
      <c r="D77" s="40">
        <v>793087428</v>
      </c>
      <c r="E77" s="40">
        <v>0</v>
      </c>
      <c r="F77" s="40">
        <v>152413202</v>
      </c>
      <c r="G77" s="40">
        <v>27827269</v>
      </c>
      <c r="H77" s="40">
        <v>17627443</v>
      </c>
      <c r="I77" s="40">
        <v>1792050</v>
      </c>
      <c r="J77" s="40">
        <v>539200</v>
      </c>
      <c r="K77" s="40">
        <v>0</v>
      </c>
      <c r="L77" s="40">
        <v>324481388</v>
      </c>
      <c r="M77" s="40">
        <v>157026848</v>
      </c>
      <c r="N77" s="40">
        <v>5279</v>
      </c>
      <c r="O77" s="40">
        <v>952</v>
      </c>
      <c r="P77" s="40">
        <v>30565114</v>
      </c>
      <c r="Q77" s="40">
        <v>2567176</v>
      </c>
      <c r="R77" s="40">
        <v>19821946</v>
      </c>
      <c r="S77" s="40">
        <v>25184949</v>
      </c>
      <c r="T77" s="40">
        <v>4307098</v>
      </c>
      <c r="U77" s="40">
        <v>5833703</v>
      </c>
      <c r="V77" s="40">
        <v>30565114</v>
      </c>
      <c r="W77" s="40">
        <v>3020365</v>
      </c>
      <c r="X77" s="40">
        <v>19821946</v>
      </c>
      <c r="Y77" s="40">
        <v>25184949</v>
      </c>
      <c r="Z77" s="40">
        <v>2856070</v>
      </c>
      <c r="AA77" s="40">
        <v>5833703</v>
      </c>
      <c r="AB77" s="40">
        <v>-22999246</v>
      </c>
      <c r="AC77" s="40">
        <v>-311108</v>
      </c>
      <c r="AD77" s="40">
        <v>2197</v>
      </c>
      <c r="AE77" s="40">
        <v>12424</v>
      </c>
      <c r="AF77" s="40">
        <v>81118072</v>
      </c>
      <c r="AG77" s="40">
        <v>241196</v>
      </c>
      <c r="AH77" s="3"/>
      <c r="AI77" s="40">
        <v>1424574</v>
      </c>
      <c r="AJ77" s="3"/>
      <c r="AK77" s="42">
        <v>417521849</v>
      </c>
      <c r="AL77" s="42">
        <v>11946836</v>
      </c>
      <c r="AM77" s="40">
        <v>73125</v>
      </c>
      <c r="AN77" s="40">
        <v>115258831</v>
      </c>
      <c r="AO77" s="40">
        <v>12893842</v>
      </c>
      <c r="AP77" s="40">
        <v>437928980</v>
      </c>
      <c r="AQ77" s="40">
        <v>111312996</v>
      </c>
      <c r="AR77" s="40">
        <v>150222250</v>
      </c>
      <c r="AS77" s="40">
        <v>60811460</v>
      </c>
      <c r="AT77" s="40">
        <v>1014647</v>
      </c>
      <c r="AU77" s="40">
        <v>0</v>
      </c>
      <c r="AV77" s="40">
        <v>0</v>
      </c>
      <c r="AW77" s="40">
        <v>62442771</v>
      </c>
      <c r="AX77" s="40">
        <v>139696</v>
      </c>
      <c r="AY77" s="40">
        <v>1465550</v>
      </c>
      <c r="AZ77" s="1">
        <v>34321980.490000002</v>
      </c>
      <c r="BA77" s="1">
        <v>17504210</v>
      </c>
      <c r="BB77" s="43"/>
      <c r="BC77" s="15">
        <v>1829355</v>
      </c>
      <c r="BD77" s="15">
        <v>3658709</v>
      </c>
      <c r="BE77" s="20">
        <v>38897792</v>
      </c>
      <c r="BF77" s="20">
        <v>38897792</v>
      </c>
      <c r="BG77" s="20">
        <v>90848519</v>
      </c>
      <c r="BH77" s="20">
        <v>87567151</v>
      </c>
      <c r="BI77" s="44"/>
      <c r="BJ77" s="44"/>
      <c r="BK77" s="44"/>
      <c r="BL77" s="5">
        <v>4676938623</v>
      </c>
      <c r="BM77" s="5">
        <v>4101671430</v>
      </c>
      <c r="BN77" s="15">
        <v>3067810</v>
      </c>
      <c r="BO77" s="3"/>
      <c r="BP77" s="1"/>
      <c r="BQ77" s="1"/>
      <c r="BR77" s="5"/>
      <c r="BS77" s="5"/>
      <c r="BT77" s="5"/>
    </row>
    <row r="78" spans="1:72" x14ac:dyDescent="0.25">
      <c r="A78" s="6" t="s">
        <v>132</v>
      </c>
      <c r="B78" s="40">
        <v>105054830</v>
      </c>
      <c r="C78" s="40">
        <v>46376085</v>
      </c>
      <c r="D78" s="40">
        <v>33970954</v>
      </c>
      <c r="E78" s="40">
        <v>0</v>
      </c>
      <c r="F78" s="40">
        <v>16449000</v>
      </c>
      <c r="G78" s="40">
        <v>21495430</v>
      </c>
      <c r="H78" s="40">
        <v>8647371</v>
      </c>
      <c r="I78" s="40">
        <v>6240940</v>
      </c>
      <c r="J78" s="40">
        <v>15000</v>
      </c>
      <c r="K78" s="40">
        <v>0</v>
      </c>
      <c r="L78" s="40">
        <v>74425918</v>
      </c>
      <c r="M78" s="40">
        <v>30843650</v>
      </c>
      <c r="N78" s="40">
        <v>852</v>
      </c>
      <c r="O78" s="40">
        <v>1032</v>
      </c>
      <c r="P78" s="40">
        <v>1028900</v>
      </c>
      <c r="Q78" s="40">
        <v>1027600</v>
      </c>
      <c r="R78" s="40">
        <v>127500</v>
      </c>
      <c r="S78" s="40">
        <v>1992750</v>
      </c>
      <c r="T78" s="40">
        <v>165900</v>
      </c>
      <c r="U78" s="40">
        <v>53500</v>
      </c>
      <c r="V78" s="40">
        <v>1028900</v>
      </c>
      <c r="W78" s="40">
        <v>1106000</v>
      </c>
      <c r="X78" s="40">
        <v>127500</v>
      </c>
      <c r="Y78" s="40">
        <v>1992750</v>
      </c>
      <c r="Z78" s="40">
        <v>202700</v>
      </c>
      <c r="AA78" s="40">
        <v>53500</v>
      </c>
      <c r="AB78" s="40">
        <v>-1370600</v>
      </c>
      <c r="AC78" s="40">
        <v>-47243</v>
      </c>
      <c r="AD78" s="40">
        <v>148004</v>
      </c>
      <c r="AE78" s="40">
        <v>0</v>
      </c>
      <c r="AF78" s="40">
        <v>0</v>
      </c>
      <c r="AG78" s="40">
        <v>191901</v>
      </c>
      <c r="AH78" s="40">
        <v>5132766</v>
      </c>
      <c r="AI78" s="40">
        <v>12484738</v>
      </c>
      <c r="AJ78" s="40">
        <v>28027554</v>
      </c>
      <c r="AK78" s="42">
        <v>63816209</v>
      </c>
      <c r="AL78" s="42">
        <v>1731810</v>
      </c>
      <c r="AM78" s="40">
        <v>0</v>
      </c>
      <c r="AN78" s="40">
        <v>77443724</v>
      </c>
      <c r="AO78" s="40">
        <v>20404</v>
      </c>
      <c r="AP78" s="40">
        <v>4757949</v>
      </c>
      <c r="AQ78" s="40">
        <v>10306373</v>
      </c>
      <c r="AR78" s="40">
        <v>5359033</v>
      </c>
      <c r="AS78" s="40">
        <v>0</v>
      </c>
      <c r="AT78" s="40">
        <v>40867</v>
      </c>
      <c r="AU78" s="40">
        <v>0</v>
      </c>
      <c r="AV78" s="40">
        <v>0</v>
      </c>
      <c r="AW78" s="40">
        <v>0</v>
      </c>
      <c r="AX78" s="40">
        <v>0</v>
      </c>
      <c r="AY78" s="40">
        <v>0</v>
      </c>
      <c r="AZ78" s="1">
        <v>5245949.8499999996</v>
      </c>
      <c r="BA78" s="1">
        <v>2675434</v>
      </c>
      <c r="BB78" s="43"/>
      <c r="BC78" s="15">
        <v>0</v>
      </c>
      <c r="BD78" s="15">
        <v>0</v>
      </c>
      <c r="BE78" s="20">
        <v>1579731</v>
      </c>
      <c r="BF78" s="20">
        <v>1556009</v>
      </c>
      <c r="BG78" s="20">
        <v>35167826</v>
      </c>
      <c r="BH78" s="20">
        <v>35120140</v>
      </c>
      <c r="BI78" s="44"/>
      <c r="BJ78" s="44"/>
      <c r="BK78" s="44"/>
      <c r="BL78" s="5">
        <v>423717030</v>
      </c>
      <c r="BM78" s="5">
        <v>318817428</v>
      </c>
      <c r="BN78" s="15">
        <v>273314</v>
      </c>
      <c r="BO78" s="3"/>
      <c r="BP78" s="1"/>
      <c r="BQ78" s="1"/>
      <c r="BR78" s="5"/>
      <c r="BS78" s="5"/>
      <c r="BT78" s="5"/>
    </row>
    <row r="79" spans="1:72" x14ac:dyDescent="0.25">
      <c r="A79" s="6" t="s">
        <v>133</v>
      </c>
      <c r="B79" s="40">
        <v>410108079</v>
      </c>
      <c r="C79" s="40">
        <v>176263545</v>
      </c>
      <c r="D79" s="40">
        <v>239056747</v>
      </c>
      <c r="E79" s="40">
        <v>3500000</v>
      </c>
      <c r="F79" s="40">
        <v>37842750</v>
      </c>
      <c r="G79" s="40">
        <v>10325260</v>
      </c>
      <c r="H79" s="40">
        <v>12152700</v>
      </c>
      <c r="I79" s="40">
        <v>1855500</v>
      </c>
      <c r="J79" s="40">
        <v>63700</v>
      </c>
      <c r="K79" s="40">
        <v>33700</v>
      </c>
      <c r="L79" s="40">
        <v>295482554</v>
      </c>
      <c r="M79" s="40">
        <v>105393131</v>
      </c>
      <c r="N79" s="40">
        <v>1531</v>
      </c>
      <c r="O79" s="40">
        <v>404</v>
      </c>
      <c r="P79" s="40">
        <v>3794330</v>
      </c>
      <c r="Q79" s="40">
        <v>2231400</v>
      </c>
      <c r="R79" s="40">
        <v>5764000</v>
      </c>
      <c r="S79" s="40">
        <v>5289294</v>
      </c>
      <c r="T79" s="40">
        <v>2259600</v>
      </c>
      <c r="U79" s="40">
        <v>1008100</v>
      </c>
      <c r="V79" s="40">
        <v>3794330</v>
      </c>
      <c r="W79" s="40">
        <v>2310200</v>
      </c>
      <c r="X79" s="40">
        <v>5764000</v>
      </c>
      <c r="Y79" s="40">
        <v>5289294</v>
      </c>
      <c r="Z79" s="40">
        <v>3403387</v>
      </c>
      <c r="AA79" s="40">
        <v>1008100</v>
      </c>
      <c r="AB79" s="40">
        <v>-1562956</v>
      </c>
      <c r="AC79" s="40">
        <v>-60919</v>
      </c>
      <c r="AD79" s="40">
        <v>55601</v>
      </c>
      <c r="AE79" s="40">
        <v>0</v>
      </c>
      <c r="AF79" s="40">
        <v>0</v>
      </c>
      <c r="AG79" s="40">
        <v>204958</v>
      </c>
      <c r="AH79" s="3"/>
      <c r="AI79" s="40">
        <v>310131</v>
      </c>
      <c r="AJ79" s="3"/>
      <c r="AK79" s="42">
        <v>92170093</v>
      </c>
      <c r="AL79" s="42">
        <v>1981456</v>
      </c>
      <c r="AM79" s="40">
        <v>0</v>
      </c>
      <c r="AN79" s="40">
        <v>33313375</v>
      </c>
      <c r="AO79" s="40">
        <v>5644030</v>
      </c>
      <c r="AP79" s="40">
        <v>202009420</v>
      </c>
      <c r="AQ79" s="40">
        <v>29477476</v>
      </c>
      <c r="AR79" s="40">
        <v>50183474</v>
      </c>
      <c r="AS79" s="40">
        <v>1891810</v>
      </c>
      <c r="AT79" s="40">
        <v>301177</v>
      </c>
      <c r="AU79" s="40">
        <v>0</v>
      </c>
      <c r="AV79" s="40">
        <v>0</v>
      </c>
      <c r="AW79" s="40">
        <v>94874</v>
      </c>
      <c r="AX79" s="40">
        <v>0</v>
      </c>
      <c r="AY79" s="40">
        <v>0</v>
      </c>
      <c r="AZ79" s="1">
        <v>7576753.5099999998</v>
      </c>
      <c r="BA79" s="1">
        <v>3864144</v>
      </c>
      <c r="BB79" s="43"/>
      <c r="BC79" s="15">
        <v>0</v>
      </c>
      <c r="BD79" s="15">
        <v>0</v>
      </c>
      <c r="BE79" s="20">
        <v>8501364</v>
      </c>
      <c r="BF79" s="20">
        <v>8501364</v>
      </c>
      <c r="BG79" s="20">
        <v>28367252</v>
      </c>
      <c r="BH79" s="20">
        <v>28250119</v>
      </c>
      <c r="BI79" s="44">
        <v>51238802</v>
      </c>
      <c r="BJ79" s="44"/>
      <c r="BK79" s="44"/>
      <c r="BL79" s="5">
        <v>1080179361</v>
      </c>
      <c r="BM79" s="5">
        <v>894173383</v>
      </c>
      <c r="BN79" s="15">
        <v>625000</v>
      </c>
      <c r="BO79" s="3"/>
      <c r="BP79" s="1"/>
      <c r="BQ79" s="1"/>
      <c r="BR79" s="5"/>
      <c r="BS79" s="5"/>
      <c r="BT79" s="5"/>
    </row>
    <row r="80" spans="1:72" x14ac:dyDescent="0.25">
      <c r="A80" s="6" t="s">
        <v>134</v>
      </c>
      <c r="B80" s="40">
        <v>1089336143</v>
      </c>
      <c r="C80" s="40">
        <v>172284418</v>
      </c>
      <c r="D80" s="40">
        <v>316035270</v>
      </c>
      <c r="E80" s="40">
        <v>0</v>
      </c>
      <c r="F80" s="40">
        <v>95369344</v>
      </c>
      <c r="G80" s="40">
        <v>16696550</v>
      </c>
      <c r="H80" s="40">
        <v>18525124</v>
      </c>
      <c r="I80" s="40">
        <v>1995221</v>
      </c>
      <c r="J80" s="40">
        <v>427500</v>
      </c>
      <c r="K80" s="40">
        <v>0</v>
      </c>
      <c r="L80" s="40">
        <v>184598203</v>
      </c>
      <c r="M80" s="40">
        <v>144291701</v>
      </c>
      <c r="N80" s="40">
        <v>3604</v>
      </c>
      <c r="O80" s="40">
        <v>633</v>
      </c>
      <c r="P80" s="40">
        <v>18910445</v>
      </c>
      <c r="Q80" s="40">
        <v>3812770</v>
      </c>
      <c r="R80" s="40">
        <v>3537600</v>
      </c>
      <c r="S80" s="40">
        <v>3622548</v>
      </c>
      <c r="T80" s="40">
        <v>270800</v>
      </c>
      <c r="U80" s="40">
        <v>471900</v>
      </c>
      <c r="V80" s="40">
        <v>18910445</v>
      </c>
      <c r="W80" s="40">
        <v>3812770</v>
      </c>
      <c r="X80" s="40">
        <v>3537600</v>
      </c>
      <c r="Y80" s="40">
        <v>3622548</v>
      </c>
      <c r="Z80" s="40">
        <v>270800</v>
      </c>
      <c r="AA80" s="40">
        <v>471900</v>
      </c>
      <c r="AB80" s="40">
        <v>-8316566</v>
      </c>
      <c r="AC80" s="40">
        <v>-120000</v>
      </c>
      <c r="AD80" s="40">
        <v>0</v>
      </c>
      <c r="AE80" s="40">
        <v>0</v>
      </c>
      <c r="AF80" s="40">
        <v>0</v>
      </c>
      <c r="AG80" s="40">
        <v>14441</v>
      </c>
      <c r="AH80" s="3"/>
      <c r="AI80" s="40">
        <v>34467</v>
      </c>
      <c r="AJ80" s="3"/>
      <c r="AK80" s="42">
        <v>214868468</v>
      </c>
      <c r="AL80" s="42">
        <v>23260888</v>
      </c>
      <c r="AM80" s="40">
        <v>4896355</v>
      </c>
      <c r="AN80" s="40">
        <v>71699959</v>
      </c>
      <c r="AO80" s="40">
        <v>38318413</v>
      </c>
      <c r="AP80" s="40">
        <v>773667742</v>
      </c>
      <c r="AQ80" s="40">
        <v>60136307</v>
      </c>
      <c r="AR80" s="40">
        <v>141173929</v>
      </c>
      <c r="AS80" s="40">
        <v>82253420</v>
      </c>
      <c r="AT80" s="40">
        <v>396685</v>
      </c>
      <c r="AU80" s="40">
        <v>0</v>
      </c>
      <c r="AV80" s="40">
        <v>0</v>
      </c>
      <c r="AW80" s="40">
        <v>0</v>
      </c>
      <c r="AX80" s="40">
        <v>0</v>
      </c>
      <c r="AY80" s="40">
        <v>80519</v>
      </c>
      <c r="AZ80" s="1">
        <v>17663054.960000001</v>
      </c>
      <c r="BA80" s="1">
        <v>9008158</v>
      </c>
      <c r="BB80" s="43">
        <v>14449222.800000001</v>
      </c>
      <c r="BC80" s="15">
        <v>1105818</v>
      </c>
      <c r="BD80" s="15">
        <v>2211636</v>
      </c>
      <c r="BE80" s="20">
        <v>18780790</v>
      </c>
      <c r="BF80" s="20">
        <v>15442066</v>
      </c>
      <c r="BG80" s="20">
        <v>60021585</v>
      </c>
      <c r="BH80" s="20">
        <v>58622281</v>
      </c>
      <c r="BI80" s="44"/>
      <c r="BJ80" s="44">
        <v>2871349</v>
      </c>
      <c r="BK80" s="44"/>
      <c r="BL80" s="5">
        <v>2073024005</v>
      </c>
      <c r="BM80" s="5">
        <v>1747844977</v>
      </c>
      <c r="BN80" s="15">
        <v>2003821</v>
      </c>
      <c r="BO80" s="3"/>
      <c r="BP80" s="1"/>
      <c r="BQ80" s="1"/>
      <c r="BR80" s="5"/>
      <c r="BS80" s="5"/>
      <c r="BT80" s="5"/>
    </row>
    <row r="81" spans="1:72" x14ac:dyDescent="0.25">
      <c r="A81" s="6" t="s">
        <v>135</v>
      </c>
      <c r="B81" s="40">
        <v>91634397</v>
      </c>
      <c r="C81" s="40">
        <v>35880414</v>
      </c>
      <c r="D81" s="40">
        <v>64007629</v>
      </c>
      <c r="E81" s="40">
        <v>0</v>
      </c>
      <c r="F81" s="40">
        <v>11759725</v>
      </c>
      <c r="G81" s="40">
        <v>24985900</v>
      </c>
      <c r="H81" s="40">
        <v>5986837</v>
      </c>
      <c r="I81" s="40">
        <v>5098400</v>
      </c>
      <c r="J81" s="40">
        <v>67400</v>
      </c>
      <c r="K81" s="40">
        <v>0</v>
      </c>
      <c r="L81" s="40">
        <v>14798342</v>
      </c>
      <c r="M81" s="40">
        <v>5150</v>
      </c>
      <c r="N81" s="40">
        <v>713</v>
      </c>
      <c r="O81" s="40">
        <v>1285</v>
      </c>
      <c r="P81" s="40">
        <v>3064825</v>
      </c>
      <c r="Q81" s="40">
        <v>21200</v>
      </c>
      <c r="R81" s="40">
        <v>311000</v>
      </c>
      <c r="S81" s="40">
        <v>1963325</v>
      </c>
      <c r="T81" s="40">
        <v>437375</v>
      </c>
      <c r="U81" s="40">
        <v>797100</v>
      </c>
      <c r="V81" s="40">
        <v>3064825</v>
      </c>
      <c r="W81" s="40">
        <v>42400</v>
      </c>
      <c r="X81" s="40">
        <v>311000</v>
      </c>
      <c r="Y81" s="40">
        <v>1963325</v>
      </c>
      <c r="Z81" s="40">
        <v>467825</v>
      </c>
      <c r="AA81" s="40">
        <v>797100</v>
      </c>
      <c r="AB81" s="40">
        <v>-2358025</v>
      </c>
      <c r="AC81" s="40">
        <v>0</v>
      </c>
      <c r="AD81" s="40">
        <v>0</v>
      </c>
      <c r="AE81" s="40">
        <v>0</v>
      </c>
      <c r="AF81" s="40">
        <v>0</v>
      </c>
      <c r="AG81" s="40">
        <v>0</v>
      </c>
      <c r="AH81" s="40">
        <v>1787460</v>
      </c>
      <c r="AI81" s="40">
        <v>100743003</v>
      </c>
      <c r="AJ81" s="40">
        <v>100927805</v>
      </c>
      <c r="AK81" s="42">
        <v>70485619</v>
      </c>
      <c r="AL81" s="42">
        <v>2468617</v>
      </c>
      <c r="AM81" s="40">
        <v>85000</v>
      </c>
      <c r="AN81" s="40">
        <v>122559017</v>
      </c>
      <c r="AO81" s="40">
        <v>1787224</v>
      </c>
      <c r="AP81" s="40">
        <v>34155224</v>
      </c>
      <c r="AQ81" s="40">
        <v>9770355</v>
      </c>
      <c r="AR81" s="40">
        <v>6273399</v>
      </c>
      <c r="AS81" s="40">
        <v>3532881</v>
      </c>
      <c r="AT81" s="40">
        <v>152958</v>
      </c>
      <c r="AU81" s="40">
        <v>0</v>
      </c>
      <c r="AV81" s="40">
        <v>0</v>
      </c>
      <c r="AW81" s="40">
        <v>0</v>
      </c>
      <c r="AX81" s="40">
        <v>0</v>
      </c>
      <c r="AY81" s="40">
        <v>11366000</v>
      </c>
      <c r="AZ81" s="1">
        <v>5794202.2599999998</v>
      </c>
      <c r="BA81" s="1">
        <v>2955043</v>
      </c>
      <c r="BB81" s="43"/>
      <c r="BC81" s="15">
        <v>2585836</v>
      </c>
      <c r="BD81" s="15">
        <v>5171672</v>
      </c>
      <c r="BE81" s="20">
        <v>12401352</v>
      </c>
      <c r="BF81" s="20">
        <v>12401352</v>
      </c>
      <c r="BG81" s="20">
        <v>35278792</v>
      </c>
      <c r="BH81" s="20">
        <v>32061265</v>
      </c>
      <c r="BI81" s="44"/>
      <c r="BJ81" s="44"/>
      <c r="BK81" s="44"/>
      <c r="BL81" s="5">
        <v>652055036</v>
      </c>
      <c r="BM81" s="5">
        <v>529097304</v>
      </c>
      <c r="BN81" s="15">
        <v>1282530</v>
      </c>
      <c r="BO81" s="3"/>
      <c r="BP81" s="1"/>
      <c r="BQ81" s="1"/>
      <c r="BR81" s="5"/>
      <c r="BS81" s="5"/>
      <c r="BT81" s="5"/>
    </row>
    <row r="82" spans="1:72" x14ac:dyDescent="0.25">
      <c r="A82" s="6" t="s">
        <v>136</v>
      </c>
      <c r="B82" s="40">
        <v>387547941</v>
      </c>
      <c r="C82" s="40">
        <v>101391555</v>
      </c>
      <c r="D82" s="40">
        <v>235823000</v>
      </c>
      <c r="E82" s="40">
        <v>21859010</v>
      </c>
      <c r="F82" s="40">
        <v>38365035</v>
      </c>
      <c r="G82" s="40">
        <v>5064000</v>
      </c>
      <c r="H82" s="40">
        <v>5541545</v>
      </c>
      <c r="I82" s="40">
        <v>767863</v>
      </c>
      <c r="J82" s="40">
        <v>33700</v>
      </c>
      <c r="K82" s="40">
        <v>0</v>
      </c>
      <c r="L82" s="40">
        <v>219119913</v>
      </c>
      <c r="M82" s="40">
        <v>63308660</v>
      </c>
      <c r="N82" s="40">
        <v>1391</v>
      </c>
      <c r="O82" s="40">
        <v>195</v>
      </c>
      <c r="P82" s="40">
        <v>3120831</v>
      </c>
      <c r="Q82" s="40">
        <v>1198307</v>
      </c>
      <c r="R82" s="40">
        <v>374000</v>
      </c>
      <c r="S82" s="40">
        <v>1769243</v>
      </c>
      <c r="T82" s="40">
        <v>73938</v>
      </c>
      <c r="U82" s="40">
        <v>1844750</v>
      </c>
      <c r="V82" s="40">
        <v>3120831</v>
      </c>
      <c r="W82" s="40">
        <v>1286262</v>
      </c>
      <c r="X82" s="40">
        <v>374000</v>
      </c>
      <c r="Y82" s="40">
        <v>1769243</v>
      </c>
      <c r="Z82" s="40">
        <v>427784</v>
      </c>
      <c r="AA82" s="40">
        <v>1844750</v>
      </c>
      <c r="AB82" s="40">
        <v>-2830399</v>
      </c>
      <c r="AC82" s="40">
        <v>-45378</v>
      </c>
      <c r="AD82" s="40">
        <v>0</v>
      </c>
      <c r="AE82" s="40">
        <v>0</v>
      </c>
      <c r="AF82" s="40">
        <v>0</v>
      </c>
      <c r="AG82" s="40">
        <v>136920</v>
      </c>
      <c r="AH82" s="40">
        <v>2760</v>
      </c>
      <c r="AI82" s="40">
        <v>2289484</v>
      </c>
      <c r="AJ82" s="3"/>
      <c r="AK82" s="42">
        <v>93449834</v>
      </c>
      <c r="AL82" s="42">
        <v>1957691</v>
      </c>
      <c r="AM82" s="40">
        <v>0</v>
      </c>
      <c r="AN82" s="40">
        <v>71835026</v>
      </c>
      <c r="AO82" s="40">
        <v>10658304</v>
      </c>
      <c r="AP82" s="40">
        <v>185189285</v>
      </c>
      <c r="AQ82" s="40">
        <v>36258483</v>
      </c>
      <c r="AR82" s="40">
        <v>30836715</v>
      </c>
      <c r="AS82" s="40">
        <v>52595203</v>
      </c>
      <c r="AT82" s="40">
        <v>0</v>
      </c>
      <c r="AU82" s="40">
        <v>0</v>
      </c>
      <c r="AV82" s="40">
        <v>0</v>
      </c>
      <c r="AW82" s="40">
        <v>30467953</v>
      </c>
      <c r="AX82" s="40">
        <v>0</v>
      </c>
      <c r="AY82" s="40">
        <v>479602</v>
      </c>
      <c r="AZ82" s="1">
        <v>7681953.3799999999</v>
      </c>
      <c r="BA82" s="1">
        <v>3917796</v>
      </c>
      <c r="BB82" s="43">
        <v>16291191.710000001</v>
      </c>
      <c r="BC82" s="15">
        <v>3214268</v>
      </c>
      <c r="BD82" s="15">
        <v>6428537</v>
      </c>
      <c r="BE82" s="20">
        <v>168254623</v>
      </c>
      <c r="BF82" s="20">
        <v>168254623</v>
      </c>
      <c r="BG82" s="20">
        <v>98535872</v>
      </c>
      <c r="BH82" s="20">
        <v>94664053</v>
      </c>
      <c r="BI82" s="44"/>
      <c r="BJ82" s="44"/>
      <c r="BK82" s="44"/>
      <c r="BL82" s="5">
        <v>1211264818</v>
      </c>
      <c r="BM82" s="5">
        <v>845806553</v>
      </c>
      <c r="BN82" s="15">
        <v>496424</v>
      </c>
      <c r="BO82" s="3"/>
      <c r="BP82" s="1"/>
      <c r="BQ82" s="1"/>
      <c r="BR82" s="5"/>
      <c r="BS82" s="5"/>
      <c r="BT82" s="5"/>
    </row>
    <row r="83" spans="1:72" x14ac:dyDescent="0.25">
      <c r="A83" s="6" t="s">
        <v>137</v>
      </c>
      <c r="B83" s="40">
        <v>748092708</v>
      </c>
      <c r="C83" s="40">
        <v>143191850</v>
      </c>
      <c r="D83" s="40">
        <v>93452300</v>
      </c>
      <c r="E83" s="40">
        <v>0</v>
      </c>
      <c r="F83" s="40">
        <v>43917944</v>
      </c>
      <c r="G83" s="40">
        <v>12078150</v>
      </c>
      <c r="H83" s="40">
        <v>12645351</v>
      </c>
      <c r="I83" s="40">
        <v>1204949</v>
      </c>
      <c r="J83" s="40">
        <v>134800</v>
      </c>
      <c r="K83" s="40">
        <v>0</v>
      </c>
      <c r="L83" s="40">
        <v>336877950</v>
      </c>
      <c r="M83" s="40">
        <v>35556650</v>
      </c>
      <c r="N83" s="40">
        <v>1836</v>
      </c>
      <c r="O83" s="40">
        <v>462</v>
      </c>
      <c r="P83" s="40">
        <v>10232644</v>
      </c>
      <c r="Q83" s="40">
        <v>1381950</v>
      </c>
      <c r="R83" s="40">
        <v>1296200</v>
      </c>
      <c r="S83" s="40">
        <v>5876650</v>
      </c>
      <c r="T83" s="40">
        <v>183200</v>
      </c>
      <c r="U83" s="40">
        <v>1472500</v>
      </c>
      <c r="V83" s="40">
        <v>10266344</v>
      </c>
      <c r="W83" s="40">
        <v>1655500</v>
      </c>
      <c r="X83" s="40">
        <v>1296200</v>
      </c>
      <c r="Y83" s="40">
        <v>6054449</v>
      </c>
      <c r="Z83" s="40">
        <v>393000</v>
      </c>
      <c r="AA83" s="40">
        <v>1472500</v>
      </c>
      <c r="AB83" s="40">
        <v>-3394800</v>
      </c>
      <c r="AC83" s="40">
        <v>0</v>
      </c>
      <c r="AD83" s="40">
        <v>57812</v>
      </c>
      <c r="AE83" s="40">
        <v>0</v>
      </c>
      <c r="AF83" s="40">
        <v>0</v>
      </c>
      <c r="AG83" s="40">
        <v>153419</v>
      </c>
      <c r="AH83" s="3"/>
      <c r="AI83" s="40">
        <v>12472904</v>
      </c>
      <c r="AJ83" s="3"/>
      <c r="AK83" s="42">
        <v>146476457</v>
      </c>
      <c r="AL83" s="42">
        <v>7122165</v>
      </c>
      <c r="AM83" s="40">
        <v>0</v>
      </c>
      <c r="AN83" s="40">
        <v>35434042</v>
      </c>
      <c r="AO83" s="40">
        <v>1471761</v>
      </c>
      <c r="AP83" s="40">
        <v>67903562</v>
      </c>
      <c r="AQ83" s="40">
        <v>16678051</v>
      </c>
      <c r="AR83" s="40">
        <v>12130297</v>
      </c>
      <c r="AS83" s="40">
        <v>17185225</v>
      </c>
      <c r="AT83" s="40">
        <v>0</v>
      </c>
      <c r="AU83" s="40">
        <v>0</v>
      </c>
      <c r="AV83" s="40">
        <v>0</v>
      </c>
      <c r="AW83" s="40">
        <v>346514</v>
      </c>
      <c r="AX83" s="40">
        <v>6784</v>
      </c>
      <c r="AY83" s="40">
        <v>0</v>
      </c>
      <c r="AZ83" s="1">
        <v>12040955.73</v>
      </c>
      <c r="BA83" s="1">
        <v>6140887</v>
      </c>
      <c r="BB83" s="43">
        <v>46663212.439999998</v>
      </c>
      <c r="BC83" s="15">
        <v>1710008</v>
      </c>
      <c r="BD83" s="15">
        <v>3420016</v>
      </c>
      <c r="BE83" s="20">
        <v>15737579</v>
      </c>
      <c r="BF83" s="20">
        <v>15425326</v>
      </c>
      <c r="BG83" s="20">
        <v>61820995</v>
      </c>
      <c r="BH83" s="20">
        <v>60249388</v>
      </c>
      <c r="BI83" s="44"/>
      <c r="BJ83" s="44"/>
      <c r="BK83" s="44"/>
      <c r="BL83" s="5">
        <v>1287917847</v>
      </c>
      <c r="BM83" s="5">
        <v>1050793616</v>
      </c>
      <c r="BN83" s="15">
        <v>3284950</v>
      </c>
      <c r="BO83" s="3"/>
      <c r="BP83" s="1"/>
      <c r="BQ83" s="1"/>
      <c r="BR83" s="5"/>
      <c r="BS83" s="5"/>
      <c r="BT83" s="5"/>
    </row>
    <row r="84" spans="1:72" x14ac:dyDescent="0.25">
      <c r="A84" s="6" t="s">
        <v>138</v>
      </c>
      <c r="B84" s="40">
        <v>91919667</v>
      </c>
      <c r="C84" s="40">
        <v>31844476</v>
      </c>
      <c r="D84" s="40">
        <v>8534468</v>
      </c>
      <c r="E84" s="40">
        <v>0</v>
      </c>
      <c r="F84" s="40">
        <v>9444895</v>
      </c>
      <c r="G84" s="40">
        <v>8411585</v>
      </c>
      <c r="H84" s="40">
        <v>5254015</v>
      </c>
      <c r="I84" s="40">
        <v>1470880</v>
      </c>
      <c r="J84" s="40">
        <v>0</v>
      </c>
      <c r="K84" s="40">
        <v>33700</v>
      </c>
      <c r="L84" s="40">
        <v>23866217</v>
      </c>
      <c r="M84" s="40">
        <v>20123326</v>
      </c>
      <c r="N84" s="40">
        <v>514</v>
      </c>
      <c r="O84" s="40">
        <v>372</v>
      </c>
      <c r="P84" s="40">
        <v>769702</v>
      </c>
      <c r="Q84" s="40">
        <v>42500</v>
      </c>
      <c r="R84" s="40">
        <v>0</v>
      </c>
      <c r="S84" s="40">
        <v>1015658</v>
      </c>
      <c r="T84" s="40">
        <v>7070</v>
      </c>
      <c r="U84" s="40">
        <v>61275</v>
      </c>
      <c r="V84" s="40">
        <v>769702</v>
      </c>
      <c r="W84" s="40">
        <v>45750</v>
      </c>
      <c r="X84" s="40">
        <v>0</v>
      </c>
      <c r="Y84" s="40">
        <v>1015658</v>
      </c>
      <c r="Z84" s="40">
        <v>41274</v>
      </c>
      <c r="AA84" s="40">
        <v>61275</v>
      </c>
      <c r="AB84" s="40">
        <v>-963470</v>
      </c>
      <c r="AC84" s="40">
        <v>-20992.87</v>
      </c>
      <c r="AD84" s="40">
        <v>66489</v>
      </c>
      <c r="AE84" s="40">
        <v>0</v>
      </c>
      <c r="AF84" s="40">
        <v>3891365</v>
      </c>
      <c r="AG84" s="40">
        <v>76980</v>
      </c>
      <c r="AH84" s="3"/>
      <c r="AI84" s="40">
        <v>362910</v>
      </c>
      <c r="AJ84" s="3"/>
      <c r="AK84" s="42">
        <v>25983632</v>
      </c>
      <c r="AL84" s="42">
        <v>1303462</v>
      </c>
      <c r="AM84" s="40">
        <v>0</v>
      </c>
      <c r="AN84" s="40">
        <v>2512669</v>
      </c>
      <c r="AO84" s="40">
        <v>16995</v>
      </c>
      <c r="AP84" s="40">
        <v>4567139</v>
      </c>
      <c r="AQ84" s="40">
        <v>2981598</v>
      </c>
      <c r="AR84" s="40">
        <v>1973007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1">
        <v>2135959.38</v>
      </c>
      <c r="BA84" s="1">
        <v>1089339</v>
      </c>
      <c r="BB84" s="43"/>
      <c r="BC84" s="15">
        <v>0</v>
      </c>
      <c r="BD84" s="15">
        <v>0</v>
      </c>
      <c r="BE84" s="20">
        <v>3721114</v>
      </c>
      <c r="BF84" s="20">
        <v>3721114</v>
      </c>
      <c r="BG84" s="20">
        <v>14796377</v>
      </c>
      <c r="BH84" s="20">
        <v>14781099</v>
      </c>
      <c r="BI84" s="44"/>
      <c r="BJ84" s="44"/>
      <c r="BK84" s="44"/>
      <c r="BL84" s="5">
        <v>185051429</v>
      </c>
      <c r="BM84" s="5">
        <v>138172783</v>
      </c>
      <c r="BN84" s="15">
        <v>231846</v>
      </c>
      <c r="BO84" s="3"/>
      <c r="BP84" s="1"/>
      <c r="BQ84" s="1"/>
      <c r="BR84" s="5"/>
      <c r="BS84" s="5"/>
      <c r="BT84" s="5"/>
    </row>
    <row r="85" spans="1:72" x14ac:dyDescent="0.25">
      <c r="A85" s="6" t="s">
        <v>139</v>
      </c>
      <c r="B85" s="40">
        <v>741401923</v>
      </c>
      <c r="C85" s="40">
        <v>225846884</v>
      </c>
      <c r="D85" s="40">
        <v>190783480</v>
      </c>
      <c r="E85" s="40">
        <v>0</v>
      </c>
      <c r="F85" s="40">
        <v>57122190</v>
      </c>
      <c r="G85" s="40">
        <v>8845937</v>
      </c>
      <c r="H85" s="40">
        <v>14093096</v>
      </c>
      <c r="I85" s="40">
        <v>1618955</v>
      </c>
      <c r="J85" s="40">
        <v>67400</v>
      </c>
      <c r="K85" s="40">
        <v>0</v>
      </c>
      <c r="L85" s="40">
        <v>335123665</v>
      </c>
      <c r="M85" s="40">
        <v>175957210</v>
      </c>
      <c r="N85" s="40">
        <v>2152</v>
      </c>
      <c r="O85" s="40">
        <v>319</v>
      </c>
      <c r="P85" s="40">
        <v>5900665</v>
      </c>
      <c r="Q85" s="40">
        <v>2893060</v>
      </c>
      <c r="R85" s="40">
        <v>5107924</v>
      </c>
      <c r="S85" s="40">
        <v>6484752</v>
      </c>
      <c r="T85" s="40">
        <v>319352</v>
      </c>
      <c r="U85" s="40">
        <v>2339931</v>
      </c>
      <c r="V85" s="40">
        <v>5900665</v>
      </c>
      <c r="W85" s="40">
        <v>2994226</v>
      </c>
      <c r="X85" s="40">
        <v>5107924</v>
      </c>
      <c r="Y85" s="40">
        <v>6688348</v>
      </c>
      <c r="Z85" s="40">
        <v>699100</v>
      </c>
      <c r="AA85" s="40">
        <v>2339931</v>
      </c>
      <c r="AB85" s="40">
        <v>-1926791</v>
      </c>
      <c r="AC85" s="40">
        <v>56461</v>
      </c>
      <c r="AD85" s="40">
        <v>3489</v>
      </c>
      <c r="AE85" s="40">
        <v>0</v>
      </c>
      <c r="AF85" s="40">
        <v>0</v>
      </c>
      <c r="AG85" s="40">
        <v>139049</v>
      </c>
      <c r="AH85" s="3"/>
      <c r="AI85" s="40">
        <v>114123</v>
      </c>
      <c r="AJ85" s="3"/>
      <c r="AK85" s="42">
        <v>127517074</v>
      </c>
      <c r="AL85" s="42">
        <v>6598761</v>
      </c>
      <c r="AM85" s="40">
        <v>771019</v>
      </c>
      <c r="AN85" s="40">
        <v>31073117</v>
      </c>
      <c r="AO85" s="40">
        <v>7419386</v>
      </c>
      <c r="AP85" s="40">
        <v>216250636</v>
      </c>
      <c r="AQ85" s="40">
        <v>52645399</v>
      </c>
      <c r="AR85" s="40">
        <v>15184749</v>
      </c>
      <c r="AS85" s="40">
        <v>1330677</v>
      </c>
      <c r="AT85" s="40">
        <v>103639328</v>
      </c>
      <c r="AU85" s="40">
        <v>0</v>
      </c>
      <c r="AV85" s="40">
        <v>0</v>
      </c>
      <c r="AW85" s="40">
        <v>26415</v>
      </c>
      <c r="AX85" s="40">
        <v>178877</v>
      </c>
      <c r="AY85" s="40">
        <v>28000</v>
      </c>
      <c r="AZ85" s="1">
        <v>10482417.949999999</v>
      </c>
      <c r="BA85" s="1">
        <v>5346033</v>
      </c>
      <c r="BB85" s="43"/>
      <c r="BC85" s="15">
        <v>2137666</v>
      </c>
      <c r="BD85" s="15">
        <v>4275331</v>
      </c>
      <c r="BE85" s="20">
        <v>42965689</v>
      </c>
      <c r="BF85" s="20">
        <v>42965689</v>
      </c>
      <c r="BG85" s="20">
        <v>55185360</v>
      </c>
      <c r="BH85" s="20">
        <v>51598868</v>
      </c>
      <c r="BI85" s="44"/>
      <c r="BJ85" s="44"/>
      <c r="BK85" s="44"/>
      <c r="BL85" s="5">
        <v>1485448403</v>
      </c>
      <c r="BM85" s="5">
        <v>1249284312</v>
      </c>
      <c r="BN85" s="15">
        <v>823913</v>
      </c>
      <c r="BO85" s="3"/>
      <c r="BP85" s="1"/>
      <c r="BQ85" s="1"/>
      <c r="BR85" s="5"/>
      <c r="BS85" s="5"/>
      <c r="BT85" s="5"/>
    </row>
    <row r="86" spans="1:72" x14ac:dyDescent="0.25">
      <c r="A86" s="6" t="s">
        <v>140</v>
      </c>
      <c r="B86" s="40">
        <v>107991219</v>
      </c>
      <c r="C86" s="40">
        <v>108288952</v>
      </c>
      <c r="D86" s="40">
        <v>47099181</v>
      </c>
      <c r="E86" s="40">
        <v>0</v>
      </c>
      <c r="F86" s="40">
        <v>16916000</v>
      </c>
      <c r="G86" s="40">
        <v>5940856</v>
      </c>
      <c r="H86" s="40">
        <v>13364175</v>
      </c>
      <c r="I86" s="40">
        <v>1865322</v>
      </c>
      <c r="J86" s="40">
        <v>70400</v>
      </c>
      <c r="K86" s="40">
        <v>0</v>
      </c>
      <c r="L86" s="40">
        <v>150413222</v>
      </c>
      <c r="M86" s="40">
        <v>0</v>
      </c>
      <c r="N86" s="40">
        <v>981</v>
      </c>
      <c r="O86" s="40">
        <v>292</v>
      </c>
      <c r="P86" s="40">
        <v>1978680</v>
      </c>
      <c r="Q86" s="40">
        <v>3037471</v>
      </c>
      <c r="R86" s="40">
        <v>1019500</v>
      </c>
      <c r="S86" s="40">
        <v>1460482</v>
      </c>
      <c r="T86" s="40">
        <v>1682668</v>
      </c>
      <c r="U86" s="40">
        <v>467820</v>
      </c>
      <c r="V86" s="40">
        <v>1978680</v>
      </c>
      <c r="W86" s="40">
        <v>4065895</v>
      </c>
      <c r="X86" s="40">
        <v>1019500</v>
      </c>
      <c r="Y86" s="40">
        <v>1460482</v>
      </c>
      <c r="Z86" s="40">
        <v>2113835</v>
      </c>
      <c r="AA86" s="40">
        <v>467820</v>
      </c>
      <c r="AB86" s="40">
        <v>-1212350</v>
      </c>
      <c r="AC86" s="40">
        <v>-25503</v>
      </c>
      <c r="AD86" s="40">
        <v>38</v>
      </c>
      <c r="AE86" s="40">
        <v>0</v>
      </c>
      <c r="AF86" s="40">
        <v>0</v>
      </c>
      <c r="AG86" s="40">
        <v>0</v>
      </c>
      <c r="AH86" s="40">
        <v>836180</v>
      </c>
      <c r="AI86" s="3"/>
      <c r="AJ86" s="3"/>
      <c r="AK86" s="42">
        <v>45184527</v>
      </c>
      <c r="AL86" s="42">
        <v>1037034</v>
      </c>
      <c r="AM86" s="40">
        <v>0</v>
      </c>
      <c r="AN86" s="40">
        <v>9459057</v>
      </c>
      <c r="AO86" s="40">
        <v>1047668</v>
      </c>
      <c r="AP86" s="40">
        <v>49899077</v>
      </c>
      <c r="AQ86" s="40">
        <v>8481530</v>
      </c>
      <c r="AR86" s="40">
        <v>20828640</v>
      </c>
      <c r="AS86" s="40">
        <v>8017963</v>
      </c>
      <c r="AT86" s="40">
        <v>381189</v>
      </c>
      <c r="AU86" s="40">
        <v>0</v>
      </c>
      <c r="AV86" s="40">
        <v>0</v>
      </c>
      <c r="AW86" s="40">
        <v>0</v>
      </c>
      <c r="AX86" s="40">
        <v>0</v>
      </c>
      <c r="AY86" s="40">
        <v>10000</v>
      </c>
      <c r="AZ86" s="1">
        <v>3714350.42</v>
      </c>
      <c r="BA86" s="1">
        <v>1894319</v>
      </c>
      <c r="BB86" s="43"/>
      <c r="BC86" s="15">
        <v>0</v>
      </c>
      <c r="BD86" s="15">
        <v>0</v>
      </c>
      <c r="BE86" s="20">
        <v>14650053</v>
      </c>
      <c r="BF86" s="20">
        <v>14650053</v>
      </c>
      <c r="BG86" s="20">
        <v>41312383</v>
      </c>
      <c r="BH86" s="20">
        <v>41298378</v>
      </c>
      <c r="BI86" s="44"/>
      <c r="BJ86" s="44"/>
      <c r="BK86" s="44"/>
      <c r="BL86" s="5">
        <v>387268098</v>
      </c>
      <c r="BM86" s="5">
        <v>283203787</v>
      </c>
      <c r="BN86" s="15">
        <v>610398</v>
      </c>
      <c r="BO86" s="3"/>
      <c r="BP86" s="1"/>
      <c r="BQ86" s="1"/>
      <c r="BR86" s="5"/>
      <c r="BS86" s="5"/>
      <c r="BT86" s="5"/>
    </row>
    <row r="87" spans="1:72" x14ac:dyDescent="0.25">
      <c r="A87" s="6" t="s">
        <v>141</v>
      </c>
      <c r="B87" s="40">
        <v>139477139</v>
      </c>
      <c r="C87" s="40">
        <v>90814625</v>
      </c>
      <c r="D87" s="40">
        <v>40553417</v>
      </c>
      <c r="E87" s="40">
        <v>0</v>
      </c>
      <c r="F87" s="40">
        <v>26327000</v>
      </c>
      <c r="G87" s="40">
        <v>7858950</v>
      </c>
      <c r="H87" s="40">
        <v>10577300</v>
      </c>
      <c r="I87" s="40">
        <v>950500</v>
      </c>
      <c r="J87" s="40">
        <v>31400</v>
      </c>
      <c r="K87" s="40">
        <v>0</v>
      </c>
      <c r="L87" s="40">
        <v>219328753</v>
      </c>
      <c r="M87" s="40">
        <v>0</v>
      </c>
      <c r="N87" s="40">
        <v>1174</v>
      </c>
      <c r="O87" s="40">
        <v>313</v>
      </c>
      <c r="P87" s="40">
        <v>1831500</v>
      </c>
      <c r="Q87" s="40">
        <v>1192500</v>
      </c>
      <c r="R87" s="40">
        <v>11500</v>
      </c>
      <c r="S87" s="40">
        <v>768657</v>
      </c>
      <c r="T87" s="40">
        <v>502300</v>
      </c>
      <c r="U87" s="40">
        <v>3783000</v>
      </c>
      <c r="V87" s="40">
        <v>1831500</v>
      </c>
      <c r="W87" s="40">
        <v>1192500</v>
      </c>
      <c r="X87" s="40">
        <v>11500</v>
      </c>
      <c r="Y87" s="40">
        <v>768657</v>
      </c>
      <c r="Z87" s="40">
        <v>502300</v>
      </c>
      <c r="AA87" s="40">
        <v>3783000</v>
      </c>
      <c r="AB87" s="40">
        <v>-720457</v>
      </c>
      <c r="AC87" s="40">
        <v>0</v>
      </c>
      <c r="AD87" s="40">
        <v>87906</v>
      </c>
      <c r="AE87" s="40">
        <v>0</v>
      </c>
      <c r="AF87" s="40">
        <v>0</v>
      </c>
      <c r="AG87" s="40">
        <v>199795</v>
      </c>
      <c r="AH87" s="40">
        <v>48934</v>
      </c>
      <c r="AI87" s="40">
        <v>68139</v>
      </c>
      <c r="AJ87" s="3"/>
      <c r="AK87" s="42">
        <v>52854061</v>
      </c>
      <c r="AL87" s="42">
        <v>1092396</v>
      </c>
      <c r="AM87" s="3"/>
      <c r="AN87" s="40">
        <v>10526759</v>
      </c>
      <c r="AO87" s="40">
        <v>53646</v>
      </c>
      <c r="AP87" s="40">
        <v>13316039</v>
      </c>
      <c r="AQ87" s="40">
        <v>18830379</v>
      </c>
      <c r="AR87" s="40">
        <v>4872859</v>
      </c>
      <c r="AS87" s="3"/>
      <c r="AT87" s="40">
        <v>404351</v>
      </c>
      <c r="AU87" s="3"/>
      <c r="AV87" s="3"/>
      <c r="AW87" s="3"/>
      <c r="AX87" s="3"/>
      <c r="AY87" s="3"/>
      <c r="AZ87" s="1">
        <v>4344817.0599999996</v>
      </c>
      <c r="BA87" s="1">
        <v>2215857</v>
      </c>
      <c r="BB87" s="43"/>
      <c r="BC87" s="15">
        <v>0</v>
      </c>
      <c r="BD87" s="15">
        <v>0</v>
      </c>
      <c r="BE87" s="20">
        <v>14223981</v>
      </c>
      <c r="BF87" s="20">
        <v>14223981</v>
      </c>
      <c r="BG87" s="20">
        <v>23418580</v>
      </c>
      <c r="BH87" s="20">
        <v>23398209</v>
      </c>
      <c r="BI87" s="44"/>
      <c r="BJ87" s="44"/>
      <c r="BK87" s="44"/>
      <c r="BL87" s="5">
        <v>394157542</v>
      </c>
      <c r="BM87" s="5">
        <v>300373038</v>
      </c>
      <c r="BN87" s="15">
        <v>227200</v>
      </c>
      <c r="BO87" s="3"/>
      <c r="BP87" s="1"/>
      <c r="BQ87" s="1"/>
      <c r="BR87" s="5"/>
      <c r="BS87" s="5"/>
      <c r="BT87" s="5"/>
    </row>
    <row r="88" spans="1:72" x14ac:dyDescent="0.25">
      <c r="A88" s="6" t="s">
        <v>142</v>
      </c>
      <c r="B88" s="40">
        <v>725255234</v>
      </c>
      <c r="C88" s="40">
        <v>110976077</v>
      </c>
      <c r="D88" s="40">
        <v>271002197</v>
      </c>
      <c r="E88" s="40">
        <v>0</v>
      </c>
      <c r="F88" s="40">
        <v>49266850</v>
      </c>
      <c r="G88" s="40">
        <v>17931350</v>
      </c>
      <c r="H88" s="40">
        <v>8605400</v>
      </c>
      <c r="I88" s="40">
        <v>2185000</v>
      </c>
      <c r="J88" s="40">
        <v>202200</v>
      </c>
      <c r="K88" s="40">
        <v>33700</v>
      </c>
      <c r="L88" s="40">
        <v>195009706</v>
      </c>
      <c r="M88" s="40">
        <v>0</v>
      </c>
      <c r="N88" s="40">
        <v>1809</v>
      </c>
      <c r="O88" s="40">
        <v>665</v>
      </c>
      <c r="P88" s="40">
        <v>7802900</v>
      </c>
      <c r="Q88" s="40">
        <v>2897700</v>
      </c>
      <c r="R88" s="40">
        <v>430000</v>
      </c>
      <c r="S88" s="40">
        <v>8099950</v>
      </c>
      <c r="T88" s="40">
        <v>1128550</v>
      </c>
      <c r="U88" s="40">
        <v>10202994</v>
      </c>
      <c r="V88" s="40">
        <v>7802900</v>
      </c>
      <c r="W88" s="40">
        <v>2807600</v>
      </c>
      <c r="X88" s="40">
        <v>430000</v>
      </c>
      <c r="Y88" s="40">
        <v>8099950</v>
      </c>
      <c r="Z88" s="40">
        <v>1552000</v>
      </c>
      <c r="AA88" s="40">
        <v>10202994</v>
      </c>
      <c r="AB88" s="40">
        <v>-2918800</v>
      </c>
      <c r="AC88" s="40">
        <v>-3899</v>
      </c>
      <c r="AD88" s="40">
        <v>5124</v>
      </c>
      <c r="AE88" s="40">
        <v>0</v>
      </c>
      <c r="AF88" s="40">
        <v>0</v>
      </c>
      <c r="AG88" s="40">
        <v>108430</v>
      </c>
      <c r="AH88" s="3"/>
      <c r="AI88" s="40">
        <v>265959</v>
      </c>
      <c r="AJ88" s="3"/>
      <c r="AK88" s="42">
        <v>135880078</v>
      </c>
      <c r="AL88" s="42">
        <v>4007707</v>
      </c>
      <c r="AM88" s="40">
        <v>0</v>
      </c>
      <c r="AN88" s="40">
        <v>49457877</v>
      </c>
      <c r="AO88" s="40">
        <v>2314371</v>
      </c>
      <c r="AP88" s="40">
        <v>157358841</v>
      </c>
      <c r="AQ88" s="40">
        <v>42173964</v>
      </c>
      <c r="AR88" s="40">
        <v>53570791</v>
      </c>
      <c r="AS88" s="40">
        <v>22182277</v>
      </c>
      <c r="AT88" s="40">
        <v>266700</v>
      </c>
      <c r="AU88" s="40">
        <v>0</v>
      </c>
      <c r="AV88" s="40">
        <v>0</v>
      </c>
      <c r="AW88" s="40">
        <v>11470206</v>
      </c>
      <c r="AX88" s="40">
        <v>0</v>
      </c>
      <c r="AY88" s="40">
        <v>3149108</v>
      </c>
      <c r="AZ88" s="1">
        <v>11169890.619999999</v>
      </c>
      <c r="BA88" s="1">
        <v>5696644</v>
      </c>
      <c r="BB88" s="43"/>
      <c r="BC88" s="15">
        <v>0</v>
      </c>
      <c r="BD88" s="15">
        <v>0</v>
      </c>
      <c r="BE88" s="20">
        <v>19171145</v>
      </c>
      <c r="BF88" s="20">
        <v>19171145</v>
      </c>
      <c r="BG88" s="20">
        <v>39257451</v>
      </c>
      <c r="BH88" s="20">
        <v>38280698</v>
      </c>
      <c r="BI88" s="44"/>
      <c r="BJ88" s="44"/>
      <c r="BK88" s="44"/>
      <c r="BL88" s="5">
        <v>1404481951</v>
      </c>
      <c r="BM88" s="5">
        <v>1201445679</v>
      </c>
      <c r="BN88" s="15">
        <v>1275100</v>
      </c>
      <c r="BO88" s="3"/>
      <c r="BP88" s="1"/>
      <c r="BQ88" s="1"/>
      <c r="BR88" s="5"/>
      <c r="BS88" s="5"/>
      <c r="BT88" s="5"/>
    </row>
    <row r="89" spans="1:72" x14ac:dyDescent="0.25">
      <c r="A89" s="6" t="s">
        <v>143</v>
      </c>
      <c r="B89" s="40">
        <v>123146500</v>
      </c>
      <c r="C89" s="40">
        <v>90985550</v>
      </c>
      <c r="D89" s="40">
        <v>39971440</v>
      </c>
      <c r="E89" s="40">
        <v>0</v>
      </c>
      <c r="F89" s="40">
        <v>15710300</v>
      </c>
      <c r="G89" s="40">
        <v>11344600</v>
      </c>
      <c r="H89" s="40">
        <v>11414200</v>
      </c>
      <c r="I89" s="40">
        <v>4526200</v>
      </c>
      <c r="J89" s="40">
        <v>0</v>
      </c>
      <c r="K89" s="40">
        <v>0</v>
      </c>
      <c r="L89" s="40">
        <v>65254675</v>
      </c>
      <c r="M89" s="40">
        <v>0</v>
      </c>
      <c r="N89" s="40">
        <v>988</v>
      </c>
      <c r="O89" s="40">
        <v>596</v>
      </c>
      <c r="P89" s="40">
        <v>1174500</v>
      </c>
      <c r="Q89" s="40">
        <v>594000</v>
      </c>
      <c r="R89" s="40">
        <v>413500</v>
      </c>
      <c r="S89" s="40">
        <v>1039500</v>
      </c>
      <c r="T89" s="40">
        <v>284000</v>
      </c>
      <c r="U89" s="40">
        <v>340000</v>
      </c>
      <c r="V89" s="40">
        <v>1174500</v>
      </c>
      <c r="W89" s="40">
        <v>570000</v>
      </c>
      <c r="X89" s="40">
        <v>413500</v>
      </c>
      <c r="Y89" s="40">
        <v>1039500</v>
      </c>
      <c r="Z89" s="40">
        <v>307000</v>
      </c>
      <c r="AA89" s="40">
        <v>340000</v>
      </c>
      <c r="AB89" s="40">
        <v>-2133600</v>
      </c>
      <c r="AC89" s="40">
        <v>-28823</v>
      </c>
      <c r="AD89" s="40">
        <v>176140</v>
      </c>
      <c r="AE89" s="40">
        <v>0</v>
      </c>
      <c r="AF89" s="40">
        <v>0</v>
      </c>
      <c r="AG89" s="40">
        <v>220824</v>
      </c>
      <c r="AH89" s="40">
        <v>367013</v>
      </c>
      <c r="AI89" s="40">
        <v>1192793</v>
      </c>
      <c r="AJ89" s="40">
        <v>515721</v>
      </c>
      <c r="AK89" s="46">
        <v>63411607</v>
      </c>
      <c r="AL89" s="42">
        <v>1805390</v>
      </c>
      <c r="AM89" s="40">
        <v>0</v>
      </c>
      <c r="AN89" s="40">
        <v>14402522</v>
      </c>
      <c r="AO89" s="40">
        <v>67457</v>
      </c>
      <c r="AP89" s="40">
        <v>2758157</v>
      </c>
      <c r="AQ89" s="40">
        <v>6765803</v>
      </c>
      <c r="AR89" s="40">
        <v>6066301</v>
      </c>
      <c r="AS89" s="40">
        <v>0</v>
      </c>
      <c r="AT89" s="40">
        <v>286114</v>
      </c>
      <c r="AU89" s="40">
        <v>0</v>
      </c>
      <c r="AV89" s="40">
        <v>0</v>
      </c>
      <c r="AW89" s="40">
        <v>0</v>
      </c>
      <c r="AX89" s="40">
        <v>0</v>
      </c>
      <c r="AY89" s="40">
        <v>58300</v>
      </c>
      <c r="AZ89" s="1">
        <v>5212689.93</v>
      </c>
      <c r="BA89" s="1">
        <v>2658472</v>
      </c>
      <c r="BB89" s="43"/>
      <c r="BC89" s="15">
        <v>0</v>
      </c>
      <c r="BD89" s="15">
        <v>0</v>
      </c>
      <c r="BE89" s="20">
        <v>1444030</v>
      </c>
      <c r="BF89" s="20">
        <v>1444030</v>
      </c>
      <c r="BG89" s="20">
        <v>30476097</v>
      </c>
      <c r="BH89" s="20">
        <v>30460819</v>
      </c>
      <c r="BI89" s="44"/>
      <c r="BJ89" s="44"/>
      <c r="BK89" s="44"/>
      <c r="BL89" s="5">
        <v>377195117</v>
      </c>
      <c r="BM89" s="5">
        <v>277414799</v>
      </c>
      <c r="BN89" s="15">
        <v>1963500</v>
      </c>
      <c r="BO89" s="3"/>
      <c r="BP89" s="1"/>
      <c r="BQ89" s="1"/>
      <c r="BR89" s="5"/>
      <c r="BS89" s="5"/>
      <c r="BT89" s="5"/>
    </row>
    <row r="90" spans="1:72" x14ac:dyDescent="0.25">
      <c r="A90" s="6" t="s">
        <v>144</v>
      </c>
      <c r="B90" s="40">
        <v>537878075</v>
      </c>
      <c r="C90" s="40">
        <v>142505209</v>
      </c>
      <c r="D90" s="40">
        <v>175963652</v>
      </c>
      <c r="E90" s="40">
        <v>0</v>
      </c>
      <c r="F90" s="40">
        <v>77130910</v>
      </c>
      <c r="G90" s="40">
        <v>31422490</v>
      </c>
      <c r="H90" s="40">
        <v>12460700</v>
      </c>
      <c r="I90" s="40">
        <v>3066500</v>
      </c>
      <c r="J90" s="40">
        <v>67400</v>
      </c>
      <c r="K90" s="40">
        <v>33700</v>
      </c>
      <c r="L90" s="40">
        <v>129215901</v>
      </c>
      <c r="M90" s="40">
        <v>7055900</v>
      </c>
      <c r="N90" s="40">
        <v>2866</v>
      </c>
      <c r="O90" s="40">
        <v>1178</v>
      </c>
      <c r="P90" s="40">
        <v>16064633</v>
      </c>
      <c r="Q90" s="40">
        <v>5781350</v>
      </c>
      <c r="R90" s="40">
        <v>3621000</v>
      </c>
      <c r="S90" s="40">
        <v>8183773</v>
      </c>
      <c r="T90" s="40">
        <v>3892061</v>
      </c>
      <c r="U90" s="40">
        <v>5033090</v>
      </c>
      <c r="V90" s="40">
        <v>16064633</v>
      </c>
      <c r="W90" s="40">
        <v>8754720</v>
      </c>
      <c r="X90" s="40">
        <v>3621000</v>
      </c>
      <c r="Y90" s="40">
        <v>8183773</v>
      </c>
      <c r="Z90" s="40">
        <v>2153500</v>
      </c>
      <c r="AA90" s="40">
        <v>5033090</v>
      </c>
      <c r="AB90" s="40">
        <v>-11127086</v>
      </c>
      <c r="AC90" s="40">
        <v>-24500</v>
      </c>
      <c r="AD90" s="40">
        <v>66399</v>
      </c>
      <c r="AE90" s="40">
        <v>822</v>
      </c>
      <c r="AF90" s="40">
        <v>0</v>
      </c>
      <c r="AG90" s="40">
        <v>50086</v>
      </c>
      <c r="AH90" s="40">
        <v>8319267</v>
      </c>
      <c r="AI90" s="40">
        <v>548904</v>
      </c>
      <c r="AJ90" s="40">
        <v>42426516</v>
      </c>
      <c r="AK90" s="42">
        <v>188929336</v>
      </c>
      <c r="AL90" s="42">
        <v>5758146</v>
      </c>
      <c r="AM90" s="40">
        <v>0</v>
      </c>
      <c r="AN90" s="40">
        <v>101484707</v>
      </c>
      <c r="AO90" s="40">
        <v>7021968</v>
      </c>
      <c r="AP90" s="40">
        <v>53423508</v>
      </c>
      <c r="AQ90" s="40">
        <v>51713099</v>
      </c>
      <c r="AR90" s="40">
        <v>21840709</v>
      </c>
      <c r="AS90" s="40">
        <v>16522727</v>
      </c>
      <c r="AT90" s="40">
        <v>12586691</v>
      </c>
      <c r="AU90" s="40">
        <v>0</v>
      </c>
      <c r="AV90" s="40">
        <v>0</v>
      </c>
      <c r="AW90" s="40">
        <v>1376506</v>
      </c>
      <c r="AX90" s="40">
        <v>17259</v>
      </c>
      <c r="AY90" s="40">
        <v>310750</v>
      </c>
      <c r="AZ90" s="1">
        <v>15530753.66</v>
      </c>
      <c r="BA90" s="1">
        <v>7920684</v>
      </c>
      <c r="BB90" s="43">
        <v>6528756.4800000004</v>
      </c>
      <c r="BC90" s="15">
        <v>3333615</v>
      </c>
      <c r="BD90" s="15">
        <v>6667229</v>
      </c>
      <c r="BE90" s="20">
        <v>67635034</v>
      </c>
      <c r="BF90" s="20">
        <v>65003030</v>
      </c>
      <c r="BG90" s="20">
        <v>136852797</v>
      </c>
      <c r="BH90" s="20">
        <v>134719645</v>
      </c>
      <c r="BI90" s="44"/>
      <c r="BJ90" s="44"/>
      <c r="BK90" s="44"/>
      <c r="BL90" s="5">
        <v>1473525853</v>
      </c>
      <c r="BM90" s="5">
        <v>1067861397</v>
      </c>
      <c r="BN90" s="15">
        <v>442700</v>
      </c>
      <c r="BO90" s="3"/>
      <c r="BP90" s="1"/>
      <c r="BQ90" s="1"/>
      <c r="BR90" s="5"/>
      <c r="BS90" s="5"/>
      <c r="BT90" s="5"/>
    </row>
    <row r="91" spans="1:72" x14ac:dyDescent="0.25">
      <c r="A91" s="6" t="s">
        <v>145</v>
      </c>
      <c r="B91" s="40">
        <v>1532779228</v>
      </c>
      <c r="C91" s="40">
        <v>298440752</v>
      </c>
      <c r="D91" s="40">
        <v>465102477</v>
      </c>
      <c r="E91" s="40">
        <v>2600000</v>
      </c>
      <c r="F91" s="40">
        <v>74905939</v>
      </c>
      <c r="G91" s="40">
        <v>16425492</v>
      </c>
      <c r="H91" s="40">
        <v>17903940</v>
      </c>
      <c r="I91" s="40">
        <v>2071435</v>
      </c>
      <c r="J91" s="40">
        <v>337000</v>
      </c>
      <c r="K91" s="40">
        <v>0</v>
      </c>
      <c r="L91" s="40">
        <v>597483214</v>
      </c>
      <c r="M91" s="40">
        <v>245606831</v>
      </c>
      <c r="N91" s="40">
        <v>2806</v>
      </c>
      <c r="O91" s="40">
        <v>576</v>
      </c>
      <c r="P91" s="40">
        <v>15821580</v>
      </c>
      <c r="Q91" s="40">
        <v>2102150</v>
      </c>
      <c r="R91" s="40">
        <v>5825700</v>
      </c>
      <c r="S91" s="40">
        <v>6186497</v>
      </c>
      <c r="T91" s="40">
        <v>5696833</v>
      </c>
      <c r="U91" s="40">
        <v>4849605</v>
      </c>
      <c r="V91" s="40">
        <v>15821580</v>
      </c>
      <c r="W91" s="40">
        <v>2474270</v>
      </c>
      <c r="X91" s="40">
        <v>5825700</v>
      </c>
      <c r="Y91" s="40">
        <v>6186497</v>
      </c>
      <c r="Z91" s="40">
        <v>1902135</v>
      </c>
      <c r="AA91" s="40">
        <v>4849605</v>
      </c>
      <c r="AB91" s="40">
        <v>-12358273</v>
      </c>
      <c r="AC91" s="40">
        <v>-79579</v>
      </c>
      <c r="AD91" s="40">
        <v>29214</v>
      </c>
      <c r="AE91" s="40">
        <v>0</v>
      </c>
      <c r="AF91" s="40">
        <v>0</v>
      </c>
      <c r="AG91" s="40">
        <v>244454</v>
      </c>
      <c r="AH91" s="3"/>
      <c r="AI91" s="40">
        <v>66082</v>
      </c>
      <c r="AJ91" s="3"/>
      <c r="AK91" s="42">
        <v>252797057</v>
      </c>
      <c r="AL91" s="42">
        <v>6982036</v>
      </c>
      <c r="AM91" s="40">
        <v>0</v>
      </c>
      <c r="AN91" s="40">
        <v>80293944</v>
      </c>
      <c r="AO91" s="40">
        <v>7485752</v>
      </c>
      <c r="AP91" s="40">
        <v>341047826</v>
      </c>
      <c r="AQ91" s="40">
        <v>65272557</v>
      </c>
      <c r="AR91" s="40">
        <v>44670264</v>
      </c>
      <c r="AS91" s="46">
        <v>2227405</v>
      </c>
      <c r="AT91" s="40">
        <v>0</v>
      </c>
      <c r="AU91" s="40">
        <v>0</v>
      </c>
      <c r="AV91" s="40">
        <v>0</v>
      </c>
      <c r="AW91" s="40">
        <v>2945353</v>
      </c>
      <c r="AX91" s="40">
        <v>95670</v>
      </c>
      <c r="AY91" s="40">
        <v>11045329</v>
      </c>
      <c r="AZ91" s="1">
        <v>20780938</v>
      </c>
      <c r="BA91" s="1">
        <v>10598278</v>
      </c>
      <c r="BB91" s="43"/>
      <c r="BC91" s="15">
        <v>798750</v>
      </c>
      <c r="BD91" s="15">
        <v>1597500</v>
      </c>
      <c r="BE91" s="20">
        <v>10858914</v>
      </c>
      <c r="BF91" s="20">
        <v>10448240</v>
      </c>
      <c r="BG91" s="20">
        <v>42933074</v>
      </c>
      <c r="BH91" s="20">
        <v>42628828</v>
      </c>
      <c r="BI91" s="44">
        <v>354478862</v>
      </c>
      <c r="BJ91" s="44"/>
      <c r="BK91" s="44"/>
      <c r="BL91" s="5">
        <v>3128172843</v>
      </c>
      <c r="BM91" s="5">
        <v>2449440792</v>
      </c>
      <c r="BN91" s="15">
        <v>2994554</v>
      </c>
      <c r="BO91" s="3"/>
      <c r="BP91" s="1"/>
      <c r="BQ91" s="1"/>
      <c r="BR91" s="5"/>
      <c r="BS91" s="5"/>
      <c r="BT91" s="5"/>
    </row>
    <row r="92" spans="1:72" x14ac:dyDescent="0.25">
      <c r="A92" s="6" t="s">
        <v>146</v>
      </c>
      <c r="B92" s="40">
        <v>107540122</v>
      </c>
      <c r="C92" s="40">
        <v>89281951</v>
      </c>
      <c r="D92" s="40">
        <v>17308946</v>
      </c>
      <c r="E92" s="40">
        <v>0</v>
      </c>
      <c r="F92" s="40">
        <v>16170900</v>
      </c>
      <c r="G92" s="40">
        <v>3671400</v>
      </c>
      <c r="H92" s="40">
        <v>6112200</v>
      </c>
      <c r="I92" s="40">
        <v>1020900</v>
      </c>
      <c r="J92" s="40">
        <v>134800</v>
      </c>
      <c r="K92" s="40">
        <v>0</v>
      </c>
      <c r="L92" s="40">
        <v>65643573</v>
      </c>
      <c r="M92" s="40">
        <v>42495210</v>
      </c>
      <c r="N92" s="40">
        <v>698</v>
      </c>
      <c r="O92" s="40">
        <v>156</v>
      </c>
      <c r="P92" s="40">
        <v>1968200</v>
      </c>
      <c r="Q92" s="40">
        <v>2606900</v>
      </c>
      <c r="R92" s="40">
        <v>300000</v>
      </c>
      <c r="S92" s="40">
        <v>772362</v>
      </c>
      <c r="T92" s="40">
        <v>828034</v>
      </c>
      <c r="U92" s="40">
        <v>4000</v>
      </c>
      <c r="V92" s="40">
        <v>1968200</v>
      </c>
      <c r="W92" s="40">
        <v>2728600</v>
      </c>
      <c r="X92" s="40">
        <v>300000</v>
      </c>
      <c r="Y92" s="40">
        <v>772362</v>
      </c>
      <c r="Z92" s="40">
        <v>843818</v>
      </c>
      <c r="AA92" s="40">
        <v>4000</v>
      </c>
      <c r="AB92" s="40">
        <v>-525500</v>
      </c>
      <c r="AC92" s="40">
        <v>0</v>
      </c>
      <c r="AD92" s="40">
        <v>0</v>
      </c>
      <c r="AE92" s="40">
        <v>0</v>
      </c>
      <c r="AF92" s="40">
        <v>0</v>
      </c>
      <c r="AG92" s="40">
        <v>81</v>
      </c>
      <c r="AH92" s="3"/>
      <c r="AI92" s="3"/>
      <c r="AJ92" s="3"/>
      <c r="AK92" s="42">
        <v>38901553</v>
      </c>
      <c r="AL92" s="42">
        <v>917899</v>
      </c>
      <c r="AM92" s="40">
        <v>0</v>
      </c>
      <c r="AN92" s="40">
        <v>2959673</v>
      </c>
      <c r="AO92" s="40">
        <v>14049</v>
      </c>
      <c r="AP92" s="40">
        <v>1558030</v>
      </c>
      <c r="AQ92" s="40">
        <v>1851154</v>
      </c>
      <c r="AR92" s="40">
        <v>268979</v>
      </c>
      <c r="AS92" s="40">
        <v>0</v>
      </c>
      <c r="AT92" s="40">
        <v>64276</v>
      </c>
      <c r="AU92" s="40">
        <v>0</v>
      </c>
      <c r="AV92" s="40">
        <v>0</v>
      </c>
      <c r="AW92" s="40">
        <v>16755</v>
      </c>
      <c r="AX92" s="40">
        <v>0</v>
      </c>
      <c r="AY92" s="40">
        <v>0</v>
      </c>
      <c r="AZ92" s="1">
        <v>3197864.61</v>
      </c>
      <c r="BA92" s="1">
        <v>1630911</v>
      </c>
      <c r="BB92" s="43"/>
      <c r="BC92" s="15">
        <v>919339</v>
      </c>
      <c r="BD92" s="15">
        <v>1838678</v>
      </c>
      <c r="BE92" s="20">
        <v>5967303</v>
      </c>
      <c r="BF92" s="20">
        <v>5967303</v>
      </c>
      <c r="BG92" s="20">
        <v>14943645</v>
      </c>
      <c r="BH92" s="20">
        <v>14563894</v>
      </c>
      <c r="BI92" s="44"/>
      <c r="BJ92" s="44"/>
      <c r="BK92" s="44"/>
      <c r="BL92" s="5">
        <v>281856794</v>
      </c>
      <c r="BM92" s="5">
        <v>218955895</v>
      </c>
      <c r="BN92" s="15">
        <v>241950</v>
      </c>
      <c r="BO92" s="3"/>
      <c r="BP92" s="1"/>
      <c r="BQ92" s="1"/>
      <c r="BR92" s="5"/>
      <c r="BS92" s="5"/>
      <c r="BT92" s="5"/>
    </row>
    <row r="93" spans="1:72" x14ac:dyDescent="0.25">
      <c r="A93" s="6" t="s">
        <v>147</v>
      </c>
      <c r="B93" s="40">
        <v>343842956</v>
      </c>
      <c r="C93" s="40">
        <v>197138306</v>
      </c>
      <c r="D93" s="40">
        <v>99739348</v>
      </c>
      <c r="E93" s="40">
        <v>0</v>
      </c>
      <c r="F93" s="40">
        <v>45950683</v>
      </c>
      <c r="G93" s="40">
        <v>13329183</v>
      </c>
      <c r="H93" s="40">
        <v>16741417</v>
      </c>
      <c r="I93" s="40">
        <v>2727670</v>
      </c>
      <c r="J93" s="40">
        <v>100070</v>
      </c>
      <c r="K93" s="40">
        <v>67400</v>
      </c>
      <c r="L93" s="40">
        <v>289330971</v>
      </c>
      <c r="M93" s="40">
        <v>9519578</v>
      </c>
      <c r="N93" s="40">
        <v>2059</v>
      </c>
      <c r="O93" s="40">
        <v>587</v>
      </c>
      <c r="P93" s="40">
        <v>6009766</v>
      </c>
      <c r="Q93" s="40">
        <v>4131950</v>
      </c>
      <c r="R93" s="40">
        <v>1048150</v>
      </c>
      <c r="S93" s="40">
        <v>3496301</v>
      </c>
      <c r="T93" s="40">
        <v>535004</v>
      </c>
      <c r="U93" s="40">
        <v>16899025</v>
      </c>
      <c r="V93" s="40">
        <v>6009766</v>
      </c>
      <c r="W93" s="40">
        <v>0</v>
      </c>
      <c r="X93" s="40">
        <v>1048150</v>
      </c>
      <c r="Y93" s="40">
        <v>3496301</v>
      </c>
      <c r="Z93" s="40">
        <v>159209</v>
      </c>
      <c r="AA93" s="40">
        <v>16899025</v>
      </c>
      <c r="AB93" s="40">
        <v>-4460157</v>
      </c>
      <c r="AC93" s="40">
        <v>-7576</v>
      </c>
      <c r="AD93" s="40">
        <v>332258</v>
      </c>
      <c r="AE93" s="40">
        <v>19341</v>
      </c>
      <c r="AF93" s="40">
        <v>13789573</v>
      </c>
      <c r="AG93" s="40">
        <v>332195</v>
      </c>
      <c r="AH93" s="40">
        <v>5199243</v>
      </c>
      <c r="AI93" s="40">
        <v>434033</v>
      </c>
      <c r="AJ93" s="40">
        <v>37490450</v>
      </c>
      <c r="AK93" s="42">
        <v>110061623</v>
      </c>
      <c r="AL93" s="42">
        <v>3163731</v>
      </c>
      <c r="AM93" s="3"/>
      <c r="AN93" s="40">
        <v>84832926</v>
      </c>
      <c r="AO93" s="40">
        <v>5350935</v>
      </c>
      <c r="AP93" s="40">
        <v>105492671</v>
      </c>
      <c r="AQ93" s="40">
        <v>22157910</v>
      </c>
      <c r="AR93" s="40">
        <v>21831646</v>
      </c>
      <c r="AS93" s="40">
        <v>1453628</v>
      </c>
      <c r="AT93" s="40">
        <v>3056869</v>
      </c>
      <c r="AU93" s="3"/>
      <c r="AV93" s="3"/>
      <c r="AW93" s="40">
        <v>1606133</v>
      </c>
      <c r="AX93" s="40">
        <v>6576</v>
      </c>
      <c r="AY93" s="40">
        <v>67000</v>
      </c>
      <c r="AZ93" s="1">
        <v>9047509.4600000009</v>
      </c>
      <c r="BA93" s="1">
        <v>4614230</v>
      </c>
      <c r="BB93" s="43">
        <v>7695336.79</v>
      </c>
      <c r="BC93" s="15">
        <v>2009617</v>
      </c>
      <c r="BD93" s="15">
        <v>4019234</v>
      </c>
      <c r="BE93" s="20">
        <v>55941317</v>
      </c>
      <c r="BF93" s="20">
        <v>51670971</v>
      </c>
      <c r="BG93" s="20">
        <v>51311906</v>
      </c>
      <c r="BH93" s="20">
        <v>48753533</v>
      </c>
      <c r="BI93" s="44"/>
      <c r="BJ93" s="44"/>
      <c r="BK93" s="44"/>
      <c r="BL93" s="5">
        <v>1016459812</v>
      </c>
      <c r="BM93" s="5">
        <v>796186107</v>
      </c>
      <c r="BN93" s="15">
        <v>617414</v>
      </c>
      <c r="BO93" s="3"/>
      <c r="BP93" s="1"/>
      <c r="BQ93" s="1"/>
      <c r="BR93" s="5"/>
      <c r="BS93" s="5"/>
      <c r="BT93" s="5"/>
    </row>
    <row r="94" spans="1:72" x14ac:dyDescent="0.25">
      <c r="A94" s="6" t="s">
        <v>148</v>
      </c>
      <c r="B94" s="40">
        <v>4772673399</v>
      </c>
      <c r="C94" s="40">
        <v>213305605</v>
      </c>
      <c r="D94" s="40">
        <v>411611950</v>
      </c>
      <c r="E94" s="40">
        <v>0</v>
      </c>
      <c r="F94" s="40">
        <v>91232000</v>
      </c>
      <c r="G94" s="40">
        <v>10389200</v>
      </c>
      <c r="H94" s="40">
        <v>5392000</v>
      </c>
      <c r="I94" s="40">
        <v>438100</v>
      </c>
      <c r="J94" s="40">
        <v>134800</v>
      </c>
      <c r="K94" s="40">
        <v>0</v>
      </c>
      <c r="L94" s="40">
        <v>581896845</v>
      </c>
      <c r="M94" s="40">
        <v>175523150</v>
      </c>
      <c r="N94" s="40">
        <v>2885</v>
      </c>
      <c r="O94" s="40">
        <v>327</v>
      </c>
      <c r="P94" s="40">
        <v>48447400</v>
      </c>
      <c r="Q94" s="40">
        <v>4769250</v>
      </c>
      <c r="R94" s="40">
        <v>7350000</v>
      </c>
      <c r="S94" s="40">
        <v>18950500</v>
      </c>
      <c r="T94" s="40">
        <v>6682600</v>
      </c>
      <c r="U94" s="40">
        <v>655000</v>
      </c>
      <c r="V94" s="40">
        <v>48447400</v>
      </c>
      <c r="W94" s="40">
        <v>16578500</v>
      </c>
      <c r="X94" s="40">
        <v>7350000</v>
      </c>
      <c r="Y94" s="40">
        <v>18950500</v>
      </c>
      <c r="Z94" s="40">
        <v>11002600</v>
      </c>
      <c r="AA94" s="40">
        <v>655000</v>
      </c>
      <c r="AB94" s="40">
        <v>-23734915</v>
      </c>
      <c r="AC94" s="40">
        <v>-224983</v>
      </c>
      <c r="AD94" s="40">
        <v>0</v>
      </c>
      <c r="AE94" s="40">
        <v>0</v>
      </c>
      <c r="AF94" s="40">
        <v>0</v>
      </c>
      <c r="AG94" s="40">
        <v>64349</v>
      </c>
      <c r="AH94" s="3"/>
      <c r="AI94" s="40">
        <v>1552992</v>
      </c>
      <c r="AJ94" s="3"/>
      <c r="AK94" s="42">
        <v>407124150</v>
      </c>
      <c r="AL94" s="42">
        <v>15502506</v>
      </c>
      <c r="AM94" s="40">
        <v>4457769</v>
      </c>
      <c r="AN94" s="40">
        <v>88169074</v>
      </c>
      <c r="AO94" s="40">
        <v>1033743</v>
      </c>
      <c r="AP94" s="40">
        <v>20572016</v>
      </c>
      <c r="AQ94" s="40">
        <v>53416948</v>
      </c>
      <c r="AR94" s="40">
        <v>20049602</v>
      </c>
      <c r="AS94" s="40">
        <v>0</v>
      </c>
      <c r="AT94" s="40">
        <v>4571948</v>
      </c>
      <c r="AU94" s="40">
        <v>0</v>
      </c>
      <c r="AV94" s="40">
        <v>0</v>
      </c>
      <c r="AW94" s="40">
        <v>27199</v>
      </c>
      <c r="AX94" s="40">
        <v>900793</v>
      </c>
      <c r="AY94" s="40">
        <v>245800</v>
      </c>
      <c r="AZ94" s="1">
        <v>33467247.68</v>
      </c>
      <c r="BA94" s="1">
        <v>17068296</v>
      </c>
      <c r="BB94" s="43">
        <v>13262176.17</v>
      </c>
      <c r="BC94" s="15">
        <v>925555</v>
      </c>
      <c r="BD94" s="15">
        <v>1851110</v>
      </c>
      <c r="BE94" s="20">
        <v>27234394</v>
      </c>
      <c r="BF94" s="20">
        <v>27234394</v>
      </c>
      <c r="BG94" s="20">
        <v>58583941</v>
      </c>
      <c r="BH94" s="20">
        <v>57405835</v>
      </c>
      <c r="BI94" s="44"/>
      <c r="BJ94" s="44"/>
      <c r="BK94" s="44"/>
      <c r="BL94" s="5">
        <v>6067024447</v>
      </c>
      <c r="BM94" s="5">
        <v>5541763711</v>
      </c>
      <c r="BN94" s="15">
        <v>1418000</v>
      </c>
      <c r="BO94" s="3"/>
      <c r="BP94" s="1"/>
      <c r="BQ94" s="1"/>
      <c r="BR94" s="5"/>
      <c r="BS94" s="5"/>
      <c r="BT94" s="5"/>
    </row>
    <row r="95" spans="1:72" x14ac:dyDescent="0.25">
      <c r="A95" s="6" t="s">
        <v>149</v>
      </c>
      <c r="B95" s="40">
        <v>255506092</v>
      </c>
      <c r="C95" s="40">
        <v>127573847</v>
      </c>
      <c r="D95" s="40">
        <v>40598589</v>
      </c>
      <c r="E95" s="40">
        <v>0</v>
      </c>
      <c r="F95" s="40">
        <v>18840300</v>
      </c>
      <c r="G95" s="40">
        <v>3626600</v>
      </c>
      <c r="H95" s="40">
        <v>9792400</v>
      </c>
      <c r="I95" s="40">
        <v>946500</v>
      </c>
      <c r="J95" s="40">
        <v>33700</v>
      </c>
      <c r="K95" s="40">
        <v>23500</v>
      </c>
      <c r="L95" s="40">
        <v>297464371</v>
      </c>
      <c r="M95" s="40">
        <v>16004681</v>
      </c>
      <c r="N95" s="40">
        <v>893</v>
      </c>
      <c r="O95" s="40">
        <v>153</v>
      </c>
      <c r="P95" s="40">
        <v>5402100</v>
      </c>
      <c r="Q95" s="40">
        <v>3688172</v>
      </c>
      <c r="R95" s="40">
        <v>2296800</v>
      </c>
      <c r="S95" s="40">
        <v>4674698</v>
      </c>
      <c r="T95" s="40">
        <v>1354600</v>
      </c>
      <c r="U95" s="40">
        <v>181700</v>
      </c>
      <c r="V95" s="40">
        <v>5402100</v>
      </c>
      <c r="W95" s="40">
        <v>4337200</v>
      </c>
      <c r="X95" s="40">
        <v>2296800</v>
      </c>
      <c r="Y95" s="40">
        <v>4674698</v>
      </c>
      <c r="Z95" s="40">
        <v>1487100</v>
      </c>
      <c r="AA95" s="40">
        <v>181700</v>
      </c>
      <c r="AB95" s="40">
        <v>-1153800</v>
      </c>
      <c r="AC95" s="40">
        <v>-3000</v>
      </c>
      <c r="AD95" s="40">
        <v>71714</v>
      </c>
      <c r="AE95" s="40">
        <v>0</v>
      </c>
      <c r="AF95" s="40">
        <v>0</v>
      </c>
      <c r="AG95" s="40">
        <v>200542</v>
      </c>
      <c r="AH95" s="3"/>
      <c r="AI95" s="3"/>
      <c r="AJ95" s="3"/>
      <c r="AK95" s="42">
        <v>62903423</v>
      </c>
      <c r="AL95" s="42">
        <v>2627889</v>
      </c>
      <c r="AM95" s="40">
        <v>25000</v>
      </c>
      <c r="AN95" s="40">
        <v>11611351</v>
      </c>
      <c r="AO95" s="40">
        <v>104868</v>
      </c>
      <c r="AP95" s="40">
        <v>4335695</v>
      </c>
      <c r="AQ95" s="40">
        <v>3882864</v>
      </c>
      <c r="AR95" s="40">
        <v>5088630</v>
      </c>
      <c r="AS95" s="40">
        <v>0</v>
      </c>
      <c r="AT95" s="40">
        <v>754232</v>
      </c>
      <c r="AU95" s="40">
        <v>0</v>
      </c>
      <c r="AV95" s="40">
        <v>28951</v>
      </c>
      <c r="AW95" s="40">
        <v>0</v>
      </c>
      <c r="AX95" s="40">
        <v>0</v>
      </c>
      <c r="AY95" s="40">
        <v>157500</v>
      </c>
      <c r="AZ95" s="1">
        <v>5170915.16</v>
      </c>
      <c r="BA95" s="1">
        <v>2637167</v>
      </c>
      <c r="BB95" s="43">
        <v>4052331.61</v>
      </c>
      <c r="BC95" s="15">
        <v>0</v>
      </c>
      <c r="BD95" s="15">
        <v>0</v>
      </c>
      <c r="BE95" s="20">
        <v>41420915</v>
      </c>
      <c r="BF95" s="20">
        <v>41420915</v>
      </c>
      <c r="BG95" s="20">
        <v>39020115</v>
      </c>
      <c r="BH95" s="20">
        <v>38923353</v>
      </c>
      <c r="BI95" s="44"/>
      <c r="BJ95" s="44"/>
      <c r="BK95" s="44"/>
      <c r="BL95" s="5">
        <v>587790358</v>
      </c>
      <c r="BM95" s="5">
        <v>439277611</v>
      </c>
      <c r="BN95" s="15">
        <v>246300</v>
      </c>
      <c r="BO95" s="3"/>
      <c r="BP95" s="1"/>
      <c r="BQ95" s="1"/>
      <c r="BR95" s="5"/>
      <c r="BS95" s="5"/>
      <c r="BT95" s="5"/>
    </row>
    <row r="96" spans="1:72" x14ac:dyDescent="0.25">
      <c r="A96" s="6" t="s">
        <v>150</v>
      </c>
      <c r="B96" s="40">
        <v>33323330</v>
      </c>
      <c r="C96" s="40">
        <v>31732452</v>
      </c>
      <c r="D96" s="40">
        <v>10586130</v>
      </c>
      <c r="E96" s="40">
        <v>0</v>
      </c>
      <c r="F96" s="40">
        <v>8229100</v>
      </c>
      <c r="G96" s="40">
        <v>6989400</v>
      </c>
      <c r="H96" s="40">
        <v>5963000</v>
      </c>
      <c r="I96" s="40">
        <v>2437300</v>
      </c>
      <c r="J96" s="40">
        <v>26000</v>
      </c>
      <c r="K96" s="40">
        <v>0</v>
      </c>
      <c r="L96" s="40">
        <v>19891562</v>
      </c>
      <c r="M96" s="40">
        <v>20326322</v>
      </c>
      <c r="N96" s="40">
        <v>462</v>
      </c>
      <c r="O96" s="40">
        <v>324</v>
      </c>
      <c r="P96" s="40">
        <v>273000</v>
      </c>
      <c r="Q96" s="40">
        <v>395000</v>
      </c>
      <c r="R96" s="40">
        <v>0</v>
      </c>
      <c r="S96" s="40">
        <v>318000</v>
      </c>
      <c r="T96" s="40">
        <v>273600</v>
      </c>
      <c r="U96" s="40">
        <v>0</v>
      </c>
      <c r="V96" s="40">
        <v>273000</v>
      </c>
      <c r="W96" s="40">
        <v>395000</v>
      </c>
      <c r="X96" s="40">
        <v>0</v>
      </c>
      <c r="Y96" s="40">
        <v>318000</v>
      </c>
      <c r="Z96" s="40">
        <v>273600</v>
      </c>
      <c r="AA96" s="40">
        <v>0</v>
      </c>
      <c r="AB96" s="40">
        <v>-1799902</v>
      </c>
      <c r="AC96" s="40">
        <v>0</v>
      </c>
      <c r="AD96" s="40">
        <v>49505</v>
      </c>
      <c r="AE96" s="40">
        <v>0</v>
      </c>
      <c r="AF96" s="40">
        <v>0</v>
      </c>
      <c r="AG96" s="40">
        <v>104970</v>
      </c>
      <c r="AH96" s="40">
        <v>0</v>
      </c>
      <c r="AI96" s="40">
        <v>525062</v>
      </c>
      <c r="AJ96" s="40">
        <v>828919</v>
      </c>
      <c r="AK96" s="42">
        <v>17575882</v>
      </c>
      <c r="AL96" s="42">
        <v>459498</v>
      </c>
      <c r="AM96" s="40">
        <v>0</v>
      </c>
      <c r="AN96" s="40">
        <v>1693254</v>
      </c>
      <c r="AO96" s="40">
        <v>1620</v>
      </c>
      <c r="AP96" s="40">
        <v>1491337</v>
      </c>
      <c r="AQ96" s="40">
        <v>476576</v>
      </c>
      <c r="AR96" s="40">
        <v>311128</v>
      </c>
      <c r="AS96" s="40">
        <v>0</v>
      </c>
      <c r="AT96" s="40">
        <v>0</v>
      </c>
      <c r="AU96" s="40">
        <v>0</v>
      </c>
      <c r="AV96" s="40">
        <v>0</v>
      </c>
      <c r="AW96" s="40">
        <v>0</v>
      </c>
      <c r="AX96" s="40">
        <v>0</v>
      </c>
      <c r="AY96" s="40">
        <v>0</v>
      </c>
      <c r="AZ96" s="1">
        <v>1444808.41</v>
      </c>
      <c r="BA96" s="1">
        <v>736852</v>
      </c>
      <c r="BB96" s="43"/>
      <c r="BC96" s="15">
        <v>0</v>
      </c>
      <c r="BD96" s="15">
        <v>0</v>
      </c>
      <c r="BE96" s="20">
        <v>618292</v>
      </c>
      <c r="BF96" s="20">
        <v>618292</v>
      </c>
      <c r="BG96" s="20">
        <v>15919620</v>
      </c>
      <c r="BH96" s="20">
        <v>15903069</v>
      </c>
      <c r="BI96" s="44"/>
      <c r="BJ96" s="44"/>
      <c r="BK96" s="44"/>
      <c r="BL96" s="5">
        <v>114460936</v>
      </c>
      <c r="BM96" s="5">
        <v>79167343</v>
      </c>
      <c r="BN96" s="15">
        <v>270800</v>
      </c>
      <c r="BO96" s="3"/>
      <c r="BP96" s="1"/>
      <c r="BQ96" s="1"/>
      <c r="BR96" s="5"/>
      <c r="BS96" s="5"/>
      <c r="BT96" s="5"/>
    </row>
    <row r="97" spans="1:72" x14ac:dyDescent="0.25">
      <c r="A97" s="6" t="s">
        <v>151</v>
      </c>
      <c r="B97" s="40">
        <v>305886628</v>
      </c>
      <c r="C97" s="40">
        <v>160768160</v>
      </c>
      <c r="D97" s="40">
        <v>59618599</v>
      </c>
      <c r="E97" s="40">
        <v>0</v>
      </c>
      <c r="F97" s="40">
        <v>21584600</v>
      </c>
      <c r="G97" s="40">
        <v>5930020</v>
      </c>
      <c r="H97" s="40">
        <v>12816470</v>
      </c>
      <c r="I97" s="40">
        <v>1633500</v>
      </c>
      <c r="J97" s="40">
        <v>67400</v>
      </c>
      <c r="K97" s="40">
        <v>33700</v>
      </c>
      <c r="L97" s="40">
        <v>254032544</v>
      </c>
      <c r="M97" s="40">
        <v>120394830</v>
      </c>
      <c r="N97" s="40">
        <v>1068</v>
      </c>
      <c r="O97" s="40">
        <v>238</v>
      </c>
      <c r="P97" s="40">
        <v>4591097</v>
      </c>
      <c r="Q97" s="40">
        <v>9662580</v>
      </c>
      <c r="R97" s="40">
        <v>111000</v>
      </c>
      <c r="S97" s="40">
        <v>14580885</v>
      </c>
      <c r="T97" s="40">
        <v>2678607</v>
      </c>
      <c r="U97" s="40">
        <v>1789850</v>
      </c>
      <c r="V97" s="40">
        <v>4591097</v>
      </c>
      <c r="W97" s="40">
        <v>12039457</v>
      </c>
      <c r="X97" s="40">
        <v>111000</v>
      </c>
      <c r="Y97" s="40">
        <v>14580885</v>
      </c>
      <c r="Z97" s="40">
        <v>3813117</v>
      </c>
      <c r="AA97" s="40">
        <v>1789850</v>
      </c>
      <c r="AB97" s="40">
        <v>-2937535</v>
      </c>
      <c r="AC97" s="40">
        <v>24194</v>
      </c>
      <c r="AD97" s="40">
        <v>62</v>
      </c>
      <c r="AE97" s="40">
        <v>0</v>
      </c>
      <c r="AF97" s="40">
        <v>0</v>
      </c>
      <c r="AG97" s="40">
        <v>155382</v>
      </c>
      <c r="AH97" s="3"/>
      <c r="AI97" s="40">
        <v>3014934</v>
      </c>
      <c r="AJ97" s="3"/>
      <c r="AK97" s="42">
        <v>83770800</v>
      </c>
      <c r="AL97" s="42">
        <v>1970161</v>
      </c>
      <c r="AM97" s="40">
        <v>0</v>
      </c>
      <c r="AN97" s="40">
        <v>22602931</v>
      </c>
      <c r="AO97" s="40">
        <v>3429400</v>
      </c>
      <c r="AP97" s="40">
        <v>69073164</v>
      </c>
      <c r="AQ97" s="40">
        <v>5877990</v>
      </c>
      <c r="AR97" s="40">
        <v>7686087</v>
      </c>
      <c r="AS97" s="40">
        <v>0</v>
      </c>
      <c r="AT97" s="40">
        <v>201581</v>
      </c>
      <c r="AU97" s="40">
        <v>0</v>
      </c>
      <c r="AV97" s="40">
        <v>0</v>
      </c>
      <c r="AW97" s="40">
        <v>0</v>
      </c>
      <c r="AX97" s="40">
        <v>643375</v>
      </c>
      <c r="AY97" s="40">
        <v>604785</v>
      </c>
      <c r="AZ97" s="1">
        <v>6886297.7400000002</v>
      </c>
      <c r="BA97" s="1">
        <v>3512012</v>
      </c>
      <c r="BB97" s="43">
        <v>2783419.69</v>
      </c>
      <c r="BC97" s="15">
        <v>2585836</v>
      </c>
      <c r="BD97" s="15">
        <v>5171672</v>
      </c>
      <c r="BE97" s="20">
        <v>10599990</v>
      </c>
      <c r="BF97" s="20">
        <v>10599990</v>
      </c>
      <c r="BG97" s="20">
        <v>46530060</v>
      </c>
      <c r="BH97" s="20">
        <v>42371250</v>
      </c>
      <c r="BI97" s="44"/>
      <c r="BJ97" s="44"/>
      <c r="BK97" s="44"/>
      <c r="BL97" s="5">
        <v>706008691</v>
      </c>
      <c r="BM97" s="5">
        <v>561198642</v>
      </c>
      <c r="BN97" s="15">
        <v>455525</v>
      </c>
      <c r="BO97" s="3"/>
      <c r="BP97" s="1"/>
      <c r="BQ97" s="1"/>
      <c r="BR97" s="5"/>
      <c r="BS97" s="5"/>
      <c r="BT97" s="5"/>
    </row>
    <row r="98" spans="1:72" x14ac:dyDescent="0.25">
      <c r="A98" s="6" t="s">
        <v>152</v>
      </c>
      <c r="B98" s="40">
        <v>428740037</v>
      </c>
      <c r="C98" s="40">
        <v>56367971</v>
      </c>
      <c r="D98" s="40">
        <v>276976805</v>
      </c>
      <c r="E98" s="40">
        <v>0</v>
      </c>
      <c r="F98" s="40">
        <v>60719900</v>
      </c>
      <c r="G98" s="40">
        <v>41398713</v>
      </c>
      <c r="H98" s="40">
        <v>12436600</v>
      </c>
      <c r="I98" s="40">
        <v>4420200</v>
      </c>
      <c r="J98" s="40">
        <v>495600</v>
      </c>
      <c r="K98" s="40">
        <v>168500</v>
      </c>
      <c r="L98" s="40">
        <v>59661673</v>
      </c>
      <c r="M98" s="40">
        <v>40865734</v>
      </c>
      <c r="N98" s="40">
        <v>2417</v>
      </c>
      <c r="O98" s="40">
        <v>1628</v>
      </c>
      <c r="P98" s="40">
        <v>3305500</v>
      </c>
      <c r="Q98" s="40">
        <v>65000</v>
      </c>
      <c r="R98" s="40">
        <v>554000</v>
      </c>
      <c r="S98" s="40">
        <v>1378318</v>
      </c>
      <c r="T98" s="40">
        <v>44000</v>
      </c>
      <c r="U98" s="40">
        <v>53000</v>
      </c>
      <c r="V98" s="40">
        <v>3305500</v>
      </c>
      <c r="W98" s="40">
        <v>35000</v>
      </c>
      <c r="X98" s="40">
        <v>554000</v>
      </c>
      <c r="Y98" s="40">
        <v>1378318</v>
      </c>
      <c r="Z98" s="40">
        <v>44000</v>
      </c>
      <c r="AA98" s="40">
        <v>53000</v>
      </c>
      <c r="AB98" s="40">
        <v>-5739268</v>
      </c>
      <c r="AC98" s="40">
        <v>-3289761</v>
      </c>
      <c r="AD98" s="40">
        <v>149614</v>
      </c>
      <c r="AE98" s="40">
        <v>35</v>
      </c>
      <c r="AF98" s="40">
        <v>0</v>
      </c>
      <c r="AG98" s="40">
        <v>172956</v>
      </c>
      <c r="AH98" s="40">
        <v>21414490</v>
      </c>
      <c r="AI98" s="40">
        <v>101989006</v>
      </c>
      <c r="AJ98" s="40">
        <v>265141097</v>
      </c>
      <c r="AK98" s="42">
        <v>181974085</v>
      </c>
      <c r="AL98" s="42">
        <v>4825245</v>
      </c>
      <c r="AM98" s="40">
        <v>48000</v>
      </c>
      <c r="AN98" s="40">
        <v>246706079</v>
      </c>
      <c r="AO98" s="40">
        <v>18218248</v>
      </c>
      <c r="AP98" s="40">
        <v>86742158</v>
      </c>
      <c r="AQ98" s="40">
        <v>61232326</v>
      </c>
      <c r="AR98" s="40">
        <v>27368970</v>
      </c>
      <c r="AS98" s="40">
        <v>636204</v>
      </c>
      <c r="AT98" s="40">
        <v>44725</v>
      </c>
      <c r="AU98" s="3"/>
      <c r="AV98" s="3"/>
      <c r="AW98" s="40">
        <v>36774938</v>
      </c>
      <c r="AX98" s="40">
        <v>5375</v>
      </c>
      <c r="AY98" s="40">
        <v>21856059</v>
      </c>
      <c r="AZ98" s="1">
        <v>14959003.970000001</v>
      </c>
      <c r="BA98" s="1">
        <v>7629092</v>
      </c>
      <c r="BB98" s="43"/>
      <c r="BC98" s="15">
        <v>6480751</v>
      </c>
      <c r="BD98" s="15">
        <v>12961502</v>
      </c>
      <c r="BE98" s="20">
        <v>14372993</v>
      </c>
      <c r="BF98" s="20">
        <v>14372993</v>
      </c>
      <c r="BG98" s="20">
        <v>59808112</v>
      </c>
      <c r="BH98" s="20">
        <v>53087958</v>
      </c>
      <c r="BI98" s="44"/>
      <c r="BJ98" s="44"/>
      <c r="BK98" s="44"/>
      <c r="BL98" s="5">
        <v>1745156183</v>
      </c>
      <c r="BM98" s="5">
        <v>1476786059</v>
      </c>
      <c r="BN98" s="15">
        <v>1160600</v>
      </c>
      <c r="BO98" s="3"/>
      <c r="BP98" s="1"/>
      <c r="BQ98" s="1"/>
      <c r="BR98" s="5"/>
      <c r="BS98" s="5"/>
      <c r="BT98" s="5"/>
    </row>
    <row r="99" spans="1:72" x14ac:dyDescent="0.25">
      <c r="A99" s="6" t="s">
        <v>153</v>
      </c>
      <c r="B99" s="40">
        <v>935581323</v>
      </c>
      <c r="C99" s="40">
        <v>148040594</v>
      </c>
      <c r="D99" s="40">
        <v>367791107</v>
      </c>
      <c r="E99" s="40">
        <v>0</v>
      </c>
      <c r="F99" s="40">
        <v>128833340</v>
      </c>
      <c r="G99" s="40">
        <v>119763850</v>
      </c>
      <c r="H99" s="40">
        <v>28861000</v>
      </c>
      <c r="I99" s="40">
        <v>17809900</v>
      </c>
      <c r="J99" s="40">
        <v>572900</v>
      </c>
      <c r="K99" s="40">
        <v>235900</v>
      </c>
      <c r="L99" s="40">
        <v>145674493</v>
      </c>
      <c r="M99" s="40">
        <v>149133737</v>
      </c>
      <c r="N99" s="40">
        <v>5462</v>
      </c>
      <c r="O99" s="40">
        <v>5185</v>
      </c>
      <c r="P99" s="40">
        <v>11817000</v>
      </c>
      <c r="Q99" s="40">
        <v>1347900</v>
      </c>
      <c r="R99" s="40">
        <v>4254500</v>
      </c>
      <c r="S99" s="40">
        <v>7199710</v>
      </c>
      <c r="T99" s="40">
        <v>1266700</v>
      </c>
      <c r="U99" s="40">
        <v>1574661</v>
      </c>
      <c r="V99" s="40">
        <v>11817000</v>
      </c>
      <c r="W99" s="40">
        <v>1787250</v>
      </c>
      <c r="X99" s="40">
        <v>4254500</v>
      </c>
      <c r="Y99" s="40">
        <v>7199710</v>
      </c>
      <c r="Z99" s="40">
        <v>1202660</v>
      </c>
      <c r="AA99" s="40">
        <v>1574661</v>
      </c>
      <c r="AB99" s="40">
        <v>-4574787</v>
      </c>
      <c r="AC99" s="40">
        <v>207101</v>
      </c>
      <c r="AD99" s="40">
        <v>376289</v>
      </c>
      <c r="AE99" s="40">
        <v>0</v>
      </c>
      <c r="AF99" s="40">
        <v>0</v>
      </c>
      <c r="AG99" s="40">
        <v>463667</v>
      </c>
      <c r="AH99" s="40">
        <v>10773227</v>
      </c>
      <c r="AI99" s="40">
        <v>403929937</v>
      </c>
      <c r="AJ99" s="40">
        <v>302700250</v>
      </c>
      <c r="AK99" s="42">
        <v>429286274</v>
      </c>
      <c r="AL99" s="42">
        <v>9959953</v>
      </c>
      <c r="AM99" s="40">
        <v>0</v>
      </c>
      <c r="AN99" s="40">
        <v>414155129</v>
      </c>
      <c r="AO99" s="40">
        <v>13650099</v>
      </c>
      <c r="AP99" s="40">
        <v>205105652</v>
      </c>
      <c r="AQ99" s="40">
        <v>111907832</v>
      </c>
      <c r="AR99" s="40">
        <v>68427049</v>
      </c>
      <c r="AS99" s="40">
        <v>6046453</v>
      </c>
      <c r="AT99" s="40">
        <v>1975</v>
      </c>
      <c r="AU99" s="40">
        <v>0</v>
      </c>
      <c r="AV99" s="40">
        <v>0</v>
      </c>
      <c r="AW99" s="40">
        <v>0</v>
      </c>
      <c r="AX99" s="40">
        <v>6684</v>
      </c>
      <c r="AY99" s="40">
        <v>1148979</v>
      </c>
      <c r="AZ99" s="1">
        <v>35289063.689999998</v>
      </c>
      <c r="BA99" s="1">
        <v>17997422</v>
      </c>
      <c r="BB99" s="43"/>
      <c r="BC99" s="15">
        <v>6894112</v>
      </c>
      <c r="BD99" s="15">
        <v>13788223</v>
      </c>
      <c r="BE99" s="20">
        <v>39021057</v>
      </c>
      <c r="BF99" s="20">
        <v>39021057</v>
      </c>
      <c r="BG99" s="20">
        <v>137922618</v>
      </c>
      <c r="BH99" s="20">
        <v>130723354</v>
      </c>
      <c r="BI99" s="44"/>
      <c r="BJ99" s="44"/>
      <c r="BK99" s="44"/>
      <c r="BL99" s="5">
        <v>3342411670</v>
      </c>
      <c r="BM99" s="5">
        <v>2708529498</v>
      </c>
      <c r="BN99" s="15">
        <v>12487249</v>
      </c>
      <c r="BO99" s="3"/>
      <c r="BP99" s="1"/>
      <c r="BQ99" s="1"/>
      <c r="BR99" s="5"/>
      <c r="BS99" s="5"/>
      <c r="BT99" s="5"/>
    </row>
    <row r="100" spans="1:72" x14ac:dyDescent="0.25">
      <c r="A100" s="6" t="s">
        <v>154</v>
      </c>
      <c r="B100" s="40">
        <v>233047919</v>
      </c>
      <c r="C100" s="40">
        <v>52723616</v>
      </c>
      <c r="D100" s="40">
        <v>72821359</v>
      </c>
      <c r="E100" s="40">
        <v>0</v>
      </c>
      <c r="F100" s="40">
        <v>20419340</v>
      </c>
      <c r="G100" s="40">
        <v>12005726</v>
      </c>
      <c r="H100" s="40">
        <v>4473667</v>
      </c>
      <c r="I100" s="40">
        <v>1383735</v>
      </c>
      <c r="J100" s="40">
        <v>33700</v>
      </c>
      <c r="K100" s="40">
        <v>0</v>
      </c>
      <c r="L100" s="40">
        <v>25260250</v>
      </c>
      <c r="M100" s="40">
        <v>25620622</v>
      </c>
      <c r="N100" s="40">
        <v>853</v>
      </c>
      <c r="O100" s="40">
        <v>473</v>
      </c>
      <c r="P100" s="40">
        <v>4195606</v>
      </c>
      <c r="Q100" s="40">
        <v>221350</v>
      </c>
      <c r="R100" s="40">
        <v>393940</v>
      </c>
      <c r="S100" s="40">
        <v>1085510</v>
      </c>
      <c r="T100" s="40">
        <v>396438</v>
      </c>
      <c r="U100" s="40">
        <v>1222750</v>
      </c>
      <c r="V100" s="40">
        <v>4195606</v>
      </c>
      <c r="W100" s="40">
        <v>221350</v>
      </c>
      <c r="X100" s="40">
        <v>393940</v>
      </c>
      <c r="Y100" s="40">
        <v>1085510</v>
      </c>
      <c r="Z100" s="40">
        <v>396438</v>
      </c>
      <c r="AA100" s="40">
        <v>1222750</v>
      </c>
      <c r="AB100" s="40">
        <v>-2740458</v>
      </c>
      <c r="AC100" s="40">
        <v>0</v>
      </c>
      <c r="AD100" s="40">
        <v>64415</v>
      </c>
      <c r="AE100" s="40">
        <v>0</v>
      </c>
      <c r="AF100" s="40">
        <v>0</v>
      </c>
      <c r="AG100" s="40">
        <v>79104</v>
      </c>
      <c r="AH100" s="40">
        <v>275128</v>
      </c>
      <c r="AI100" s="40">
        <v>491156</v>
      </c>
      <c r="AJ100" s="3"/>
      <c r="AK100" s="42">
        <v>65253697</v>
      </c>
      <c r="AL100" s="42">
        <v>1460149</v>
      </c>
      <c r="AM100" s="40">
        <v>0</v>
      </c>
      <c r="AN100" s="40">
        <v>8425346</v>
      </c>
      <c r="AO100" s="40">
        <v>39166</v>
      </c>
      <c r="AP100" s="40">
        <v>6152679</v>
      </c>
      <c r="AQ100" s="40">
        <v>9957687</v>
      </c>
      <c r="AR100" s="40">
        <v>3503803</v>
      </c>
      <c r="AS100" s="40">
        <v>0</v>
      </c>
      <c r="AT100" s="40">
        <v>0</v>
      </c>
      <c r="AU100" s="40">
        <v>0</v>
      </c>
      <c r="AV100" s="40">
        <v>0</v>
      </c>
      <c r="AW100" s="40">
        <v>0</v>
      </c>
      <c r="AX100" s="40">
        <v>3582709</v>
      </c>
      <c r="AY100" s="40">
        <v>63500</v>
      </c>
      <c r="AZ100" s="1">
        <v>5364117.16</v>
      </c>
      <c r="BA100" s="1">
        <v>2735700</v>
      </c>
      <c r="BB100" s="43"/>
      <c r="BC100" s="15">
        <v>0</v>
      </c>
      <c r="BD100" s="15">
        <v>0</v>
      </c>
      <c r="BE100" s="20">
        <v>8902110</v>
      </c>
      <c r="BF100" s="20">
        <v>8902110</v>
      </c>
      <c r="BG100" s="20">
        <v>40187173</v>
      </c>
      <c r="BH100" s="20">
        <v>40151524</v>
      </c>
      <c r="BI100" s="44"/>
      <c r="BJ100" s="44"/>
      <c r="BK100" s="44"/>
      <c r="BL100" s="5">
        <v>496284557</v>
      </c>
      <c r="BM100" s="5">
        <v>377781377</v>
      </c>
      <c r="BN100" s="15">
        <v>798845</v>
      </c>
      <c r="BO100" s="3"/>
      <c r="BP100" s="1"/>
      <c r="BQ100" s="1"/>
      <c r="BR100" s="5"/>
      <c r="BS100" s="5"/>
      <c r="BT100" s="5"/>
    </row>
    <row r="101" spans="1:72" x14ac:dyDescent="0.25">
      <c r="A101" s="6" t="s">
        <v>155</v>
      </c>
      <c r="B101" s="40">
        <v>2025899366</v>
      </c>
      <c r="C101" s="40">
        <v>316904243</v>
      </c>
      <c r="D101" s="40">
        <v>704444411</v>
      </c>
      <c r="E101" s="40">
        <v>0</v>
      </c>
      <c r="F101" s="40">
        <v>152294817</v>
      </c>
      <c r="G101" s="40">
        <v>36543897</v>
      </c>
      <c r="H101" s="40">
        <v>32657500</v>
      </c>
      <c r="I101" s="40">
        <v>4593100</v>
      </c>
      <c r="J101" s="40">
        <v>303300</v>
      </c>
      <c r="K101" s="40">
        <v>33700</v>
      </c>
      <c r="L101" s="40">
        <v>648382514</v>
      </c>
      <c r="M101" s="40">
        <v>1002537357</v>
      </c>
      <c r="N101" s="40">
        <v>5738</v>
      </c>
      <c r="O101" s="40">
        <v>1360</v>
      </c>
      <c r="P101" s="40">
        <v>27158500</v>
      </c>
      <c r="Q101" s="40">
        <v>1680000</v>
      </c>
      <c r="R101" s="40">
        <v>4360000</v>
      </c>
      <c r="S101" s="40">
        <v>1059532</v>
      </c>
      <c r="T101" s="40">
        <v>217000</v>
      </c>
      <c r="U101" s="40">
        <v>0</v>
      </c>
      <c r="V101" s="40">
        <v>27158500</v>
      </c>
      <c r="W101" s="40">
        <v>1785000</v>
      </c>
      <c r="X101" s="40">
        <v>4360000</v>
      </c>
      <c r="Y101" s="40">
        <v>1059532</v>
      </c>
      <c r="Z101" s="40">
        <v>940000</v>
      </c>
      <c r="AA101" s="40">
        <v>0</v>
      </c>
      <c r="AB101" s="40">
        <v>-20885074</v>
      </c>
      <c r="AC101" s="40">
        <v>-658446</v>
      </c>
      <c r="AD101" s="40">
        <v>0</v>
      </c>
      <c r="AE101" s="40">
        <v>0</v>
      </c>
      <c r="AF101" s="40">
        <v>0</v>
      </c>
      <c r="AG101" s="40">
        <v>0</v>
      </c>
      <c r="AH101" s="40">
        <v>243264</v>
      </c>
      <c r="AI101" s="40">
        <v>1129788</v>
      </c>
      <c r="AJ101" s="40">
        <v>1623</v>
      </c>
      <c r="AK101" s="42">
        <v>357809367</v>
      </c>
      <c r="AL101" s="42">
        <v>30001890</v>
      </c>
      <c r="AM101" s="40">
        <v>10891009</v>
      </c>
      <c r="AN101" s="40">
        <v>142126303</v>
      </c>
      <c r="AO101" s="40">
        <v>13526612</v>
      </c>
      <c r="AP101" s="40">
        <v>189079571</v>
      </c>
      <c r="AQ101" s="40">
        <v>145469214</v>
      </c>
      <c r="AR101" s="40">
        <v>69527591</v>
      </c>
      <c r="AS101" s="40">
        <v>16001990</v>
      </c>
      <c r="AT101" s="40">
        <v>4572664</v>
      </c>
      <c r="AU101" s="40">
        <v>0</v>
      </c>
      <c r="AV101" s="40">
        <v>31047</v>
      </c>
      <c r="AW101" s="40">
        <v>0</v>
      </c>
      <c r="AX101" s="40">
        <v>4583858</v>
      </c>
      <c r="AY101" s="40">
        <v>3224224</v>
      </c>
      <c r="AZ101" s="1">
        <v>29413373.559999999</v>
      </c>
      <c r="BA101" s="1">
        <v>15000821</v>
      </c>
      <c r="BB101" s="43"/>
      <c r="BC101" s="15">
        <v>4704232</v>
      </c>
      <c r="BD101" s="15">
        <v>9408464</v>
      </c>
      <c r="BE101" s="20">
        <v>37077960</v>
      </c>
      <c r="BF101" s="20">
        <v>37077960</v>
      </c>
      <c r="BG101" s="20">
        <v>130267291</v>
      </c>
      <c r="BH101" s="20">
        <v>122777972</v>
      </c>
      <c r="BI101" s="44"/>
      <c r="BJ101" s="44"/>
      <c r="BK101" s="44"/>
      <c r="BL101" s="5">
        <v>3917117066</v>
      </c>
      <c r="BM101" s="5">
        <v>3349744824</v>
      </c>
      <c r="BN101" s="15">
        <v>4734500</v>
      </c>
      <c r="BO101" s="3"/>
      <c r="BP101" s="1"/>
      <c r="BQ101" s="1"/>
      <c r="BR101" s="5"/>
      <c r="BS101" s="5"/>
      <c r="BT101" s="5"/>
    </row>
    <row r="102" spans="1:72" x14ac:dyDescent="0.25">
      <c r="A102" s="6" t="s">
        <v>156</v>
      </c>
      <c r="B102" s="40">
        <v>19471534</v>
      </c>
      <c r="C102" s="40">
        <v>33286117</v>
      </c>
      <c r="D102" s="40">
        <v>3442101</v>
      </c>
      <c r="E102" s="40">
        <v>0</v>
      </c>
      <c r="F102" s="40">
        <v>3676286</v>
      </c>
      <c r="G102" s="40">
        <v>1013900</v>
      </c>
      <c r="H102" s="40">
        <v>3153188</v>
      </c>
      <c r="I102" s="40">
        <v>635125</v>
      </c>
      <c r="J102" s="40">
        <v>0</v>
      </c>
      <c r="K102" s="40">
        <v>0</v>
      </c>
      <c r="L102" s="40">
        <v>53128740</v>
      </c>
      <c r="M102" s="40">
        <v>90417912</v>
      </c>
      <c r="N102" s="40">
        <v>217</v>
      </c>
      <c r="O102" s="40">
        <v>53</v>
      </c>
      <c r="P102" s="40">
        <v>359112</v>
      </c>
      <c r="Q102" s="40">
        <v>406913</v>
      </c>
      <c r="R102" s="40">
        <v>310000</v>
      </c>
      <c r="S102" s="40">
        <v>229668</v>
      </c>
      <c r="T102" s="40">
        <v>67500</v>
      </c>
      <c r="U102" s="40">
        <v>8000</v>
      </c>
      <c r="V102" s="40">
        <v>359112</v>
      </c>
      <c r="W102" s="40">
        <v>411273</v>
      </c>
      <c r="X102" s="40">
        <v>310000</v>
      </c>
      <c r="Y102" s="40">
        <v>229668</v>
      </c>
      <c r="Z102" s="40">
        <v>70700</v>
      </c>
      <c r="AA102" s="40">
        <v>8000</v>
      </c>
      <c r="AB102" s="40">
        <v>-292550</v>
      </c>
      <c r="AC102" s="40">
        <v>57038</v>
      </c>
      <c r="AD102" s="40">
        <v>0</v>
      </c>
      <c r="AE102" s="40">
        <v>0</v>
      </c>
      <c r="AF102" s="40">
        <v>0</v>
      </c>
      <c r="AG102" s="40">
        <v>0</v>
      </c>
      <c r="AH102" s="3"/>
      <c r="AI102" s="3"/>
      <c r="AJ102" s="3"/>
      <c r="AK102" s="42">
        <v>11485762</v>
      </c>
      <c r="AL102" s="42">
        <v>256698</v>
      </c>
      <c r="AM102" s="40">
        <v>0</v>
      </c>
      <c r="AN102" s="40">
        <v>724923</v>
      </c>
      <c r="AO102" s="40">
        <v>266</v>
      </c>
      <c r="AP102" s="40">
        <v>1215</v>
      </c>
      <c r="AQ102" s="40">
        <v>291287</v>
      </c>
      <c r="AR102" s="40">
        <v>57900</v>
      </c>
      <c r="AS102" s="40">
        <v>0</v>
      </c>
      <c r="AT102" s="40">
        <v>0</v>
      </c>
      <c r="AU102" s="40">
        <v>0</v>
      </c>
      <c r="AV102" s="40">
        <v>0</v>
      </c>
      <c r="AW102" s="40">
        <v>0</v>
      </c>
      <c r="AX102" s="40">
        <v>0</v>
      </c>
      <c r="AY102" s="40">
        <v>0</v>
      </c>
      <c r="AZ102" s="1">
        <v>944175.98</v>
      </c>
      <c r="BA102" s="1">
        <v>481530</v>
      </c>
      <c r="BB102" s="43"/>
      <c r="BC102" s="15">
        <v>0</v>
      </c>
      <c r="BD102" s="15">
        <v>0</v>
      </c>
      <c r="BE102" s="20">
        <v>2270681</v>
      </c>
      <c r="BF102" s="20">
        <v>2270681</v>
      </c>
      <c r="BG102" s="20">
        <v>9146822</v>
      </c>
      <c r="BH102" s="20">
        <v>9145549</v>
      </c>
      <c r="BI102" s="44"/>
      <c r="BJ102" s="44"/>
      <c r="BK102" s="44"/>
      <c r="BL102" s="5">
        <v>80856448</v>
      </c>
      <c r="BM102" s="5">
        <v>57216228</v>
      </c>
      <c r="BN102" s="15">
        <v>71800</v>
      </c>
      <c r="BO102" s="3"/>
      <c r="BP102" s="1"/>
      <c r="BQ102" s="1"/>
      <c r="BR102" s="5"/>
      <c r="BS102" s="5"/>
      <c r="BT102" s="5"/>
    </row>
    <row r="103" spans="1:72" x14ac:dyDescent="0.25">
      <c r="A103" s="6" t="s">
        <v>157</v>
      </c>
      <c r="B103" s="40">
        <v>223084132</v>
      </c>
      <c r="C103" s="40">
        <v>75619460</v>
      </c>
      <c r="D103" s="40">
        <v>62464143</v>
      </c>
      <c r="E103" s="40">
        <v>0</v>
      </c>
      <c r="F103" s="40">
        <v>33005800</v>
      </c>
      <c r="G103" s="40">
        <v>15415700</v>
      </c>
      <c r="H103" s="40">
        <v>12139700</v>
      </c>
      <c r="I103" s="40">
        <v>2383400</v>
      </c>
      <c r="J103" s="40">
        <v>67400</v>
      </c>
      <c r="K103" s="40">
        <v>9000</v>
      </c>
      <c r="L103" s="40">
        <v>80624914</v>
      </c>
      <c r="M103" s="40">
        <v>53736050</v>
      </c>
      <c r="N103" s="40">
        <v>1423</v>
      </c>
      <c r="O103" s="40">
        <v>583</v>
      </c>
      <c r="P103" s="40">
        <v>3141500</v>
      </c>
      <c r="Q103" s="40">
        <v>709000</v>
      </c>
      <c r="R103" s="40">
        <v>0</v>
      </c>
      <c r="S103" s="40">
        <v>3501500</v>
      </c>
      <c r="T103" s="40">
        <v>508100</v>
      </c>
      <c r="U103" s="40">
        <v>458500</v>
      </c>
      <c r="V103" s="40">
        <v>3141500</v>
      </c>
      <c r="W103" s="40">
        <v>780000</v>
      </c>
      <c r="X103" s="40">
        <v>0</v>
      </c>
      <c r="Y103" s="40">
        <v>3501500</v>
      </c>
      <c r="Z103" s="40">
        <v>442400</v>
      </c>
      <c r="AA103" s="40">
        <v>458500</v>
      </c>
      <c r="AB103" s="40">
        <v>-4830832</v>
      </c>
      <c r="AC103" s="40">
        <v>-217480</v>
      </c>
      <c r="AD103" s="40">
        <v>80503</v>
      </c>
      <c r="AE103" s="40">
        <v>0</v>
      </c>
      <c r="AF103" s="40">
        <v>0</v>
      </c>
      <c r="AG103" s="40">
        <v>0</v>
      </c>
      <c r="AH103" s="3"/>
      <c r="AI103" s="40">
        <v>164434</v>
      </c>
      <c r="AJ103" s="40">
        <v>0</v>
      </c>
      <c r="AK103" s="42">
        <v>72229362</v>
      </c>
      <c r="AL103" s="42">
        <v>2056126</v>
      </c>
      <c r="AM103" s="40">
        <v>26000</v>
      </c>
      <c r="AN103" s="40">
        <v>11862655</v>
      </c>
      <c r="AO103" s="40">
        <v>1143391</v>
      </c>
      <c r="AP103" s="40">
        <v>7483574</v>
      </c>
      <c r="AQ103" s="40">
        <v>8083480</v>
      </c>
      <c r="AR103" s="40">
        <v>3178893</v>
      </c>
      <c r="AS103" s="40">
        <v>0</v>
      </c>
      <c r="AT103" s="40">
        <v>0</v>
      </c>
      <c r="AU103" s="40">
        <v>0</v>
      </c>
      <c r="AV103" s="40">
        <v>0</v>
      </c>
      <c r="AW103" s="40">
        <v>0</v>
      </c>
      <c r="AX103" s="40">
        <v>285000</v>
      </c>
      <c r="AY103" s="40">
        <v>0</v>
      </c>
      <c r="AZ103" s="1">
        <v>5937544.9699999997</v>
      </c>
      <c r="BA103" s="1">
        <v>3028148</v>
      </c>
      <c r="BB103" s="43"/>
      <c r="BC103" s="15">
        <v>2506893</v>
      </c>
      <c r="BD103" s="15">
        <v>5013786</v>
      </c>
      <c r="BE103" s="20">
        <v>3901040</v>
      </c>
      <c r="BF103" s="20">
        <v>3901040</v>
      </c>
      <c r="BG103" s="20">
        <v>33306831</v>
      </c>
      <c r="BH103" s="20">
        <v>30639886</v>
      </c>
      <c r="BI103" s="44"/>
      <c r="BJ103" s="44"/>
      <c r="BK103" s="44"/>
      <c r="BL103" s="5">
        <v>496783150</v>
      </c>
      <c r="BM103" s="5">
        <v>382421695</v>
      </c>
      <c r="BN103" s="15">
        <v>539308</v>
      </c>
      <c r="BO103" s="3"/>
      <c r="BP103" s="1"/>
      <c r="BQ103" s="1"/>
      <c r="BR103" s="5"/>
      <c r="BS103" s="5"/>
      <c r="BT103" s="5"/>
    </row>
    <row r="104" spans="1:72" x14ac:dyDescent="0.25">
      <c r="A104" s="6" t="s">
        <v>158</v>
      </c>
      <c r="B104" s="40">
        <v>491539908</v>
      </c>
      <c r="C104" s="40">
        <v>93085696</v>
      </c>
      <c r="D104" s="40">
        <v>270027941</v>
      </c>
      <c r="E104" s="40">
        <v>0</v>
      </c>
      <c r="F104" s="40">
        <v>37478025</v>
      </c>
      <c r="G104" s="40">
        <v>8671691</v>
      </c>
      <c r="H104" s="40">
        <v>11611353</v>
      </c>
      <c r="I104" s="40">
        <v>1558800</v>
      </c>
      <c r="J104" s="40">
        <v>159800</v>
      </c>
      <c r="K104" s="40">
        <v>0</v>
      </c>
      <c r="L104" s="40">
        <v>84372106</v>
      </c>
      <c r="M104" s="40">
        <v>0</v>
      </c>
      <c r="N104" s="40">
        <v>1586</v>
      </c>
      <c r="O104" s="40">
        <v>367</v>
      </c>
      <c r="P104" s="40">
        <v>5560942</v>
      </c>
      <c r="Q104" s="40">
        <v>1076738</v>
      </c>
      <c r="R104" s="40">
        <v>1480036</v>
      </c>
      <c r="S104" s="40">
        <v>4464879</v>
      </c>
      <c r="T104" s="40">
        <v>679881</v>
      </c>
      <c r="U104" s="40">
        <v>1823935</v>
      </c>
      <c r="V104" s="40">
        <v>5560942</v>
      </c>
      <c r="W104" s="40">
        <v>1302755</v>
      </c>
      <c r="X104" s="40">
        <v>1480036</v>
      </c>
      <c r="Y104" s="40">
        <v>4464879</v>
      </c>
      <c r="Z104" s="40">
        <v>648458</v>
      </c>
      <c r="AA104" s="40">
        <v>1823935</v>
      </c>
      <c r="AB104" s="40">
        <v>-3797938</v>
      </c>
      <c r="AC104" s="40">
        <v>16558</v>
      </c>
      <c r="AD104" s="40">
        <v>930</v>
      </c>
      <c r="AE104" s="40">
        <v>0</v>
      </c>
      <c r="AF104" s="40">
        <v>0</v>
      </c>
      <c r="AG104" s="40">
        <v>1330</v>
      </c>
      <c r="AH104" s="3"/>
      <c r="AI104" s="40">
        <v>70803</v>
      </c>
      <c r="AJ104" s="3"/>
      <c r="AK104" s="42">
        <v>104778802</v>
      </c>
      <c r="AL104" s="42">
        <v>5007286</v>
      </c>
      <c r="AM104" s="40">
        <v>1435195</v>
      </c>
      <c r="AN104" s="40">
        <v>38916880</v>
      </c>
      <c r="AO104" s="40">
        <v>4745550</v>
      </c>
      <c r="AP104" s="40">
        <v>59116327</v>
      </c>
      <c r="AQ104" s="40">
        <v>29946011</v>
      </c>
      <c r="AR104" s="40">
        <v>19867456</v>
      </c>
      <c r="AS104" s="40">
        <v>23194983</v>
      </c>
      <c r="AT104" s="40">
        <v>182051</v>
      </c>
      <c r="AU104" s="40">
        <v>821658</v>
      </c>
      <c r="AV104" s="40">
        <v>0</v>
      </c>
      <c r="AW104" s="40">
        <v>9130</v>
      </c>
      <c r="AX104" s="40">
        <v>5171</v>
      </c>
      <c r="AY104" s="40">
        <v>309500</v>
      </c>
      <c r="AZ104" s="1">
        <v>8613240.2599999998</v>
      </c>
      <c r="BA104" s="1">
        <v>4392753</v>
      </c>
      <c r="BB104" s="43"/>
      <c r="BC104" s="15">
        <v>0</v>
      </c>
      <c r="BD104" s="15">
        <v>0</v>
      </c>
      <c r="BE104" s="20">
        <v>20493833</v>
      </c>
      <c r="BF104" s="20">
        <v>20493833</v>
      </c>
      <c r="BG104" s="20">
        <v>44130755</v>
      </c>
      <c r="BH104" s="20">
        <v>44124389</v>
      </c>
      <c r="BI104" s="44"/>
      <c r="BJ104" s="44"/>
      <c r="BK104" s="44"/>
      <c r="BL104" s="5">
        <v>1107129852</v>
      </c>
      <c r="BM104" s="5">
        <v>928332789</v>
      </c>
      <c r="BN104" s="15">
        <v>3817662</v>
      </c>
      <c r="BO104" s="3"/>
      <c r="BP104" s="1"/>
      <c r="BQ104" s="1"/>
      <c r="BR104" s="5"/>
      <c r="BS104" s="5"/>
      <c r="BT104" s="5"/>
    </row>
    <row r="105" spans="1:72" x14ac:dyDescent="0.25">
      <c r="A105" s="6" t="s">
        <v>159</v>
      </c>
      <c r="B105" s="40">
        <v>506760015</v>
      </c>
      <c r="C105" s="40">
        <v>117984994</v>
      </c>
      <c r="D105" s="40">
        <v>136172928</v>
      </c>
      <c r="E105" s="40">
        <v>10000000</v>
      </c>
      <c r="F105" s="40">
        <v>50593600</v>
      </c>
      <c r="G105" s="40">
        <v>15356700</v>
      </c>
      <c r="H105" s="40">
        <v>14887750</v>
      </c>
      <c r="I105" s="40">
        <v>1522700</v>
      </c>
      <c r="J105" s="40">
        <v>33700</v>
      </c>
      <c r="K105" s="40">
        <v>127100</v>
      </c>
      <c r="L105" s="40">
        <v>265826956</v>
      </c>
      <c r="M105" s="40">
        <v>0</v>
      </c>
      <c r="N105" s="40">
        <v>2038</v>
      </c>
      <c r="O105" s="40">
        <v>560</v>
      </c>
      <c r="P105" s="40">
        <v>315000</v>
      </c>
      <c r="Q105" s="40">
        <v>96100</v>
      </c>
      <c r="R105" s="40">
        <v>0</v>
      </c>
      <c r="S105" s="40">
        <v>2586923</v>
      </c>
      <c r="T105" s="40">
        <v>1535200</v>
      </c>
      <c r="U105" s="40">
        <v>1270235</v>
      </c>
      <c r="V105" s="40">
        <v>315000</v>
      </c>
      <c r="W105" s="40">
        <v>500</v>
      </c>
      <c r="X105" s="40">
        <v>0</v>
      </c>
      <c r="Y105" s="40">
        <v>2586923</v>
      </c>
      <c r="Z105" s="40">
        <v>1117573</v>
      </c>
      <c r="AA105" s="40">
        <v>1270235</v>
      </c>
      <c r="AB105" s="40">
        <v>-1172295</v>
      </c>
      <c r="AC105" s="40">
        <v>-513748</v>
      </c>
      <c r="AD105" s="40">
        <v>122523</v>
      </c>
      <c r="AE105" s="40">
        <v>1</v>
      </c>
      <c r="AF105" s="40">
        <v>0</v>
      </c>
      <c r="AG105" s="40">
        <v>6448</v>
      </c>
      <c r="AH105" s="40">
        <v>218492</v>
      </c>
      <c r="AI105" s="3"/>
      <c r="AJ105" s="3"/>
      <c r="AK105" s="42">
        <v>87572513</v>
      </c>
      <c r="AL105" s="42">
        <v>19591858</v>
      </c>
      <c r="AM105" s="40">
        <v>20884798</v>
      </c>
      <c r="AN105" s="40">
        <v>21813636</v>
      </c>
      <c r="AO105" s="40">
        <v>751077</v>
      </c>
      <c r="AP105" s="40">
        <v>64769058</v>
      </c>
      <c r="AQ105" s="40">
        <v>29205477</v>
      </c>
      <c r="AR105" s="40">
        <v>50948647</v>
      </c>
      <c r="AS105" s="40">
        <v>0</v>
      </c>
      <c r="AT105" s="40">
        <v>100000</v>
      </c>
      <c r="AU105" s="40">
        <v>0</v>
      </c>
      <c r="AV105" s="40">
        <v>0</v>
      </c>
      <c r="AW105" s="40">
        <v>0</v>
      </c>
      <c r="AX105" s="40">
        <v>13700</v>
      </c>
      <c r="AY105" s="40">
        <v>4125750</v>
      </c>
      <c r="AZ105" s="1">
        <v>7198813.8799999999</v>
      </c>
      <c r="BA105" s="1">
        <v>3671395</v>
      </c>
      <c r="BB105" s="43"/>
      <c r="BC105" s="15">
        <v>0</v>
      </c>
      <c r="BD105" s="15">
        <v>0</v>
      </c>
      <c r="BE105" s="20">
        <v>2981509</v>
      </c>
      <c r="BF105" s="20">
        <v>2981509</v>
      </c>
      <c r="BG105" s="20">
        <v>52240556</v>
      </c>
      <c r="BH105" s="20">
        <v>52202915</v>
      </c>
      <c r="BI105" s="44"/>
      <c r="BJ105" s="44"/>
      <c r="BK105" s="44"/>
      <c r="BL105" s="5">
        <v>978926809</v>
      </c>
      <c r="BM105" s="5">
        <v>812906619</v>
      </c>
      <c r="BN105" s="15">
        <v>4912500</v>
      </c>
      <c r="BO105" s="3"/>
      <c r="BP105" s="1"/>
      <c r="BQ105" s="1"/>
      <c r="BR105" s="5"/>
      <c r="BS105" s="5"/>
      <c r="BT105" s="5"/>
    </row>
    <row r="106" spans="1:72" x14ac:dyDescent="0.25">
      <c r="A106" s="6" t="s">
        <v>160</v>
      </c>
      <c r="B106" s="40">
        <v>2210088103</v>
      </c>
      <c r="C106" s="40">
        <v>286025786</v>
      </c>
      <c r="D106" s="40">
        <v>860877971</v>
      </c>
      <c r="E106" s="40">
        <v>360000000</v>
      </c>
      <c r="F106" s="40">
        <v>61988110</v>
      </c>
      <c r="G106" s="40">
        <v>8127976</v>
      </c>
      <c r="H106" s="40">
        <v>11294472</v>
      </c>
      <c r="I106" s="40">
        <v>755724</v>
      </c>
      <c r="J106" s="40">
        <v>0</v>
      </c>
      <c r="K106" s="40">
        <v>0</v>
      </c>
      <c r="L106" s="40">
        <v>545545976</v>
      </c>
      <c r="M106" s="40">
        <v>221097190</v>
      </c>
      <c r="N106" s="40">
        <v>2206</v>
      </c>
      <c r="O106" s="40">
        <v>275</v>
      </c>
      <c r="P106" s="40">
        <v>45588749</v>
      </c>
      <c r="Q106" s="40">
        <v>4240017</v>
      </c>
      <c r="R106" s="40">
        <v>18062830</v>
      </c>
      <c r="S106" s="40">
        <v>9791535</v>
      </c>
      <c r="T106" s="40">
        <v>978119</v>
      </c>
      <c r="U106" s="40">
        <v>54287679</v>
      </c>
      <c r="V106" s="40">
        <v>45588749</v>
      </c>
      <c r="W106" s="40">
        <v>5843427</v>
      </c>
      <c r="X106" s="40">
        <v>18062830</v>
      </c>
      <c r="Y106" s="40">
        <v>9791535</v>
      </c>
      <c r="Z106" s="40">
        <v>1657934</v>
      </c>
      <c r="AA106" s="40">
        <v>54287679</v>
      </c>
      <c r="AB106" s="40">
        <v>-50240</v>
      </c>
      <c r="AC106" s="40">
        <v>-424347</v>
      </c>
      <c r="AD106" s="40">
        <v>0</v>
      </c>
      <c r="AE106" s="40">
        <v>0</v>
      </c>
      <c r="AF106" s="40">
        <v>0</v>
      </c>
      <c r="AG106" s="40">
        <v>151346</v>
      </c>
      <c r="AH106" s="40">
        <v>0</v>
      </c>
      <c r="AI106" s="40">
        <v>824746</v>
      </c>
      <c r="AJ106" s="3"/>
      <c r="AK106" s="42">
        <v>297629777</v>
      </c>
      <c r="AL106" s="42">
        <v>6426046</v>
      </c>
      <c r="AM106" s="40">
        <v>0</v>
      </c>
      <c r="AN106" s="40">
        <v>83522788</v>
      </c>
      <c r="AO106" s="40">
        <v>7002180</v>
      </c>
      <c r="AP106" s="40">
        <v>206090885</v>
      </c>
      <c r="AQ106" s="40">
        <v>91408473</v>
      </c>
      <c r="AR106" s="40">
        <v>54682543</v>
      </c>
      <c r="AS106" s="40">
        <v>38532239</v>
      </c>
      <c r="AT106" s="40">
        <v>1203386442</v>
      </c>
      <c r="AU106" s="40">
        <v>0</v>
      </c>
      <c r="AV106" s="40">
        <v>25023</v>
      </c>
      <c r="AW106" s="40">
        <v>0</v>
      </c>
      <c r="AX106" s="40">
        <v>6477329</v>
      </c>
      <c r="AY106" s="40">
        <v>3668266</v>
      </c>
      <c r="AZ106" s="1">
        <v>24466368.460000001</v>
      </c>
      <c r="BA106" s="1">
        <v>12477848</v>
      </c>
      <c r="BB106" s="43"/>
      <c r="BC106" s="15">
        <v>3976344</v>
      </c>
      <c r="BD106" s="15">
        <v>7952688</v>
      </c>
      <c r="BE106" s="20">
        <v>56960423</v>
      </c>
      <c r="BF106" s="20">
        <v>56922464</v>
      </c>
      <c r="BG106" s="20">
        <v>67958664</v>
      </c>
      <c r="BH106" s="20">
        <v>62677393</v>
      </c>
      <c r="BI106" s="44"/>
      <c r="BJ106" s="44"/>
      <c r="BK106" s="44"/>
      <c r="BL106" s="5">
        <v>3979859919</v>
      </c>
      <c r="BM106" s="5">
        <v>3539750047</v>
      </c>
      <c r="BN106" s="15">
        <v>3805295</v>
      </c>
      <c r="BO106" s="3"/>
      <c r="BP106" s="1"/>
      <c r="BQ106" s="1"/>
      <c r="BR106" s="5"/>
      <c r="BS106" s="5"/>
      <c r="BT106" s="5"/>
    </row>
    <row r="107" spans="1:72" x14ac:dyDescent="0.25">
      <c r="A107" s="6" t="s">
        <v>161</v>
      </c>
      <c r="B107" s="40">
        <v>1732882867</v>
      </c>
      <c r="C107" s="40">
        <v>431391288</v>
      </c>
      <c r="D107" s="40">
        <v>462171468</v>
      </c>
      <c r="E107" s="40">
        <v>0</v>
      </c>
      <c r="F107" s="40">
        <v>69825181</v>
      </c>
      <c r="G107" s="40">
        <v>5776500</v>
      </c>
      <c r="H107" s="40">
        <v>17005500</v>
      </c>
      <c r="I107" s="40">
        <v>867000</v>
      </c>
      <c r="J107" s="40">
        <v>101100</v>
      </c>
      <c r="K107" s="40">
        <v>0</v>
      </c>
      <c r="L107" s="40">
        <v>727557588</v>
      </c>
      <c r="M107" s="40">
        <v>283575642</v>
      </c>
      <c r="N107" s="40">
        <v>2604</v>
      </c>
      <c r="O107" s="40">
        <v>199</v>
      </c>
      <c r="P107" s="40">
        <v>14199859</v>
      </c>
      <c r="Q107" s="40">
        <v>4565700</v>
      </c>
      <c r="R107" s="40">
        <v>4715000</v>
      </c>
      <c r="S107" s="40">
        <v>19495425</v>
      </c>
      <c r="T107" s="40">
        <v>3330312</v>
      </c>
      <c r="U107" s="40">
        <v>5175621</v>
      </c>
      <c r="V107" s="40">
        <v>14199859</v>
      </c>
      <c r="W107" s="40">
        <v>8501710</v>
      </c>
      <c r="X107" s="40">
        <v>4715000</v>
      </c>
      <c r="Y107" s="40">
        <v>19495425</v>
      </c>
      <c r="Z107" s="40">
        <v>4148480</v>
      </c>
      <c r="AA107" s="40">
        <v>5175621</v>
      </c>
      <c r="AB107" s="40">
        <v>-8860684</v>
      </c>
      <c r="AC107" s="40">
        <v>-270956</v>
      </c>
      <c r="AD107" s="40">
        <v>147</v>
      </c>
      <c r="AE107" s="40">
        <v>0</v>
      </c>
      <c r="AF107" s="40">
        <v>3712425</v>
      </c>
      <c r="AG107" s="40">
        <v>234612</v>
      </c>
      <c r="AH107" s="3"/>
      <c r="AI107" s="3"/>
      <c r="AJ107" s="3"/>
      <c r="AK107" s="42">
        <v>254712012</v>
      </c>
      <c r="AL107" s="42">
        <v>5988688</v>
      </c>
      <c r="AM107" s="40">
        <v>28000</v>
      </c>
      <c r="AN107" s="40">
        <v>98869642</v>
      </c>
      <c r="AO107" s="40">
        <v>6541808</v>
      </c>
      <c r="AP107" s="40">
        <v>267019044</v>
      </c>
      <c r="AQ107" s="40">
        <v>74168356</v>
      </c>
      <c r="AR107" s="40">
        <v>71709021</v>
      </c>
      <c r="AS107" s="40">
        <v>16189295</v>
      </c>
      <c r="AT107" s="40">
        <v>1779861</v>
      </c>
      <c r="AU107" s="40">
        <v>0</v>
      </c>
      <c r="AV107" s="40">
        <v>0</v>
      </c>
      <c r="AW107" s="40">
        <v>1686807</v>
      </c>
      <c r="AX107" s="40">
        <v>377085</v>
      </c>
      <c r="AY107" s="40">
        <v>371250</v>
      </c>
      <c r="AZ107" s="1">
        <v>20938355.030000001</v>
      </c>
      <c r="BA107" s="1">
        <v>10678561</v>
      </c>
      <c r="BB107" s="43"/>
      <c r="BC107" s="15">
        <v>4648910</v>
      </c>
      <c r="BD107" s="15">
        <v>9297820</v>
      </c>
      <c r="BE107" s="20">
        <v>45405181</v>
      </c>
      <c r="BF107" s="20">
        <v>44818584</v>
      </c>
      <c r="BG107" s="20">
        <v>55318474</v>
      </c>
      <c r="BH107" s="20">
        <v>51885881</v>
      </c>
      <c r="BI107" s="44"/>
      <c r="BJ107" s="44"/>
      <c r="BK107" s="44"/>
      <c r="BL107" s="5">
        <v>3178758065</v>
      </c>
      <c r="BM107" s="5">
        <v>2806025429</v>
      </c>
      <c r="BN107" s="15">
        <v>1910564</v>
      </c>
      <c r="BO107" s="3"/>
      <c r="BP107" s="1"/>
      <c r="BQ107" s="1"/>
      <c r="BR107" s="5"/>
      <c r="BS107" s="5"/>
      <c r="BT107" s="5"/>
    </row>
    <row r="108" spans="1:72" x14ac:dyDescent="0.25">
      <c r="A108" s="6" t="s">
        <v>162</v>
      </c>
      <c r="B108" s="40">
        <v>493932354</v>
      </c>
      <c r="C108" s="40">
        <v>175549050</v>
      </c>
      <c r="D108" s="40">
        <v>293674844</v>
      </c>
      <c r="E108" s="40">
        <v>0</v>
      </c>
      <c r="F108" s="40">
        <v>40407300</v>
      </c>
      <c r="G108" s="40">
        <v>4686100</v>
      </c>
      <c r="H108" s="40">
        <v>6692100</v>
      </c>
      <c r="I108" s="40">
        <v>539200</v>
      </c>
      <c r="J108" s="40">
        <v>0</v>
      </c>
      <c r="K108" s="40">
        <v>0</v>
      </c>
      <c r="L108" s="40">
        <v>359030439</v>
      </c>
      <c r="M108" s="40">
        <v>90683470</v>
      </c>
      <c r="N108" s="40">
        <v>1431</v>
      </c>
      <c r="O108" s="40">
        <v>164</v>
      </c>
      <c r="P108" s="40">
        <v>7312135</v>
      </c>
      <c r="Q108" s="40">
        <v>2901476</v>
      </c>
      <c r="R108" s="40">
        <v>11601023</v>
      </c>
      <c r="S108" s="40">
        <v>4820458</v>
      </c>
      <c r="T108" s="40">
        <v>1010500</v>
      </c>
      <c r="U108" s="40">
        <v>5865837</v>
      </c>
      <c r="V108" s="40">
        <v>7312135</v>
      </c>
      <c r="W108" s="40">
        <v>3175605</v>
      </c>
      <c r="X108" s="40">
        <v>11601023</v>
      </c>
      <c r="Y108" s="40">
        <v>4820458</v>
      </c>
      <c r="Z108" s="40">
        <v>1552213</v>
      </c>
      <c r="AA108" s="40">
        <v>5865837</v>
      </c>
      <c r="AB108" s="40">
        <v>-2231300</v>
      </c>
      <c r="AC108" s="40">
        <v>-24226</v>
      </c>
      <c r="AD108" s="40">
        <v>0</v>
      </c>
      <c r="AE108" s="40">
        <v>0</v>
      </c>
      <c r="AF108" s="40">
        <v>0</v>
      </c>
      <c r="AG108" s="40">
        <v>0</v>
      </c>
      <c r="AH108" s="40">
        <v>70529</v>
      </c>
      <c r="AI108" s="40">
        <v>216803</v>
      </c>
      <c r="AJ108" s="3"/>
      <c r="AK108" s="42">
        <v>93020718</v>
      </c>
      <c r="AL108" s="42">
        <v>2441343</v>
      </c>
      <c r="AM108" s="40">
        <v>0</v>
      </c>
      <c r="AN108" s="40">
        <v>40593177</v>
      </c>
      <c r="AO108" s="40">
        <v>5590021</v>
      </c>
      <c r="AP108" s="40">
        <v>221832927</v>
      </c>
      <c r="AQ108" s="40">
        <v>52367330</v>
      </c>
      <c r="AR108" s="40">
        <v>51259838</v>
      </c>
      <c r="AS108" s="40">
        <v>9455148</v>
      </c>
      <c r="AT108" s="40">
        <v>21501807</v>
      </c>
      <c r="AU108" s="40">
        <v>0</v>
      </c>
      <c r="AV108" s="40">
        <v>413828</v>
      </c>
      <c r="AW108" s="40">
        <v>5650346</v>
      </c>
      <c r="AX108" s="40">
        <v>101536</v>
      </c>
      <c r="AY108" s="40">
        <v>168000</v>
      </c>
      <c r="AZ108" s="1">
        <v>7646678.3099999996</v>
      </c>
      <c r="BA108" s="1">
        <v>3899806</v>
      </c>
      <c r="BB108" s="43"/>
      <c r="BC108" s="15">
        <v>900070</v>
      </c>
      <c r="BD108" s="15">
        <v>1800140</v>
      </c>
      <c r="BE108" s="20">
        <v>8590305</v>
      </c>
      <c r="BF108" s="20">
        <v>8590305</v>
      </c>
      <c r="BG108" s="20">
        <v>21055810</v>
      </c>
      <c r="BH108" s="20">
        <v>19522966</v>
      </c>
      <c r="BI108" s="44"/>
      <c r="BJ108" s="44">
        <v>4152930</v>
      </c>
      <c r="BK108" s="44"/>
      <c r="BL108" s="5">
        <v>1194522246</v>
      </c>
      <c r="BM108" s="5">
        <v>1061994108</v>
      </c>
      <c r="BN108" s="15">
        <v>1674747</v>
      </c>
      <c r="BO108" s="3"/>
      <c r="BP108" s="1"/>
      <c r="BQ108" s="1"/>
      <c r="BR108" s="5"/>
      <c r="BS108" s="5"/>
      <c r="BT108" s="5"/>
    </row>
    <row r="109" spans="1:72" x14ac:dyDescent="0.25">
      <c r="A109" s="6" t="s">
        <v>163</v>
      </c>
      <c r="B109" s="40">
        <v>779961124</v>
      </c>
      <c r="C109" s="40">
        <v>156749539</v>
      </c>
      <c r="D109" s="40">
        <v>52576840</v>
      </c>
      <c r="E109" s="40">
        <v>0</v>
      </c>
      <c r="F109" s="40">
        <v>25603500</v>
      </c>
      <c r="G109" s="40">
        <v>5827600</v>
      </c>
      <c r="H109" s="40">
        <v>7505773</v>
      </c>
      <c r="I109" s="40">
        <v>1074500</v>
      </c>
      <c r="J109" s="40">
        <v>33700</v>
      </c>
      <c r="K109" s="40">
        <v>0</v>
      </c>
      <c r="L109" s="40">
        <v>176787479</v>
      </c>
      <c r="M109" s="40">
        <v>110402233</v>
      </c>
      <c r="N109" s="40">
        <v>1006</v>
      </c>
      <c r="O109" s="40">
        <v>215</v>
      </c>
      <c r="P109" s="40">
        <v>12796367</v>
      </c>
      <c r="Q109" s="40">
        <v>3176583</v>
      </c>
      <c r="R109" s="40">
        <v>1140300</v>
      </c>
      <c r="S109" s="40">
        <v>6617465</v>
      </c>
      <c r="T109" s="40">
        <v>906300</v>
      </c>
      <c r="U109" s="40">
        <v>660650</v>
      </c>
      <c r="V109" s="40">
        <v>12796367</v>
      </c>
      <c r="W109" s="40">
        <v>4008683</v>
      </c>
      <c r="X109" s="40">
        <v>1140300</v>
      </c>
      <c r="Y109" s="40">
        <v>6617465</v>
      </c>
      <c r="Z109" s="40">
        <v>1340600</v>
      </c>
      <c r="AA109" s="40">
        <v>660650</v>
      </c>
      <c r="AB109" s="40">
        <v>-2284484</v>
      </c>
      <c r="AC109" s="40">
        <v>113621</v>
      </c>
      <c r="AD109" s="40">
        <v>21711</v>
      </c>
      <c r="AE109" s="40">
        <v>0</v>
      </c>
      <c r="AF109" s="40">
        <v>168140904</v>
      </c>
      <c r="AG109" s="40">
        <v>94169</v>
      </c>
      <c r="AH109" s="3"/>
      <c r="AI109" s="3"/>
      <c r="AJ109" s="3"/>
      <c r="AK109" s="42">
        <v>101814107</v>
      </c>
      <c r="AL109" s="42">
        <v>6900815</v>
      </c>
      <c r="AM109" s="40">
        <v>774644</v>
      </c>
      <c r="AN109" s="40">
        <v>7688169</v>
      </c>
      <c r="AO109" s="40">
        <v>14493</v>
      </c>
      <c r="AP109" s="40">
        <v>165183</v>
      </c>
      <c r="AQ109" s="40">
        <v>3353091</v>
      </c>
      <c r="AR109" s="40">
        <v>170087</v>
      </c>
      <c r="AS109" s="40">
        <v>0</v>
      </c>
      <c r="AT109" s="40">
        <v>1526827</v>
      </c>
      <c r="AU109" s="40">
        <v>0</v>
      </c>
      <c r="AV109" s="40">
        <v>0</v>
      </c>
      <c r="AW109" s="40">
        <v>0</v>
      </c>
      <c r="AX109" s="40">
        <v>10207</v>
      </c>
      <c r="AY109" s="40">
        <v>114800</v>
      </c>
      <c r="AZ109" s="1">
        <v>8369530.3700000001</v>
      </c>
      <c r="BA109" s="1">
        <v>4268460</v>
      </c>
      <c r="BB109" s="43"/>
      <c r="BC109" s="15">
        <v>0</v>
      </c>
      <c r="BD109" s="15">
        <v>0</v>
      </c>
      <c r="BE109" s="20">
        <v>1094683</v>
      </c>
      <c r="BF109" s="20">
        <v>1094683</v>
      </c>
      <c r="BG109" s="20">
        <v>18597992</v>
      </c>
      <c r="BH109" s="20">
        <v>18581441</v>
      </c>
      <c r="BI109" s="44"/>
      <c r="BJ109" s="44"/>
      <c r="BK109" s="44"/>
      <c r="BL109" s="5">
        <v>1133002762</v>
      </c>
      <c r="BM109" s="5">
        <v>1000343256</v>
      </c>
      <c r="BN109" s="15">
        <v>133413</v>
      </c>
      <c r="BO109" s="3"/>
      <c r="BP109" s="1"/>
      <c r="BQ109" s="1"/>
      <c r="BR109" s="5"/>
      <c r="BS109" s="5"/>
      <c r="BT109" s="5"/>
    </row>
    <row r="110" spans="1:72" x14ac:dyDescent="0.25">
      <c r="A110" s="6" t="s">
        <v>164</v>
      </c>
      <c r="B110" s="40">
        <v>574225555</v>
      </c>
      <c r="C110" s="40">
        <v>122546519</v>
      </c>
      <c r="D110" s="40">
        <v>250122602</v>
      </c>
      <c r="E110" s="40">
        <v>0</v>
      </c>
      <c r="F110" s="40">
        <v>57511935</v>
      </c>
      <c r="G110" s="40">
        <v>17460891</v>
      </c>
      <c r="H110" s="40">
        <v>12124975</v>
      </c>
      <c r="I110" s="40">
        <v>1984350</v>
      </c>
      <c r="J110" s="40">
        <v>159800</v>
      </c>
      <c r="K110" s="40">
        <v>33700</v>
      </c>
      <c r="L110" s="40">
        <v>250908504</v>
      </c>
      <c r="M110" s="40">
        <v>86235155</v>
      </c>
      <c r="N110" s="40">
        <v>2149</v>
      </c>
      <c r="O110" s="40">
        <v>642</v>
      </c>
      <c r="P110" s="40">
        <v>5409713</v>
      </c>
      <c r="Q110" s="40">
        <v>2760754</v>
      </c>
      <c r="R110" s="40">
        <v>2153300</v>
      </c>
      <c r="S110" s="40">
        <v>2520193</v>
      </c>
      <c r="T110" s="40">
        <v>432181</v>
      </c>
      <c r="U110" s="40">
        <v>2117930</v>
      </c>
      <c r="V110" s="40">
        <v>5409713</v>
      </c>
      <c r="W110" s="40">
        <v>2768500</v>
      </c>
      <c r="X110" s="40">
        <v>2153300</v>
      </c>
      <c r="Y110" s="40">
        <v>2520193</v>
      </c>
      <c r="Z110" s="40">
        <v>776400</v>
      </c>
      <c r="AA110" s="40">
        <v>2117930</v>
      </c>
      <c r="AB110" s="40">
        <v>-4224129</v>
      </c>
      <c r="AC110" s="40">
        <v>707306</v>
      </c>
      <c r="AD110" s="40">
        <v>51276</v>
      </c>
      <c r="AE110" s="40">
        <v>0</v>
      </c>
      <c r="AF110" s="40">
        <v>0</v>
      </c>
      <c r="AG110" s="40">
        <v>182938</v>
      </c>
      <c r="AH110" s="40">
        <v>8767</v>
      </c>
      <c r="AI110" s="40">
        <v>9672</v>
      </c>
      <c r="AJ110" s="3"/>
      <c r="AK110" s="42">
        <v>115971260</v>
      </c>
      <c r="AL110" s="42">
        <v>5157275</v>
      </c>
      <c r="AM110" s="40">
        <v>5485909</v>
      </c>
      <c r="AN110" s="40">
        <v>70217284</v>
      </c>
      <c r="AO110" s="40">
        <v>955275</v>
      </c>
      <c r="AP110" s="40">
        <v>39979246</v>
      </c>
      <c r="AQ110" s="40">
        <v>31782006</v>
      </c>
      <c r="AR110" s="40">
        <v>15396508</v>
      </c>
      <c r="AS110" s="40">
        <v>110985722</v>
      </c>
      <c r="AT110" s="40">
        <v>286315</v>
      </c>
      <c r="AU110" s="3"/>
      <c r="AV110" s="3"/>
      <c r="AW110" s="40">
        <v>40567</v>
      </c>
      <c r="AX110" s="40">
        <v>4456</v>
      </c>
      <c r="AY110" s="40">
        <v>563200</v>
      </c>
      <c r="AZ110" s="1">
        <v>9533305.4600000009</v>
      </c>
      <c r="BA110" s="1">
        <v>4861986</v>
      </c>
      <c r="BB110" s="43"/>
      <c r="BC110" s="15">
        <v>0</v>
      </c>
      <c r="BD110" s="15">
        <v>0</v>
      </c>
      <c r="BE110" s="20">
        <v>11572266</v>
      </c>
      <c r="BF110" s="20">
        <v>11572266</v>
      </c>
      <c r="BG110" s="20">
        <v>41921348</v>
      </c>
      <c r="BH110" s="20">
        <v>41869162</v>
      </c>
      <c r="BI110" s="44"/>
      <c r="BJ110" s="44"/>
      <c r="BK110" s="44"/>
      <c r="BL110" s="5">
        <v>1229299629</v>
      </c>
      <c r="BM110" s="5">
        <v>1049867680</v>
      </c>
      <c r="BN110" s="15">
        <v>1468000</v>
      </c>
      <c r="BO110" s="3"/>
      <c r="BP110" s="1"/>
      <c r="BQ110" s="1"/>
      <c r="BR110" s="5"/>
      <c r="BS110" s="5"/>
      <c r="BT110" s="5"/>
    </row>
    <row r="111" spans="1:72" x14ac:dyDescent="0.25">
      <c r="A111" s="6" t="s">
        <v>165</v>
      </c>
      <c r="B111" s="40">
        <v>190379302</v>
      </c>
      <c r="C111" s="40">
        <v>144507035</v>
      </c>
      <c r="D111" s="40">
        <v>57185569</v>
      </c>
      <c r="E111" s="40">
        <v>0</v>
      </c>
      <c r="F111" s="40">
        <v>25035873</v>
      </c>
      <c r="G111" s="40">
        <v>4018654</v>
      </c>
      <c r="H111" s="40">
        <v>9190781</v>
      </c>
      <c r="I111" s="40">
        <v>345051</v>
      </c>
      <c r="J111" s="40">
        <v>0</v>
      </c>
      <c r="K111" s="40">
        <v>0</v>
      </c>
      <c r="L111" s="40">
        <v>281127968</v>
      </c>
      <c r="M111" s="40">
        <v>57154854</v>
      </c>
      <c r="N111" s="40">
        <v>1092</v>
      </c>
      <c r="O111" s="40">
        <v>150</v>
      </c>
      <c r="P111" s="40">
        <v>3166905</v>
      </c>
      <c r="Q111" s="40">
        <v>1842495</v>
      </c>
      <c r="R111" s="40">
        <v>728700</v>
      </c>
      <c r="S111" s="40">
        <v>830849</v>
      </c>
      <c r="T111" s="40">
        <v>15000</v>
      </c>
      <c r="U111" s="40">
        <v>688885</v>
      </c>
      <c r="V111" s="40">
        <v>3166905</v>
      </c>
      <c r="W111" s="40">
        <v>0</v>
      </c>
      <c r="X111" s="40">
        <v>728700</v>
      </c>
      <c r="Y111" s="40">
        <v>830849</v>
      </c>
      <c r="Z111" s="40">
        <v>0</v>
      </c>
      <c r="AA111" s="40">
        <v>688885</v>
      </c>
      <c r="AB111" s="40">
        <v>-1004201</v>
      </c>
      <c r="AC111" s="40">
        <v>0</v>
      </c>
      <c r="AD111" s="40">
        <v>71038</v>
      </c>
      <c r="AE111" s="40">
        <v>87029</v>
      </c>
      <c r="AF111" s="40">
        <v>84248039</v>
      </c>
      <c r="AG111" s="40">
        <v>227392</v>
      </c>
      <c r="AH111" s="40">
        <v>89052</v>
      </c>
      <c r="AI111" s="40">
        <v>4107</v>
      </c>
      <c r="AJ111" s="3"/>
      <c r="AK111" s="42">
        <v>59330581</v>
      </c>
      <c r="AL111" s="42">
        <v>1241638</v>
      </c>
      <c r="AM111" s="40">
        <v>0</v>
      </c>
      <c r="AN111" s="40">
        <v>8845692</v>
      </c>
      <c r="AO111" s="40">
        <v>245098</v>
      </c>
      <c r="AP111" s="40">
        <v>14069722</v>
      </c>
      <c r="AQ111" s="40">
        <v>8036190</v>
      </c>
      <c r="AR111" s="40">
        <v>8608238</v>
      </c>
      <c r="AS111" s="40">
        <v>0</v>
      </c>
      <c r="AT111" s="40">
        <v>4102438</v>
      </c>
      <c r="AU111" s="40">
        <v>0</v>
      </c>
      <c r="AV111" s="40">
        <v>2489778</v>
      </c>
      <c r="AW111" s="40">
        <v>2735735</v>
      </c>
      <c r="AX111" s="40">
        <v>3066</v>
      </c>
      <c r="AY111" s="40">
        <v>0</v>
      </c>
      <c r="AZ111" s="1">
        <v>4877213.13</v>
      </c>
      <c r="BA111" s="1">
        <v>2487379</v>
      </c>
      <c r="BB111" s="43"/>
      <c r="BC111" s="15">
        <v>1381806</v>
      </c>
      <c r="BD111" s="15">
        <v>2763612</v>
      </c>
      <c r="BE111" s="20">
        <v>6505547</v>
      </c>
      <c r="BF111" s="20">
        <v>6505547</v>
      </c>
      <c r="BG111" s="20">
        <v>45772797</v>
      </c>
      <c r="BH111" s="20">
        <v>33663697</v>
      </c>
      <c r="BI111" s="44"/>
      <c r="BJ111" s="44"/>
      <c r="BK111" s="44"/>
      <c r="BL111" s="5">
        <v>513902693</v>
      </c>
      <c r="BM111" s="5">
        <v>409292045</v>
      </c>
      <c r="BN111" s="15">
        <v>855372</v>
      </c>
      <c r="BO111" s="3"/>
      <c r="BP111" s="1"/>
      <c r="BQ111" s="1"/>
      <c r="BR111" s="5"/>
      <c r="BS111" s="5"/>
      <c r="BT111" s="5"/>
    </row>
    <row r="112" spans="1:72" x14ac:dyDescent="0.25">
      <c r="A112" s="6" t="s">
        <v>166</v>
      </c>
      <c r="B112" s="40">
        <v>564325410</v>
      </c>
      <c r="C112" s="40">
        <v>85923320</v>
      </c>
      <c r="D112" s="40">
        <v>76504239</v>
      </c>
      <c r="E112" s="40">
        <v>0</v>
      </c>
      <c r="F112" s="40">
        <v>42930635</v>
      </c>
      <c r="G112" s="40">
        <v>7797300</v>
      </c>
      <c r="H112" s="40">
        <v>5424141</v>
      </c>
      <c r="I112" s="40">
        <v>502800</v>
      </c>
      <c r="J112" s="40">
        <v>100400</v>
      </c>
      <c r="K112" s="40">
        <v>33700</v>
      </c>
      <c r="L112" s="40">
        <v>324506616</v>
      </c>
      <c r="M112" s="40">
        <v>50403588</v>
      </c>
      <c r="N112" s="40">
        <v>1526</v>
      </c>
      <c r="O112" s="40">
        <v>278</v>
      </c>
      <c r="P112" s="40">
        <v>11439605</v>
      </c>
      <c r="Q112" s="40">
        <v>1103720</v>
      </c>
      <c r="R112" s="40">
        <v>1791700</v>
      </c>
      <c r="S112" s="40">
        <v>1966767</v>
      </c>
      <c r="T112" s="40">
        <v>35000</v>
      </c>
      <c r="U112" s="40">
        <v>88900</v>
      </c>
      <c r="V112" s="40">
        <v>11439605</v>
      </c>
      <c r="W112" s="40">
        <v>0</v>
      </c>
      <c r="X112" s="40">
        <v>1791700</v>
      </c>
      <c r="Y112" s="40">
        <v>1966767</v>
      </c>
      <c r="Z112" s="40">
        <v>172460</v>
      </c>
      <c r="AA112" s="40">
        <v>88900</v>
      </c>
      <c r="AB112" s="40">
        <v>-2932462</v>
      </c>
      <c r="AC112" s="40">
        <v>-40000</v>
      </c>
      <c r="AD112" s="40">
        <v>67995</v>
      </c>
      <c r="AE112" s="40">
        <v>0</v>
      </c>
      <c r="AF112" s="40">
        <v>0</v>
      </c>
      <c r="AG112" s="40">
        <v>161982</v>
      </c>
      <c r="AH112" s="3"/>
      <c r="AI112" s="40">
        <v>115754</v>
      </c>
      <c r="AJ112" s="3"/>
      <c r="AK112" s="42">
        <v>86837205</v>
      </c>
      <c r="AL112" s="42">
        <v>13274541</v>
      </c>
      <c r="AM112" s="40">
        <v>798850</v>
      </c>
      <c r="AN112" s="40">
        <v>11929709</v>
      </c>
      <c r="AO112" s="40">
        <v>904222</v>
      </c>
      <c r="AP112" s="40">
        <v>24861476</v>
      </c>
      <c r="AQ112" s="40">
        <v>10242977</v>
      </c>
      <c r="AR112" s="40">
        <v>8657638</v>
      </c>
      <c r="AS112" s="40">
        <v>0</v>
      </c>
      <c r="AT112" s="40">
        <v>2289280</v>
      </c>
      <c r="AU112" s="40">
        <v>0</v>
      </c>
      <c r="AV112" s="40">
        <v>2740</v>
      </c>
      <c r="AW112" s="40">
        <v>148137365</v>
      </c>
      <c r="AX112" s="40">
        <v>6000</v>
      </c>
      <c r="AY112" s="40">
        <v>42581</v>
      </c>
      <c r="AZ112" s="1">
        <v>7138368.5999999996</v>
      </c>
      <c r="BA112" s="1">
        <v>3640568</v>
      </c>
      <c r="BB112" s="43">
        <v>22226424.870000001</v>
      </c>
      <c r="BC112" s="15">
        <v>0</v>
      </c>
      <c r="BD112" s="15">
        <v>0</v>
      </c>
      <c r="BE112" s="20">
        <v>3235118</v>
      </c>
      <c r="BF112" s="20">
        <v>3235118</v>
      </c>
      <c r="BG112" s="20">
        <v>20925464</v>
      </c>
      <c r="BH112" s="20">
        <v>20925464</v>
      </c>
      <c r="BI112" s="44"/>
      <c r="BJ112" s="44"/>
      <c r="BK112" s="44"/>
      <c r="BL112" s="5">
        <v>877858527</v>
      </c>
      <c r="BM112" s="5">
        <v>749945631</v>
      </c>
      <c r="BN112" s="15">
        <v>752017</v>
      </c>
      <c r="BO112" s="3"/>
      <c r="BP112" s="1"/>
      <c r="BQ112" s="1"/>
      <c r="BR112" s="5"/>
      <c r="BS112" s="5"/>
      <c r="BT112" s="5"/>
    </row>
    <row r="113" spans="1:72" x14ac:dyDescent="0.25">
      <c r="A113" s="6" t="s">
        <v>167</v>
      </c>
      <c r="B113" s="40">
        <v>190733500</v>
      </c>
      <c r="C113" s="40">
        <v>84964500</v>
      </c>
      <c r="D113" s="40">
        <v>16929900</v>
      </c>
      <c r="E113" s="40">
        <v>0</v>
      </c>
      <c r="F113" s="40">
        <v>14333900</v>
      </c>
      <c r="G113" s="40">
        <v>4541700</v>
      </c>
      <c r="H113" s="40">
        <v>5838300</v>
      </c>
      <c r="I113" s="40">
        <v>949500</v>
      </c>
      <c r="J113" s="40">
        <v>0</v>
      </c>
      <c r="K113" s="40">
        <v>33700</v>
      </c>
      <c r="L113" s="40">
        <v>112976200</v>
      </c>
      <c r="M113" s="40">
        <v>58180500</v>
      </c>
      <c r="N113" s="40">
        <v>626</v>
      </c>
      <c r="O113" s="40">
        <v>182</v>
      </c>
      <c r="P113" s="40">
        <v>3621000</v>
      </c>
      <c r="Q113" s="40">
        <v>4538200</v>
      </c>
      <c r="R113" s="40">
        <v>414700</v>
      </c>
      <c r="S113" s="40">
        <v>2712100</v>
      </c>
      <c r="T113" s="40">
        <v>572400</v>
      </c>
      <c r="U113" s="40">
        <v>108500</v>
      </c>
      <c r="V113" s="40">
        <v>3621000</v>
      </c>
      <c r="W113" s="40">
        <v>5165100</v>
      </c>
      <c r="X113" s="40">
        <v>414700</v>
      </c>
      <c r="Y113" s="40">
        <v>2712100</v>
      </c>
      <c r="Z113" s="40">
        <v>603300</v>
      </c>
      <c r="AA113" s="40">
        <v>108500</v>
      </c>
      <c r="AB113" s="40">
        <v>-947200</v>
      </c>
      <c r="AC113" s="40">
        <v>-51331</v>
      </c>
      <c r="AD113" s="40">
        <v>41286</v>
      </c>
      <c r="AE113" s="40">
        <v>8762</v>
      </c>
      <c r="AF113" s="40">
        <v>41093901</v>
      </c>
      <c r="AG113" s="40">
        <v>83033</v>
      </c>
      <c r="AH113" s="3"/>
      <c r="AI113" s="40">
        <v>29746</v>
      </c>
      <c r="AJ113" s="3"/>
      <c r="AK113" s="42">
        <v>50540895</v>
      </c>
      <c r="AL113" s="42">
        <v>1674422</v>
      </c>
      <c r="AM113" s="40">
        <v>0</v>
      </c>
      <c r="AN113" s="40">
        <v>13392643</v>
      </c>
      <c r="AO113" s="40">
        <v>57886</v>
      </c>
      <c r="AP113" s="40">
        <v>437370</v>
      </c>
      <c r="AQ113" s="40">
        <v>1319120</v>
      </c>
      <c r="AR113" s="40">
        <v>172366</v>
      </c>
      <c r="AS113" s="40">
        <v>0</v>
      </c>
      <c r="AT113" s="40">
        <v>22637</v>
      </c>
      <c r="AU113" s="40">
        <v>0</v>
      </c>
      <c r="AV113" s="40">
        <v>0</v>
      </c>
      <c r="AW113" s="40">
        <v>0</v>
      </c>
      <c r="AX113" s="40">
        <v>10398</v>
      </c>
      <c r="AY113" s="40">
        <v>0</v>
      </c>
      <c r="AZ113" s="1">
        <v>4154665.48</v>
      </c>
      <c r="BA113" s="1">
        <v>2118879</v>
      </c>
      <c r="BB113" s="43">
        <v>17191709.84</v>
      </c>
      <c r="BC113" s="15">
        <v>0</v>
      </c>
      <c r="BD113" s="15">
        <v>0</v>
      </c>
      <c r="BE113" s="20">
        <v>78298066</v>
      </c>
      <c r="BF113" s="20">
        <v>78298066</v>
      </c>
      <c r="BG113" s="20">
        <v>41741155</v>
      </c>
      <c r="BH113" s="20">
        <v>41714532</v>
      </c>
      <c r="BI113" s="44"/>
      <c r="BJ113" s="44"/>
      <c r="BK113" s="44"/>
      <c r="BL113" s="5">
        <v>481774089</v>
      </c>
      <c r="BM113" s="5">
        <v>307427295</v>
      </c>
      <c r="BN113" s="15">
        <v>297000</v>
      </c>
      <c r="BO113" s="3"/>
      <c r="BP113" s="1"/>
      <c r="BQ113" s="1"/>
      <c r="BR113" s="5"/>
      <c r="BS113" s="5"/>
      <c r="BT113" s="5"/>
    </row>
    <row r="114" spans="1:72" x14ac:dyDescent="0.25">
      <c r="A114" s="6" t="s">
        <v>168</v>
      </c>
      <c r="B114" s="40">
        <v>246198668</v>
      </c>
      <c r="C114" s="40">
        <v>136090261</v>
      </c>
      <c r="D114" s="40">
        <v>86551035</v>
      </c>
      <c r="E114" s="40">
        <v>1310000</v>
      </c>
      <c r="F114" s="40">
        <v>31934119</v>
      </c>
      <c r="G114" s="40">
        <v>7444493</v>
      </c>
      <c r="H114" s="40">
        <v>5045160</v>
      </c>
      <c r="I114" s="40">
        <v>337000</v>
      </c>
      <c r="J114" s="40">
        <v>67400</v>
      </c>
      <c r="K114" s="40">
        <v>33700</v>
      </c>
      <c r="L114" s="40">
        <v>423622524</v>
      </c>
      <c r="M114" s="40">
        <v>0</v>
      </c>
      <c r="N114" s="40">
        <v>1196</v>
      </c>
      <c r="O114" s="40">
        <v>266</v>
      </c>
      <c r="P114" s="40">
        <v>2908555</v>
      </c>
      <c r="Q114" s="40">
        <v>726825</v>
      </c>
      <c r="R114" s="40">
        <v>2633990</v>
      </c>
      <c r="S114" s="40">
        <v>2416605</v>
      </c>
      <c r="T114" s="40">
        <v>581695</v>
      </c>
      <c r="U114" s="40">
        <v>1735193</v>
      </c>
      <c r="V114" s="40">
        <v>2908555</v>
      </c>
      <c r="W114" s="40">
        <v>1888330</v>
      </c>
      <c r="X114" s="40">
        <v>2633990</v>
      </c>
      <c r="Y114" s="40">
        <v>2416605</v>
      </c>
      <c r="Z114" s="40">
        <v>337420</v>
      </c>
      <c r="AA114" s="40">
        <v>1735193</v>
      </c>
      <c r="AB114" s="40">
        <v>-1489950</v>
      </c>
      <c r="AC114" s="40">
        <v>8619839</v>
      </c>
      <c r="AD114" s="40">
        <v>7962</v>
      </c>
      <c r="AE114" s="40">
        <v>90061</v>
      </c>
      <c r="AF114" s="40">
        <v>34903904</v>
      </c>
      <c r="AG114" s="40">
        <v>192702</v>
      </c>
      <c r="AH114" s="40">
        <v>24292006</v>
      </c>
      <c r="AI114" s="3"/>
      <c r="AJ114" s="40">
        <v>39826087</v>
      </c>
      <c r="AK114" s="42">
        <v>96843398</v>
      </c>
      <c r="AL114" s="42">
        <v>3448525</v>
      </c>
      <c r="AM114" s="40">
        <v>691855</v>
      </c>
      <c r="AN114" s="40">
        <v>122022649</v>
      </c>
      <c r="AO114" s="40">
        <v>5645259</v>
      </c>
      <c r="AP114" s="40">
        <v>111608009</v>
      </c>
      <c r="AQ114" s="40">
        <v>26169440</v>
      </c>
      <c r="AR114" s="40">
        <v>19443350</v>
      </c>
      <c r="AS114" s="40">
        <v>54354457</v>
      </c>
      <c r="AT114" s="40">
        <v>1580041</v>
      </c>
      <c r="AU114" s="40">
        <v>0</v>
      </c>
      <c r="AV114" s="40">
        <v>12886</v>
      </c>
      <c r="AW114" s="40">
        <v>6282386</v>
      </c>
      <c r="AX114" s="40">
        <v>803369</v>
      </c>
      <c r="AY114" s="40">
        <v>1638838</v>
      </c>
      <c r="AZ114" s="1">
        <v>7960918.0300000003</v>
      </c>
      <c r="BA114" s="1">
        <v>4060068</v>
      </c>
      <c r="BB114" s="43">
        <v>34137823.829999998</v>
      </c>
      <c r="BC114" s="15">
        <v>0</v>
      </c>
      <c r="BD114" s="15">
        <v>0</v>
      </c>
      <c r="BE114" s="20">
        <v>1189066</v>
      </c>
      <c r="BF114" s="20">
        <v>1189066</v>
      </c>
      <c r="BG114" s="20">
        <v>25295386</v>
      </c>
      <c r="BH114" s="20">
        <v>25266452</v>
      </c>
      <c r="BI114" s="44"/>
      <c r="BJ114" s="44"/>
      <c r="BK114" s="44"/>
      <c r="BL114" s="5">
        <v>817602914</v>
      </c>
      <c r="BM114" s="5">
        <v>686795405</v>
      </c>
      <c r="BN114" s="15">
        <v>887985</v>
      </c>
      <c r="BO114" s="3"/>
      <c r="BP114" s="1"/>
      <c r="BQ114" s="1"/>
      <c r="BR114" s="5"/>
      <c r="BS114" s="5"/>
      <c r="BT114" s="5"/>
    </row>
    <row r="115" spans="1:72" x14ac:dyDescent="0.25">
      <c r="A115" s="6" t="s">
        <v>169</v>
      </c>
      <c r="B115" s="40">
        <v>3889597852</v>
      </c>
      <c r="C115" s="40">
        <v>378497990</v>
      </c>
      <c r="D115" s="40">
        <v>2039719820</v>
      </c>
      <c r="E115" s="40">
        <v>228562400</v>
      </c>
      <c r="F115" s="40">
        <v>176932720</v>
      </c>
      <c r="G115" s="40">
        <v>22979530</v>
      </c>
      <c r="H115" s="40">
        <v>22941240</v>
      </c>
      <c r="I115" s="40">
        <v>1834890</v>
      </c>
      <c r="J115" s="40">
        <v>370700</v>
      </c>
      <c r="K115" s="40">
        <v>67400</v>
      </c>
      <c r="L115" s="40">
        <v>676952240</v>
      </c>
      <c r="M115" s="40">
        <v>0</v>
      </c>
      <c r="N115" s="40">
        <v>6055</v>
      </c>
      <c r="O115" s="40">
        <v>786</v>
      </c>
      <c r="P115" s="40">
        <v>52094520</v>
      </c>
      <c r="Q115" s="40">
        <v>5310430</v>
      </c>
      <c r="R115" s="40">
        <v>29512790</v>
      </c>
      <c r="S115" s="40">
        <v>2601550</v>
      </c>
      <c r="T115" s="40">
        <v>190500</v>
      </c>
      <c r="U115" s="40">
        <v>6855500</v>
      </c>
      <c r="V115" s="40">
        <v>52094520</v>
      </c>
      <c r="W115" s="40">
        <v>5310430</v>
      </c>
      <c r="X115" s="40">
        <v>29512790</v>
      </c>
      <c r="Y115" s="40">
        <v>2601550</v>
      </c>
      <c r="Z115" s="40">
        <v>190500</v>
      </c>
      <c r="AA115" s="40">
        <v>6855500</v>
      </c>
      <c r="AB115" s="40">
        <v>-12443210</v>
      </c>
      <c r="AC115" s="40">
        <v>-5625925</v>
      </c>
      <c r="AD115" s="40">
        <v>72248</v>
      </c>
      <c r="AE115" s="40">
        <v>0</v>
      </c>
      <c r="AF115" s="40">
        <v>0</v>
      </c>
      <c r="AG115" s="40">
        <v>0</v>
      </c>
      <c r="AH115" s="40">
        <v>4909636</v>
      </c>
      <c r="AI115" s="40">
        <v>1251541</v>
      </c>
      <c r="AJ115" s="3"/>
      <c r="AK115" s="42">
        <v>582511354</v>
      </c>
      <c r="AL115" s="42">
        <v>15195707</v>
      </c>
      <c r="AM115" s="40">
        <v>96000</v>
      </c>
      <c r="AN115" s="40">
        <v>358974861</v>
      </c>
      <c r="AO115" s="40">
        <v>36393123</v>
      </c>
      <c r="AP115" s="40">
        <v>549400655</v>
      </c>
      <c r="AQ115" s="40">
        <v>286656305</v>
      </c>
      <c r="AR115" s="40">
        <v>186297075</v>
      </c>
      <c r="AS115" s="40">
        <v>89358447</v>
      </c>
      <c r="AT115" s="40">
        <v>3659124</v>
      </c>
      <c r="AU115" s="40">
        <v>0</v>
      </c>
      <c r="AV115" s="40">
        <v>47360</v>
      </c>
      <c r="AW115" s="40">
        <v>121740603</v>
      </c>
      <c r="AX115" s="40">
        <v>569828</v>
      </c>
      <c r="AY115" s="40">
        <v>19480437</v>
      </c>
      <c r="AZ115" s="1">
        <v>47884783.460000001</v>
      </c>
      <c r="BA115" s="1">
        <v>24421240</v>
      </c>
      <c r="BB115" s="43"/>
      <c r="BC115" s="15">
        <v>2874878</v>
      </c>
      <c r="BD115" s="15">
        <v>5749755</v>
      </c>
      <c r="BE115" s="20">
        <v>28997782</v>
      </c>
      <c r="BF115" s="20">
        <v>28997782</v>
      </c>
      <c r="BG115" s="20">
        <v>130222242</v>
      </c>
      <c r="BH115" s="20">
        <v>125503201</v>
      </c>
      <c r="BI115" s="44"/>
      <c r="BJ115" s="44">
        <v>21612829</v>
      </c>
      <c r="BK115" s="44"/>
      <c r="BL115" s="5">
        <v>7797118119</v>
      </c>
      <c r="BM115" s="5">
        <v>6996001128</v>
      </c>
      <c r="BN115" s="15">
        <v>3811110</v>
      </c>
      <c r="BO115" s="3"/>
      <c r="BP115" s="1"/>
      <c r="BQ115" s="1"/>
      <c r="BR115" s="5"/>
      <c r="BS115" s="5"/>
      <c r="BT115" s="5"/>
    </row>
    <row r="116" spans="1:72" x14ac:dyDescent="0.25">
      <c r="A116" s="6" t="s">
        <v>170</v>
      </c>
      <c r="B116" s="40">
        <v>234615507</v>
      </c>
      <c r="C116" s="40">
        <v>148572700</v>
      </c>
      <c r="D116" s="40">
        <v>72541200</v>
      </c>
      <c r="E116" s="40">
        <v>0</v>
      </c>
      <c r="F116" s="40">
        <v>24738400</v>
      </c>
      <c r="G116" s="40">
        <v>5284700</v>
      </c>
      <c r="H116" s="40">
        <v>12278100</v>
      </c>
      <c r="I116" s="40">
        <v>1921800</v>
      </c>
      <c r="J116" s="40">
        <v>28000</v>
      </c>
      <c r="K116" s="40">
        <v>0</v>
      </c>
      <c r="L116" s="40">
        <v>272390755</v>
      </c>
      <c r="M116" s="40">
        <v>104268600</v>
      </c>
      <c r="N116" s="40">
        <v>1134</v>
      </c>
      <c r="O116" s="40">
        <v>233</v>
      </c>
      <c r="P116" s="40">
        <v>4751425</v>
      </c>
      <c r="Q116" s="40">
        <v>3604100</v>
      </c>
      <c r="R116" s="40">
        <v>258500</v>
      </c>
      <c r="S116" s="40">
        <v>1772665</v>
      </c>
      <c r="T116" s="40">
        <v>1251400</v>
      </c>
      <c r="U116" s="40">
        <v>285000</v>
      </c>
      <c r="V116" s="40">
        <v>4751425</v>
      </c>
      <c r="W116" s="40">
        <v>3762900</v>
      </c>
      <c r="X116" s="40">
        <v>258500</v>
      </c>
      <c r="Y116" s="40">
        <v>1772665</v>
      </c>
      <c r="Z116" s="40">
        <v>1262100</v>
      </c>
      <c r="AA116" s="40">
        <v>285000</v>
      </c>
      <c r="AB116" s="40">
        <v>-1252649</v>
      </c>
      <c r="AC116" s="40">
        <v>-76958</v>
      </c>
      <c r="AD116" s="40">
        <v>44346</v>
      </c>
      <c r="AE116" s="40">
        <v>0</v>
      </c>
      <c r="AF116" s="40">
        <v>0</v>
      </c>
      <c r="AG116" s="40">
        <v>179927</v>
      </c>
      <c r="AH116" s="3"/>
      <c r="AI116" s="40">
        <v>15041</v>
      </c>
      <c r="AJ116" s="3"/>
      <c r="AK116" s="42">
        <v>60831599</v>
      </c>
      <c r="AL116" s="42">
        <v>1265768</v>
      </c>
      <c r="AM116" s="40">
        <v>0</v>
      </c>
      <c r="AN116" s="40">
        <v>25282362</v>
      </c>
      <c r="AO116" s="40">
        <v>1395506</v>
      </c>
      <c r="AP116" s="40">
        <v>57089612</v>
      </c>
      <c r="AQ116" s="40">
        <v>19752059</v>
      </c>
      <c r="AR116" s="40">
        <v>10199554</v>
      </c>
      <c r="AS116" s="40">
        <v>2593055</v>
      </c>
      <c r="AT116" s="40">
        <v>1264722</v>
      </c>
      <c r="AU116" s="40">
        <v>0</v>
      </c>
      <c r="AV116" s="40">
        <v>0</v>
      </c>
      <c r="AW116" s="40">
        <v>32808</v>
      </c>
      <c r="AX116" s="40">
        <v>13943</v>
      </c>
      <c r="AY116" s="40">
        <v>572500</v>
      </c>
      <c r="AZ116" s="1">
        <v>5000602.8600000003</v>
      </c>
      <c r="BA116" s="1">
        <v>2550307</v>
      </c>
      <c r="BB116" s="43"/>
      <c r="BC116" s="15">
        <v>0</v>
      </c>
      <c r="BD116" s="15">
        <v>0</v>
      </c>
      <c r="BE116" s="20">
        <v>1241170</v>
      </c>
      <c r="BF116" s="20">
        <v>1241170</v>
      </c>
      <c r="BG116" s="20">
        <v>19403789</v>
      </c>
      <c r="BH116" s="20">
        <v>19387114</v>
      </c>
      <c r="BI116" s="44"/>
      <c r="BJ116" s="44"/>
      <c r="BK116" s="44"/>
      <c r="BL116" s="5">
        <v>587450333</v>
      </c>
      <c r="BM116" s="5">
        <v>502174375</v>
      </c>
      <c r="BN116" s="15">
        <v>359500</v>
      </c>
      <c r="BO116" s="3"/>
      <c r="BP116" s="1"/>
      <c r="BQ116" s="1"/>
      <c r="BR116" s="5"/>
      <c r="BS116" s="5"/>
      <c r="BT116" s="5"/>
    </row>
    <row r="117" spans="1:72" x14ac:dyDescent="0.25">
      <c r="A117" s="6" t="s">
        <v>171</v>
      </c>
      <c r="B117" s="40">
        <v>436874317</v>
      </c>
      <c r="C117" s="40">
        <v>123168537</v>
      </c>
      <c r="D117" s="40">
        <v>105684132</v>
      </c>
      <c r="E117" s="40">
        <v>0</v>
      </c>
      <c r="F117" s="40">
        <v>43879790</v>
      </c>
      <c r="G117" s="40">
        <v>15238335</v>
      </c>
      <c r="H117" s="40">
        <v>14727750</v>
      </c>
      <c r="I117" s="40">
        <v>2205803</v>
      </c>
      <c r="J117" s="40">
        <v>138660</v>
      </c>
      <c r="K117" s="40">
        <v>32000</v>
      </c>
      <c r="L117" s="40">
        <v>266448194</v>
      </c>
      <c r="M117" s="40">
        <v>78040230</v>
      </c>
      <c r="N117" s="40">
        <v>1977</v>
      </c>
      <c r="O117" s="40">
        <v>648</v>
      </c>
      <c r="P117" s="40">
        <v>10983950</v>
      </c>
      <c r="Q117" s="40">
        <v>1666260</v>
      </c>
      <c r="R117" s="40">
        <v>1993880</v>
      </c>
      <c r="S117" s="40">
        <v>2752305</v>
      </c>
      <c r="T117" s="40">
        <v>260208</v>
      </c>
      <c r="U117" s="40">
        <v>1460654</v>
      </c>
      <c r="V117" s="40">
        <v>10983950</v>
      </c>
      <c r="W117" s="40">
        <v>1666260</v>
      </c>
      <c r="X117" s="40">
        <v>1993880</v>
      </c>
      <c r="Y117" s="40">
        <v>2752305</v>
      </c>
      <c r="Z117" s="40">
        <v>741599</v>
      </c>
      <c r="AA117" s="40">
        <v>1460654</v>
      </c>
      <c r="AB117" s="40">
        <v>-2831130</v>
      </c>
      <c r="AC117" s="40">
        <v>-529179</v>
      </c>
      <c r="AD117" s="40">
        <v>178122</v>
      </c>
      <c r="AE117" s="40">
        <v>7173</v>
      </c>
      <c r="AF117" s="40">
        <v>8729931</v>
      </c>
      <c r="AG117" s="40">
        <v>240910</v>
      </c>
      <c r="AH117" s="40">
        <v>551329</v>
      </c>
      <c r="AI117" s="40">
        <v>107041</v>
      </c>
      <c r="AJ117" s="3"/>
      <c r="AK117" s="42">
        <v>86023817</v>
      </c>
      <c r="AL117" s="42">
        <v>12514624</v>
      </c>
      <c r="AM117" s="40">
        <v>13082440</v>
      </c>
      <c r="AN117" s="40">
        <v>21986760</v>
      </c>
      <c r="AO117" s="40">
        <v>673754</v>
      </c>
      <c r="AP117" s="40">
        <v>43658740</v>
      </c>
      <c r="AQ117" s="40">
        <v>20854675</v>
      </c>
      <c r="AR117" s="40">
        <v>10610690</v>
      </c>
      <c r="AS117" s="40">
        <v>953901</v>
      </c>
      <c r="AT117" s="40">
        <v>6322453</v>
      </c>
      <c r="AU117" s="40">
        <v>0</v>
      </c>
      <c r="AV117" s="40">
        <v>0</v>
      </c>
      <c r="AW117" s="40">
        <v>0</v>
      </c>
      <c r="AX117" s="40">
        <v>6000</v>
      </c>
      <c r="AY117" s="40">
        <v>197650</v>
      </c>
      <c r="AZ117" s="1">
        <v>7071504.8200000003</v>
      </c>
      <c r="BA117" s="1">
        <v>3606467</v>
      </c>
      <c r="BB117" s="43"/>
      <c r="BC117" s="15">
        <v>0</v>
      </c>
      <c r="BD117" s="15">
        <v>0</v>
      </c>
      <c r="BE117" s="20">
        <v>1012197</v>
      </c>
      <c r="BF117" s="20">
        <v>1012197</v>
      </c>
      <c r="BG117" s="20">
        <v>26722098</v>
      </c>
      <c r="BH117" s="20">
        <v>26646709</v>
      </c>
      <c r="BI117" s="44"/>
      <c r="BJ117" s="44"/>
      <c r="BK117" s="44"/>
      <c r="BL117" s="5">
        <v>839704359</v>
      </c>
      <c r="BM117" s="5">
        <v>709900545</v>
      </c>
      <c r="BN117" s="15">
        <v>798000</v>
      </c>
      <c r="BO117" s="3"/>
      <c r="BP117" s="1"/>
      <c r="BQ117" s="1"/>
      <c r="BR117" s="5"/>
      <c r="BS117" s="5"/>
      <c r="BT117" s="5"/>
    </row>
    <row r="118" spans="1:72" x14ac:dyDescent="0.25">
      <c r="A118" s="6" t="s">
        <v>172</v>
      </c>
      <c r="B118" s="40">
        <v>181609415</v>
      </c>
      <c r="C118" s="40">
        <v>128171383</v>
      </c>
      <c r="D118" s="40">
        <v>47997695</v>
      </c>
      <c r="E118" s="40">
        <v>10080000</v>
      </c>
      <c r="F118" s="40">
        <v>28593600</v>
      </c>
      <c r="G118" s="40">
        <v>6348100</v>
      </c>
      <c r="H118" s="40">
        <v>7309493</v>
      </c>
      <c r="I118" s="40">
        <v>678465</v>
      </c>
      <c r="J118" s="40">
        <v>0</v>
      </c>
      <c r="K118" s="40">
        <v>0</v>
      </c>
      <c r="L118" s="40">
        <v>184521205</v>
      </c>
      <c r="M118" s="40">
        <v>49124600</v>
      </c>
      <c r="N118" s="40">
        <v>1236</v>
      </c>
      <c r="O118" s="40">
        <v>265</v>
      </c>
      <c r="P118" s="40">
        <v>717900</v>
      </c>
      <c r="Q118" s="40">
        <v>1177300</v>
      </c>
      <c r="R118" s="40">
        <v>588000</v>
      </c>
      <c r="S118" s="40">
        <v>227200</v>
      </c>
      <c r="T118" s="40">
        <v>0</v>
      </c>
      <c r="U118" s="40">
        <v>40200</v>
      </c>
      <c r="V118" s="40">
        <v>717900</v>
      </c>
      <c r="W118" s="40">
        <v>1177300</v>
      </c>
      <c r="X118" s="40">
        <v>588000</v>
      </c>
      <c r="Y118" s="40">
        <v>227200</v>
      </c>
      <c r="Z118" s="40">
        <v>0</v>
      </c>
      <c r="AA118" s="40">
        <v>40200</v>
      </c>
      <c r="AB118" s="40">
        <v>-755030</v>
      </c>
      <c r="AC118" s="40">
        <v>0</v>
      </c>
      <c r="AD118" s="40">
        <v>61890</v>
      </c>
      <c r="AE118" s="40">
        <v>12229</v>
      </c>
      <c r="AF118" s="40">
        <v>4022506</v>
      </c>
      <c r="AG118" s="40">
        <v>198531</v>
      </c>
      <c r="AH118" s="40">
        <v>9922066</v>
      </c>
      <c r="AI118" s="40">
        <v>0</v>
      </c>
      <c r="AJ118" s="40">
        <v>18769072</v>
      </c>
      <c r="AK118" s="42">
        <v>85947325</v>
      </c>
      <c r="AL118" s="42">
        <v>2638261</v>
      </c>
      <c r="AM118" s="40">
        <v>0</v>
      </c>
      <c r="AN118" s="40">
        <v>81724119</v>
      </c>
      <c r="AO118" s="40">
        <v>3394622</v>
      </c>
      <c r="AP118" s="40">
        <v>29823282</v>
      </c>
      <c r="AQ118" s="40">
        <v>15386990</v>
      </c>
      <c r="AR118" s="40">
        <v>8154639</v>
      </c>
      <c r="AS118" s="40">
        <v>0</v>
      </c>
      <c r="AT118" s="40">
        <v>985317</v>
      </c>
      <c r="AU118" s="40">
        <v>0</v>
      </c>
      <c r="AV118" s="40">
        <v>0</v>
      </c>
      <c r="AW118" s="40">
        <v>3596854</v>
      </c>
      <c r="AX118" s="40">
        <v>1470739</v>
      </c>
      <c r="AY118" s="40">
        <v>267500</v>
      </c>
      <c r="AZ118" s="1">
        <v>7065216.8700000001</v>
      </c>
      <c r="BA118" s="1">
        <v>3603261</v>
      </c>
      <c r="BB118" s="43">
        <v>2108031.09</v>
      </c>
      <c r="BC118" s="15">
        <v>1273027</v>
      </c>
      <c r="BD118" s="15">
        <v>2546054</v>
      </c>
      <c r="BE118" s="20">
        <v>23707335</v>
      </c>
      <c r="BF118" s="20">
        <v>23145811</v>
      </c>
      <c r="BG118" s="20">
        <v>62950482</v>
      </c>
      <c r="BH118" s="20">
        <v>61476552</v>
      </c>
      <c r="BI118" s="44"/>
      <c r="BJ118" s="44"/>
      <c r="BK118" s="44"/>
      <c r="BL118" s="5">
        <v>665059599</v>
      </c>
      <c r="BM118" s="5">
        <v>486975362</v>
      </c>
      <c r="BN118" s="15">
        <v>951326</v>
      </c>
      <c r="BO118" s="3"/>
      <c r="BP118" s="1"/>
      <c r="BQ118" s="1"/>
      <c r="BR118" s="5"/>
      <c r="BS118" s="5"/>
      <c r="BT118" s="5"/>
    </row>
    <row r="119" spans="1:72" x14ac:dyDescent="0.25">
      <c r="A119" s="6" t="s">
        <v>173</v>
      </c>
      <c r="B119" s="40">
        <v>628919493</v>
      </c>
      <c r="C119" s="40">
        <v>128681783</v>
      </c>
      <c r="D119" s="40">
        <v>202210695</v>
      </c>
      <c r="E119" s="40">
        <v>3600000</v>
      </c>
      <c r="F119" s="40">
        <v>77556920</v>
      </c>
      <c r="G119" s="40">
        <v>24281065</v>
      </c>
      <c r="H119" s="40">
        <v>14793210</v>
      </c>
      <c r="I119" s="40">
        <v>2559875</v>
      </c>
      <c r="J119" s="40">
        <v>54100</v>
      </c>
      <c r="K119" s="40">
        <v>0</v>
      </c>
      <c r="L119" s="40">
        <v>403502854</v>
      </c>
      <c r="M119" s="40">
        <v>41201845</v>
      </c>
      <c r="N119" s="40">
        <v>3241</v>
      </c>
      <c r="O119" s="40">
        <v>996</v>
      </c>
      <c r="P119" s="40">
        <v>447240</v>
      </c>
      <c r="Q119" s="40">
        <v>46100</v>
      </c>
      <c r="R119" s="40">
        <v>79850</v>
      </c>
      <c r="S119" s="40">
        <v>10227640</v>
      </c>
      <c r="T119" s="40">
        <v>1839170</v>
      </c>
      <c r="U119" s="40">
        <v>4848600</v>
      </c>
      <c r="V119" s="40">
        <v>447240</v>
      </c>
      <c r="W119" s="40">
        <v>95000</v>
      </c>
      <c r="X119" s="40">
        <v>79850</v>
      </c>
      <c r="Y119" s="40">
        <v>10227640</v>
      </c>
      <c r="Z119" s="40">
        <v>1501400</v>
      </c>
      <c r="AA119" s="40">
        <v>4848600</v>
      </c>
      <c r="AB119" s="40">
        <v>-10425595</v>
      </c>
      <c r="AC119" s="40">
        <v>3415354</v>
      </c>
      <c r="AD119" s="40">
        <v>201208</v>
      </c>
      <c r="AE119" s="40">
        <v>0</v>
      </c>
      <c r="AF119" s="40">
        <v>0</v>
      </c>
      <c r="AG119" s="40">
        <v>205065</v>
      </c>
      <c r="AH119" s="40">
        <v>784301</v>
      </c>
      <c r="AI119" s="40">
        <v>20280341</v>
      </c>
      <c r="AJ119" s="40">
        <v>1773738</v>
      </c>
      <c r="AK119" s="42">
        <v>171359630</v>
      </c>
      <c r="AL119" s="42">
        <v>6896486</v>
      </c>
      <c r="AM119" s="40">
        <v>2495021</v>
      </c>
      <c r="AN119" s="40">
        <v>44259038</v>
      </c>
      <c r="AO119" s="40">
        <v>2853891</v>
      </c>
      <c r="AP119" s="40">
        <v>48646682</v>
      </c>
      <c r="AQ119" s="40">
        <v>63868277</v>
      </c>
      <c r="AR119" s="40">
        <v>16394655</v>
      </c>
      <c r="AS119" s="40">
        <v>4095972</v>
      </c>
      <c r="AT119" s="40">
        <v>60188</v>
      </c>
      <c r="AU119" s="40">
        <v>0</v>
      </c>
      <c r="AV119" s="40">
        <v>0</v>
      </c>
      <c r="AW119" s="40">
        <v>0</v>
      </c>
      <c r="AX119" s="40">
        <v>0</v>
      </c>
      <c r="AY119" s="40">
        <v>115500</v>
      </c>
      <c r="AZ119" s="1">
        <v>14086452.939999999</v>
      </c>
      <c r="BA119" s="1">
        <v>7184091</v>
      </c>
      <c r="BB119" s="43"/>
      <c r="BC119" s="15">
        <v>12433146</v>
      </c>
      <c r="BD119" s="15">
        <v>24866292</v>
      </c>
      <c r="BE119" s="20">
        <v>45429067</v>
      </c>
      <c r="BF119" s="20">
        <v>45429067</v>
      </c>
      <c r="BG119" s="20">
        <v>57232029</v>
      </c>
      <c r="BH119" s="20">
        <v>48658027</v>
      </c>
      <c r="BI119" s="44"/>
      <c r="BJ119" s="44"/>
      <c r="BK119" s="44"/>
      <c r="BL119" s="5">
        <v>1385592004</v>
      </c>
      <c r="BM119" s="5">
        <v>1093631557</v>
      </c>
      <c r="BN119" s="15">
        <v>1370326</v>
      </c>
      <c r="BO119" s="3"/>
      <c r="BP119" s="1"/>
      <c r="BQ119" s="1"/>
      <c r="BR119" s="5"/>
      <c r="BS119" s="5"/>
      <c r="BT119" s="5"/>
    </row>
    <row r="120" spans="1:72" x14ac:dyDescent="0.25">
      <c r="A120" s="6" t="s">
        <v>174</v>
      </c>
      <c r="B120" s="40">
        <v>53785725</v>
      </c>
      <c r="C120" s="40">
        <v>62013200</v>
      </c>
      <c r="D120" s="40">
        <v>32547350</v>
      </c>
      <c r="E120" s="40">
        <v>0</v>
      </c>
      <c r="F120" s="40">
        <v>7310500</v>
      </c>
      <c r="G120" s="40">
        <v>10402800</v>
      </c>
      <c r="H120" s="40">
        <v>6995400</v>
      </c>
      <c r="I120" s="40">
        <v>4752300</v>
      </c>
      <c r="J120" s="40">
        <v>0</v>
      </c>
      <c r="K120" s="40">
        <v>0</v>
      </c>
      <c r="L120" s="40">
        <v>64190151</v>
      </c>
      <c r="M120" s="40">
        <v>0</v>
      </c>
      <c r="N120" s="40">
        <v>480</v>
      </c>
      <c r="O120" s="40">
        <v>592</v>
      </c>
      <c r="P120" s="40">
        <v>691000</v>
      </c>
      <c r="Q120" s="40">
        <v>325500</v>
      </c>
      <c r="R120" s="40">
        <v>217000</v>
      </c>
      <c r="S120" s="40">
        <v>911600</v>
      </c>
      <c r="T120" s="40">
        <v>914500</v>
      </c>
      <c r="U120" s="40">
        <v>1115000</v>
      </c>
      <c r="V120" s="40">
        <v>691000</v>
      </c>
      <c r="W120" s="40">
        <v>218000</v>
      </c>
      <c r="X120" s="40">
        <v>217000</v>
      </c>
      <c r="Y120" s="40">
        <v>911600</v>
      </c>
      <c r="Z120" s="40">
        <v>585000</v>
      </c>
      <c r="AA120" s="40">
        <v>1115000</v>
      </c>
      <c r="AB120" s="40">
        <v>-1677500</v>
      </c>
      <c r="AC120" s="40">
        <v>0</v>
      </c>
      <c r="AD120" s="40">
        <v>87545</v>
      </c>
      <c r="AE120" s="40">
        <v>0</v>
      </c>
      <c r="AF120" s="40">
        <v>0</v>
      </c>
      <c r="AG120" s="40">
        <v>116393</v>
      </c>
      <c r="AH120" s="40">
        <v>6696871</v>
      </c>
      <c r="AI120" s="40">
        <v>471</v>
      </c>
      <c r="AJ120" s="40">
        <v>714522</v>
      </c>
      <c r="AK120" s="42">
        <v>36858195</v>
      </c>
      <c r="AL120" s="42">
        <v>534672</v>
      </c>
      <c r="AM120" s="40">
        <v>0</v>
      </c>
      <c r="AN120" s="40">
        <v>4565517</v>
      </c>
      <c r="AO120" s="40">
        <v>7384</v>
      </c>
      <c r="AP120" s="40">
        <v>375417</v>
      </c>
      <c r="AQ120" s="40">
        <v>9826296</v>
      </c>
      <c r="AR120" s="40">
        <v>2102230</v>
      </c>
      <c r="AS120" s="40">
        <v>0</v>
      </c>
      <c r="AT120" s="40">
        <v>0</v>
      </c>
      <c r="AU120" s="40">
        <v>0</v>
      </c>
      <c r="AV120" s="40">
        <v>0</v>
      </c>
      <c r="AW120" s="40">
        <v>0</v>
      </c>
      <c r="AX120" s="40">
        <v>0</v>
      </c>
      <c r="AY120" s="40">
        <v>0</v>
      </c>
      <c r="AZ120" s="1">
        <v>3029892.33</v>
      </c>
      <c r="BA120" s="1">
        <v>1545245</v>
      </c>
      <c r="BB120" s="43"/>
      <c r="BC120" s="15">
        <v>0</v>
      </c>
      <c r="BD120" s="15">
        <v>0</v>
      </c>
      <c r="BE120" s="20">
        <v>252849</v>
      </c>
      <c r="BF120" s="20">
        <v>252849</v>
      </c>
      <c r="BG120" s="20">
        <v>19377717</v>
      </c>
      <c r="BH120" s="20">
        <v>19334429</v>
      </c>
      <c r="BI120" s="44"/>
      <c r="BJ120" s="44"/>
      <c r="BK120" s="44"/>
      <c r="BL120" s="5">
        <v>228682726</v>
      </c>
      <c r="BM120" s="5">
        <v>170157336</v>
      </c>
      <c r="BN120" s="15">
        <v>532000</v>
      </c>
      <c r="BO120" s="3"/>
      <c r="BP120" s="1"/>
      <c r="BQ120" s="1"/>
      <c r="BR120" s="5"/>
      <c r="BS120" s="5"/>
      <c r="BT120" s="5"/>
    </row>
    <row r="121" spans="1:72" ht="15.75" thickBot="1" x14ac:dyDescent="0.3">
      <c r="A121" s="9" t="s">
        <v>175</v>
      </c>
      <c r="B121" s="48">
        <v>1276421815</v>
      </c>
      <c r="C121" s="48">
        <v>489108025</v>
      </c>
      <c r="D121" s="48">
        <v>253231320</v>
      </c>
      <c r="E121" s="48">
        <v>0</v>
      </c>
      <c r="F121" s="48">
        <v>56006500</v>
      </c>
      <c r="G121" s="48">
        <v>6695900</v>
      </c>
      <c r="H121" s="48">
        <v>7136600</v>
      </c>
      <c r="I121" s="48">
        <v>269600</v>
      </c>
      <c r="J121" s="48">
        <v>168500</v>
      </c>
      <c r="K121" s="48">
        <v>33700</v>
      </c>
      <c r="L121" s="48">
        <v>1035858440</v>
      </c>
      <c r="M121" s="48">
        <v>252761200</v>
      </c>
      <c r="N121" s="48">
        <v>1896</v>
      </c>
      <c r="O121" s="48">
        <v>208</v>
      </c>
      <c r="P121" s="48">
        <v>10650800</v>
      </c>
      <c r="Q121" s="48">
        <v>4852000</v>
      </c>
      <c r="R121" s="48">
        <v>175000</v>
      </c>
      <c r="S121" s="48">
        <v>248300</v>
      </c>
      <c r="T121" s="48">
        <v>468600</v>
      </c>
      <c r="U121" s="48">
        <v>412500</v>
      </c>
      <c r="V121" s="48">
        <v>10650800</v>
      </c>
      <c r="W121" s="48">
        <v>4852000</v>
      </c>
      <c r="X121" s="48">
        <v>175000</v>
      </c>
      <c r="Y121" s="48">
        <v>282000</v>
      </c>
      <c r="Z121" s="48">
        <v>468600</v>
      </c>
      <c r="AA121" s="48">
        <v>412500</v>
      </c>
      <c r="AB121" s="48">
        <v>-5719900</v>
      </c>
      <c r="AC121" s="48">
        <v>31795550</v>
      </c>
      <c r="AD121" s="48">
        <v>0</v>
      </c>
      <c r="AE121" s="48">
        <v>0</v>
      </c>
      <c r="AF121" s="48">
        <v>0</v>
      </c>
      <c r="AG121" s="48">
        <v>106979</v>
      </c>
      <c r="AH121" s="48"/>
      <c r="AI121" s="48"/>
      <c r="AJ121" s="48"/>
      <c r="AK121" s="49">
        <v>170101267</v>
      </c>
      <c r="AL121" s="49">
        <v>5243224</v>
      </c>
      <c r="AM121" s="48">
        <v>12000</v>
      </c>
      <c r="AN121" s="48">
        <v>38964524</v>
      </c>
      <c r="AO121" s="48">
        <v>9188452</v>
      </c>
      <c r="AP121" s="48">
        <v>208487930</v>
      </c>
      <c r="AQ121" s="48">
        <v>20921393</v>
      </c>
      <c r="AR121" s="48">
        <v>28770793</v>
      </c>
      <c r="AS121" s="48">
        <v>75867740</v>
      </c>
      <c r="AT121" s="48">
        <v>262923424</v>
      </c>
      <c r="AU121" s="48">
        <v>0</v>
      </c>
      <c r="AV121" s="48">
        <v>0</v>
      </c>
      <c r="AW121" s="48">
        <v>0</v>
      </c>
      <c r="AX121" s="48">
        <v>2731</v>
      </c>
      <c r="AY121" s="48">
        <v>778000</v>
      </c>
      <c r="AZ121" s="21">
        <v>13983010.43</v>
      </c>
      <c r="BA121" s="21">
        <v>7131335</v>
      </c>
      <c r="BB121" s="50"/>
      <c r="BC121" s="23">
        <v>1016308</v>
      </c>
      <c r="BD121" s="23">
        <v>2032616</v>
      </c>
      <c r="BE121" s="23">
        <v>9245257</v>
      </c>
      <c r="BF121" s="23">
        <v>8623785</v>
      </c>
      <c r="BG121" s="23">
        <v>31672563</v>
      </c>
      <c r="BH121" s="23">
        <v>31469758</v>
      </c>
      <c r="BI121" s="51">
        <v>39099324</v>
      </c>
      <c r="BJ121" s="51"/>
      <c r="BK121" s="51"/>
      <c r="BL121" s="25">
        <v>2350520530</v>
      </c>
      <c r="BM121" s="25">
        <v>2087835529</v>
      </c>
      <c r="BN121" s="23">
        <v>1804110</v>
      </c>
      <c r="BO121" s="16"/>
      <c r="BP121" s="1"/>
      <c r="BQ121" s="1"/>
      <c r="BR121" s="5"/>
      <c r="BS121" s="5"/>
      <c r="BT121" s="5"/>
    </row>
    <row r="122" spans="1:72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40"/>
      <c r="BC122" s="3"/>
      <c r="BD122" s="3"/>
      <c r="BE122" s="27"/>
      <c r="BF122" s="27"/>
      <c r="BG122" s="27"/>
      <c r="BH122" s="27"/>
      <c r="BI122" s="40"/>
      <c r="BJ122" s="40"/>
      <c r="BK122" s="3"/>
      <c r="BL122" s="3"/>
      <c r="BM122" s="3"/>
      <c r="BN122" s="3"/>
      <c r="BO122" s="3"/>
      <c r="BP122" s="3"/>
      <c r="BQ122" s="3"/>
      <c r="BR122" s="3"/>
      <c r="BS122" s="3"/>
      <c r="BT122" s="3"/>
    </row>
    <row r="123" spans="1:72" x14ac:dyDescent="0.25">
      <c r="B123" s="52">
        <v>146511096081</v>
      </c>
      <c r="C123" s="40">
        <v>17931553631</v>
      </c>
      <c r="D123" s="52">
        <v>54257934569</v>
      </c>
      <c r="E123" s="52">
        <v>2361849165</v>
      </c>
      <c r="F123" s="52">
        <v>8858856698</v>
      </c>
      <c r="G123" s="52">
        <v>2027635188</v>
      </c>
      <c r="H123" s="52">
        <v>1385999972</v>
      </c>
      <c r="I123" s="52">
        <v>267702618</v>
      </c>
      <c r="J123" s="52">
        <v>19734060</v>
      </c>
      <c r="K123" s="52">
        <v>2840250</v>
      </c>
      <c r="L123" s="52">
        <v>31021675104</v>
      </c>
      <c r="M123" s="52">
        <v>12684892660</v>
      </c>
      <c r="N123" s="52">
        <v>320093</v>
      </c>
      <c r="O123" s="52">
        <v>79205</v>
      </c>
      <c r="P123" s="52">
        <v>1488921791</v>
      </c>
      <c r="Q123" s="52">
        <v>283048588</v>
      </c>
      <c r="R123" s="52">
        <v>785189869</v>
      </c>
      <c r="S123" s="52">
        <v>764768050</v>
      </c>
      <c r="T123" s="52">
        <v>131814837</v>
      </c>
      <c r="U123" s="52">
        <v>781875753</v>
      </c>
      <c r="V123" s="52">
        <v>1488955491</v>
      </c>
      <c r="W123" s="52">
        <v>389266212</v>
      </c>
      <c r="X123" s="52">
        <v>785189869</v>
      </c>
      <c r="Y123" s="52">
        <v>765183145</v>
      </c>
      <c r="Z123" s="52">
        <v>202388338</v>
      </c>
      <c r="AA123" s="52">
        <v>781875753</v>
      </c>
      <c r="AB123" s="52">
        <v>-739617737</v>
      </c>
      <c r="AC123" s="52">
        <v>-19339956.869999997</v>
      </c>
      <c r="AD123" s="52">
        <v>7992862</v>
      </c>
      <c r="AE123" s="52">
        <v>905625</v>
      </c>
      <c r="AF123" s="52">
        <v>1709483517</v>
      </c>
      <c r="AG123" s="52">
        <v>50181600.390000001</v>
      </c>
      <c r="AH123" s="52">
        <v>307908988</v>
      </c>
      <c r="AI123" s="52">
        <v>1387006762</v>
      </c>
      <c r="AJ123" s="52">
        <v>2001047721</v>
      </c>
      <c r="AK123" s="52">
        <v>23544218959</v>
      </c>
      <c r="AL123" s="52">
        <v>766730098</v>
      </c>
      <c r="AM123" s="52">
        <v>97896908</v>
      </c>
      <c r="AN123" s="52">
        <v>10856060654</v>
      </c>
      <c r="AO123" s="52">
        <v>778483801</v>
      </c>
      <c r="AP123" s="52">
        <v>15298947149</v>
      </c>
      <c r="AQ123" s="52">
        <v>8490123111</v>
      </c>
      <c r="AR123" s="52">
        <v>7668914034</v>
      </c>
      <c r="AS123" s="52">
        <v>6027963874</v>
      </c>
      <c r="AT123" s="52">
        <v>7208815079</v>
      </c>
      <c r="AU123" s="52">
        <v>53614349</v>
      </c>
      <c r="AV123" s="52">
        <v>39470794</v>
      </c>
      <c r="AW123" s="52">
        <v>1016388595</v>
      </c>
      <c r="AX123" s="52">
        <v>109732445</v>
      </c>
      <c r="AY123" s="52">
        <v>365470517</v>
      </c>
      <c r="AZ123" s="52">
        <v>1936906931.9600008</v>
      </c>
      <c r="BA123" s="52">
        <v>987822534</v>
      </c>
      <c r="BB123" s="53">
        <v>792865284.97000003</v>
      </c>
      <c r="BC123" s="53">
        <v>270059468</v>
      </c>
      <c r="BD123" s="53">
        <v>540118935</v>
      </c>
      <c r="BE123" s="29">
        <v>3608432137</v>
      </c>
      <c r="BF123" s="29">
        <v>3555866535</v>
      </c>
      <c r="BG123" s="29">
        <v>8681958640</v>
      </c>
      <c r="BH123" s="29">
        <v>8001322148</v>
      </c>
      <c r="BI123" s="53">
        <v>1025511040</v>
      </c>
      <c r="BJ123" s="53">
        <v>121722880</v>
      </c>
      <c r="BK123" s="53">
        <v>0</v>
      </c>
      <c r="BL123" s="30">
        <v>280785534329</v>
      </c>
      <c r="BM123" s="30">
        <v>242512280667</v>
      </c>
      <c r="BN123" s="30">
        <v>435278649</v>
      </c>
      <c r="BO123" s="14"/>
      <c r="BP123" s="4"/>
      <c r="BQ123" s="4"/>
      <c r="BR123" s="4"/>
      <c r="BS123" s="4"/>
      <c r="BT123" s="3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T123"/>
  <sheetViews>
    <sheetView workbookViewId="0"/>
  </sheetViews>
  <sheetFormatPr defaultColWidth="9.140625" defaultRowHeight="15" x14ac:dyDescent="0.25"/>
  <cols>
    <col min="1" max="1" width="15" bestFit="1" customWidth="1"/>
    <col min="2" max="2" width="16" bestFit="1" customWidth="1"/>
    <col min="3" max="4" width="15" bestFit="1" customWidth="1"/>
    <col min="5" max="5" width="14" bestFit="1" customWidth="1"/>
    <col min="6" max="6" width="15" bestFit="1" customWidth="1"/>
    <col min="7" max="8" width="14" bestFit="1" customWidth="1"/>
    <col min="9" max="9" width="12.28515625" bestFit="1" customWidth="1"/>
    <col min="10" max="10" width="13.7109375" customWidth="1"/>
    <col min="11" max="11" width="14" customWidth="1"/>
    <col min="12" max="13" width="15" bestFit="1" customWidth="1"/>
    <col min="14" max="14" width="13.42578125" customWidth="1"/>
    <col min="15" max="15" width="14.28515625" customWidth="1"/>
    <col min="16" max="16" width="14" bestFit="1" customWidth="1"/>
    <col min="17" max="17" width="12.28515625" bestFit="1" customWidth="1"/>
    <col min="18" max="19" width="14" bestFit="1" customWidth="1"/>
    <col min="20" max="21" width="12.28515625" bestFit="1" customWidth="1"/>
    <col min="22" max="22" width="14" bestFit="1" customWidth="1"/>
    <col min="23" max="23" width="12.28515625" bestFit="1" customWidth="1"/>
    <col min="24" max="25" width="14" bestFit="1" customWidth="1"/>
    <col min="26" max="27" width="12.28515625" bestFit="1" customWidth="1"/>
    <col min="28" max="29" width="12.85546875" bestFit="1" customWidth="1"/>
    <col min="30" max="30" width="11.28515625" bestFit="1" customWidth="1"/>
    <col min="31" max="31" width="10.28515625" bestFit="1" customWidth="1"/>
    <col min="32" max="32" width="14" bestFit="1" customWidth="1"/>
    <col min="33" max="33" width="11.28515625" bestFit="1" customWidth="1"/>
    <col min="34" max="34" width="12.28515625" bestFit="1" customWidth="1"/>
    <col min="35" max="35" width="14.5703125" customWidth="1"/>
    <col min="36" max="36" width="14" bestFit="1" customWidth="1"/>
    <col min="37" max="37" width="15" bestFit="1" customWidth="1"/>
    <col min="38" max="39" width="12.28515625" bestFit="1" customWidth="1"/>
    <col min="40" max="40" width="15" bestFit="1" customWidth="1"/>
    <col min="41" max="41" width="12.28515625" bestFit="1" customWidth="1"/>
    <col min="42" max="42" width="15" bestFit="1" customWidth="1"/>
    <col min="43" max="43" width="14" bestFit="1" customWidth="1"/>
    <col min="44" max="45" width="15" bestFit="1" customWidth="1"/>
    <col min="46" max="46" width="14" bestFit="1" customWidth="1"/>
    <col min="47" max="48" width="11.28515625" bestFit="1" customWidth="1"/>
    <col min="49" max="49" width="14" bestFit="1" customWidth="1"/>
    <col min="50" max="51" width="12.28515625" bestFit="1" customWidth="1"/>
    <col min="52" max="52" width="14" bestFit="1" customWidth="1"/>
    <col min="53" max="53" width="12.28515625" bestFit="1" customWidth="1"/>
    <col min="54" max="54" width="14" bestFit="1" customWidth="1"/>
    <col min="55" max="56" width="12.28515625" bestFit="1" customWidth="1"/>
    <col min="57" max="58" width="13.42578125" bestFit="1" customWidth="1"/>
    <col min="59" max="60" width="14.42578125" bestFit="1" customWidth="1"/>
    <col min="61" max="61" width="14" bestFit="1" customWidth="1"/>
    <col min="62" max="62" width="12.28515625" bestFit="1" customWidth="1"/>
    <col min="63" max="63" width="13.42578125" customWidth="1"/>
    <col min="64" max="65" width="16" bestFit="1" customWidth="1"/>
    <col min="66" max="66" width="12.28515625" bestFit="1" customWidth="1"/>
    <col min="67" max="67" width="10.28515625" bestFit="1" customWidth="1"/>
    <col min="68" max="68" width="15" bestFit="1" customWidth="1"/>
    <col min="69" max="69" width="13.42578125" bestFit="1" customWidth="1"/>
    <col min="70" max="70" width="15" bestFit="1" customWidth="1"/>
    <col min="71" max="71" width="16" bestFit="1" customWidth="1"/>
    <col min="72" max="72" width="15" bestFit="1" customWidth="1"/>
  </cols>
  <sheetData>
    <row r="1" spans="1:72" ht="65.25" thickBot="1" x14ac:dyDescent="0.3">
      <c r="A1" s="7" t="s">
        <v>235</v>
      </c>
      <c r="B1" s="38" t="s">
        <v>0</v>
      </c>
      <c r="C1" s="38" t="s">
        <v>1</v>
      </c>
      <c r="D1" s="38" t="s">
        <v>2</v>
      </c>
      <c r="E1" s="38" t="s">
        <v>3</v>
      </c>
      <c r="F1" s="38" t="s">
        <v>4</v>
      </c>
      <c r="G1" s="38" t="s">
        <v>5</v>
      </c>
      <c r="H1" s="38" t="s">
        <v>6</v>
      </c>
      <c r="I1" s="39" t="s">
        <v>7</v>
      </c>
      <c r="J1" s="38" t="s">
        <v>8</v>
      </c>
      <c r="K1" s="38" t="s">
        <v>9</v>
      </c>
      <c r="L1" s="38" t="s">
        <v>10</v>
      </c>
      <c r="M1" s="38" t="s">
        <v>11</v>
      </c>
      <c r="N1" s="38" t="s">
        <v>12</v>
      </c>
      <c r="O1" s="38" t="s">
        <v>13</v>
      </c>
      <c r="P1" s="38" t="s">
        <v>236</v>
      </c>
      <c r="Q1" s="38" t="s">
        <v>237</v>
      </c>
      <c r="R1" s="38" t="s">
        <v>238</v>
      </c>
      <c r="S1" s="38" t="s">
        <v>239</v>
      </c>
      <c r="T1" s="38" t="s">
        <v>240</v>
      </c>
      <c r="U1" s="38" t="s">
        <v>241</v>
      </c>
      <c r="V1" s="38" t="s">
        <v>242</v>
      </c>
      <c r="W1" s="38" t="s">
        <v>243</v>
      </c>
      <c r="X1" s="38" t="s">
        <v>244</v>
      </c>
      <c r="Y1" s="38" t="s">
        <v>245</v>
      </c>
      <c r="Z1" s="38" t="s">
        <v>246</v>
      </c>
      <c r="AA1" s="38" t="s">
        <v>247</v>
      </c>
      <c r="AB1" s="38" t="s">
        <v>248</v>
      </c>
      <c r="AC1" s="38" t="s">
        <v>249</v>
      </c>
      <c r="AD1" s="38" t="s">
        <v>14</v>
      </c>
      <c r="AE1" s="38" t="s">
        <v>15</v>
      </c>
      <c r="AF1" s="38" t="s">
        <v>16</v>
      </c>
      <c r="AG1" s="38" t="s">
        <v>17</v>
      </c>
      <c r="AH1" s="38" t="s">
        <v>18</v>
      </c>
      <c r="AI1" s="38" t="s">
        <v>19</v>
      </c>
      <c r="AJ1" s="38" t="s">
        <v>250</v>
      </c>
      <c r="AK1" s="38" t="s">
        <v>21</v>
      </c>
      <c r="AL1" s="38" t="s">
        <v>22</v>
      </c>
      <c r="AM1" s="38" t="s">
        <v>23</v>
      </c>
      <c r="AN1" s="38" t="s">
        <v>24</v>
      </c>
      <c r="AO1" s="38" t="s">
        <v>25</v>
      </c>
      <c r="AP1" s="38" t="s">
        <v>26</v>
      </c>
      <c r="AQ1" s="38" t="s">
        <v>27</v>
      </c>
      <c r="AR1" s="38" t="s">
        <v>28</v>
      </c>
      <c r="AS1" s="38" t="s">
        <v>29</v>
      </c>
      <c r="AT1" s="38" t="s">
        <v>30</v>
      </c>
      <c r="AU1" s="38" t="s">
        <v>31</v>
      </c>
      <c r="AV1" s="38" t="s">
        <v>32</v>
      </c>
      <c r="AW1" s="38" t="s">
        <v>33</v>
      </c>
      <c r="AX1" s="38" t="s">
        <v>34</v>
      </c>
      <c r="AY1" s="38" t="s">
        <v>35</v>
      </c>
      <c r="AZ1" s="38" t="s">
        <v>40</v>
      </c>
      <c r="BA1" s="38" t="s">
        <v>41</v>
      </c>
      <c r="BB1" s="38" t="s">
        <v>42</v>
      </c>
      <c r="BC1" s="38" t="s">
        <v>251</v>
      </c>
      <c r="BD1" s="38" t="s">
        <v>43</v>
      </c>
      <c r="BE1" s="38" t="s">
        <v>44</v>
      </c>
      <c r="BF1" s="38" t="s">
        <v>252</v>
      </c>
      <c r="BG1" s="38" t="s">
        <v>45</v>
      </c>
      <c r="BH1" s="38" t="s">
        <v>253</v>
      </c>
      <c r="BI1" s="38" t="s">
        <v>46</v>
      </c>
      <c r="BJ1" s="38" t="s">
        <v>47</v>
      </c>
      <c r="BK1" s="38" t="s">
        <v>48</v>
      </c>
      <c r="BL1" s="17" t="s">
        <v>49</v>
      </c>
      <c r="BM1" s="17" t="s">
        <v>50</v>
      </c>
      <c r="BN1" s="17" t="s">
        <v>51</v>
      </c>
      <c r="BO1" s="17"/>
      <c r="BP1" s="2"/>
      <c r="BQ1" s="2"/>
      <c r="BR1" s="2"/>
      <c r="BS1" s="2"/>
      <c r="BT1" s="2"/>
    </row>
    <row r="2" spans="1:72" x14ac:dyDescent="0.25">
      <c r="A2" s="8" t="s">
        <v>56</v>
      </c>
      <c r="B2" s="40">
        <v>277354750</v>
      </c>
      <c r="C2" s="40">
        <v>150028715</v>
      </c>
      <c r="D2" s="40">
        <v>94340800</v>
      </c>
      <c r="E2" s="40">
        <v>0</v>
      </c>
      <c r="F2" s="40">
        <v>36539000</v>
      </c>
      <c r="G2" s="40">
        <v>13171100</v>
      </c>
      <c r="H2" s="40">
        <v>18014100</v>
      </c>
      <c r="I2" s="40">
        <v>3012700</v>
      </c>
      <c r="J2" s="40">
        <v>34000</v>
      </c>
      <c r="K2" s="40">
        <v>0</v>
      </c>
      <c r="L2" s="40">
        <v>383589255</v>
      </c>
      <c r="M2" s="40">
        <v>0</v>
      </c>
      <c r="N2" s="40">
        <v>1727</v>
      </c>
      <c r="O2" s="40">
        <v>524</v>
      </c>
      <c r="P2" s="40">
        <v>2188500</v>
      </c>
      <c r="Q2" s="40">
        <v>1480600</v>
      </c>
      <c r="R2" s="40">
        <v>2571700</v>
      </c>
      <c r="S2" s="40">
        <v>33200</v>
      </c>
      <c r="T2" s="40">
        <v>20000</v>
      </c>
      <c r="U2" s="40">
        <v>5000</v>
      </c>
      <c r="V2" s="40">
        <v>2188500</v>
      </c>
      <c r="W2" s="40">
        <v>1480600</v>
      </c>
      <c r="X2" s="40">
        <v>2571700</v>
      </c>
      <c r="Y2" s="40">
        <v>33200</v>
      </c>
      <c r="Z2" s="40">
        <v>20000</v>
      </c>
      <c r="AA2" s="40">
        <v>5000</v>
      </c>
      <c r="AB2" s="40">
        <v>-3213100</v>
      </c>
      <c r="AC2" s="40">
        <v>-293771</v>
      </c>
      <c r="AD2" s="40">
        <v>109853</v>
      </c>
      <c r="AE2" s="40">
        <v>0</v>
      </c>
      <c r="AF2" s="40">
        <v>0</v>
      </c>
      <c r="AG2" s="40">
        <v>224007</v>
      </c>
      <c r="AH2" s="40">
        <v>4290189</v>
      </c>
      <c r="AI2" s="40">
        <v>472893</v>
      </c>
      <c r="AJ2" s="41"/>
      <c r="AK2" s="1">
        <v>88338611</v>
      </c>
      <c r="AL2" s="1">
        <v>2996524</v>
      </c>
      <c r="AM2" s="40">
        <v>375803</v>
      </c>
      <c r="AN2" s="40">
        <v>17901888</v>
      </c>
      <c r="AO2" s="40">
        <v>623821</v>
      </c>
      <c r="AP2" s="40">
        <v>17938681</v>
      </c>
      <c r="AQ2" s="40">
        <v>15842717</v>
      </c>
      <c r="AR2" s="40">
        <v>14694536</v>
      </c>
      <c r="AS2" s="40">
        <v>0</v>
      </c>
      <c r="AT2" s="40">
        <v>109434</v>
      </c>
      <c r="AU2" s="40">
        <v>0</v>
      </c>
      <c r="AV2" s="40">
        <v>0</v>
      </c>
      <c r="AW2" s="40">
        <v>8717</v>
      </c>
      <c r="AX2" s="40">
        <v>39854</v>
      </c>
      <c r="AY2" s="40">
        <v>196141</v>
      </c>
      <c r="AZ2" s="1">
        <v>5486347.2599999998</v>
      </c>
      <c r="BA2" s="1">
        <v>2798037</v>
      </c>
      <c r="BB2" s="1"/>
      <c r="BC2" s="15">
        <v>0</v>
      </c>
      <c r="BD2" s="15">
        <v>0</v>
      </c>
      <c r="BE2" s="20">
        <v>18311980</v>
      </c>
      <c r="BF2" s="20">
        <v>18311980</v>
      </c>
      <c r="BG2" s="20">
        <v>33912786</v>
      </c>
      <c r="BH2" s="20">
        <v>33853448</v>
      </c>
      <c r="BI2" s="44"/>
      <c r="BJ2" s="44"/>
      <c r="BK2" s="44"/>
      <c r="BL2" s="5">
        <v>707154373</v>
      </c>
      <c r="BM2" s="5">
        <v>560855773</v>
      </c>
      <c r="BN2" s="15">
        <v>272500</v>
      </c>
      <c r="BO2" s="3"/>
      <c r="BP2" s="1"/>
      <c r="BQ2" s="1"/>
      <c r="BR2" s="5"/>
      <c r="BS2" s="5"/>
      <c r="BT2" s="5"/>
    </row>
    <row r="3" spans="1:72" x14ac:dyDescent="0.25">
      <c r="A3" s="6" t="s">
        <v>57</v>
      </c>
      <c r="B3" s="40">
        <v>392341093</v>
      </c>
      <c r="C3" s="40">
        <v>151158068</v>
      </c>
      <c r="D3" s="40">
        <v>86772207</v>
      </c>
      <c r="E3" s="40">
        <v>7950000</v>
      </c>
      <c r="F3" s="40">
        <v>39055450</v>
      </c>
      <c r="G3" s="40">
        <v>11249050</v>
      </c>
      <c r="H3" s="40">
        <v>16002890</v>
      </c>
      <c r="I3" s="40">
        <v>1893100</v>
      </c>
      <c r="J3" s="40">
        <v>101000</v>
      </c>
      <c r="K3" s="40">
        <v>0</v>
      </c>
      <c r="L3" s="40">
        <v>265352331</v>
      </c>
      <c r="M3" s="40">
        <v>99953333</v>
      </c>
      <c r="N3" s="40">
        <v>1695</v>
      </c>
      <c r="O3" s="40">
        <v>404</v>
      </c>
      <c r="P3" s="40">
        <v>6015513</v>
      </c>
      <c r="Q3" s="40">
        <v>2620830</v>
      </c>
      <c r="R3" s="40">
        <v>480500</v>
      </c>
      <c r="S3" s="40">
        <v>3269359</v>
      </c>
      <c r="T3" s="40">
        <v>892783</v>
      </c>
      <c r="U3" s="40">
        <v>3377355</v>
      </c>
      <c r="V3" s="40">
        <v>6015513</v>
      </c>
      <c r="W3" s="40">
        <v>2730350</v>
      </c>
      <c r="X3" s="40">
        <v>480500</v>
      </c>
      <c r="Y3" s="40">
        <v>3269359</v>
      </c>
      <c r="Z3" s="40">
        <v>1327682</v>
      </c>
      <c r="AA3" s="40">
        <v>3377355</v>
      </c>
      <c r="AB3" s="40">
        <v>-1539880</v>
      </c>
      <c r="AC3" s="40">
        <v>0</v>
      </c>
      <c r="AD3" s="40">
        <v>188387</v>
      </c>
      <c r="AE3" s="40">
        <v>0</v>
      </c>
      <c r="AF3" s="40">
        <v>0</v>
      </c>
      <c r="AG3" s="40">
        <v>201091</v>
      </c>
      <c r="AH3" s="40">
        <v>911852</v>
      </c>
      <c r="AI3" s="40">
        <v>120393</v>
      </c>
      <c r="AJ3" s="41"/>
      <c r="AK3" s="1">
        <v>88513623</v>
      </c>
      <c r="AL3" s="1">
        <v>5586064</v>
      </c>
      <c r="AM3" s="40">
        <v>0</v>
      </c>
      <c r="AN3" s="40">
        <v>21719946</v>
      </c>
      <c r="AO3" s="40">
        <v>1075989</v>
      </c>
      <c r="AP3" s="40">
        <v>60614745</v>
      </c>
      <c r="AQ3" s="40">
        <v>26107642</v>
      </c>
      <c r="AR3" s="40">
        <v>7071674</v>
      </c>
      <c r="AS3" s="40">
        <v>36772637</v>
      </c>
      <c r="AT3" s="40">
        <v>0</v>
      </c>
      <c r="AU3" s="40">
        <v>0</v>
      </c>
      <c r="AV3" s="40">
        <v>0</v>
      </c>
      <c r="AW3" s="40">
        <v>0</v>
      </c>
      <c r="AX3" s="40">
        <v>9644</v>
      </c>
      <c r="AY3" s="40">
        <v>0</v>
      </c>
      <c r="AZ3" s="1">
        <v>5497216.5300000003</v>
      </c>
      <c r="BA3" s="1">
        <v>2803580</v>
      </c>
      <c r="BB3" s="1"/>
      <c r="BC3" s="15">
        <v>0</v>
      </c>
      <c r="BD3" s="15">
        <v>0</v>
      </c>
      <c r="BE3" s="20">
        <v>10315749</v>
      </c>
      <c r="BF3" s="20">
        <v>10315749</v>
      </c>
      <c r="BG3" s="20">
        <v>24806698</v>
      </c>
      <c r="BH3" s="20">
        <v>24799091</v>
      </c>
      <c r="BI3" s="44"/>
      <c r="BJ3" s="44"/>
      <c r="BK3" s="44"/>
      <c r="BL3" s="5">
        <v>812225297</v>
      </c>
      <c r="BM3" s="5">
        <v>680207190</v>
      </c>
      <c r="BN3" s="15">
        <v>1484777</v>
      </c>
      <c r="BO3" s="3"/>
      <c r="BP3" s="1"/>
      <c r="BQ3" s="1"/>
      <c r="BR3" s="5"/>
      <c r="BS3" s="5"/>
      <c r="BT3" s="5"/>
    </row>
    <row r="4" spans="1:72" x14ac:dyDescent="0.25">
      <c r="A4" s="6" t="s">
        <v>58</v>
      </c>
      <c r="B4" s="40">
        <v>879620854</v>
      </c>
      <c r="C4" s="40">
        <v>198133186</v>
      </c>
      <c r="D4" s="40">
        <v>195506515</v>
      </c>
      <c r="E4" s="40">
        <v>0</v>
      </c>
      <c r="F4" s="40">
        <v>46211300</v>
      </c>
      <c r="G4" s="40">
        <v>8241500</v>
      </c>
      <c r="H4" s="40">
        <v>9786000</v>
      </c>
      <c r="I4" s="40">
        <v>1530000</v>
      </c>
      <c r="J4" s="40">
        <v>34000</v>
      </c>
      <c r="K4" s="40">
        <v>0</v>
      </c>
      <c r="L4" s="40">
        <v>156050962</v>
      </c>
      <c r="M4" s="40">
        <v>121829921</v>
      </c>
      <c r="N4" s="40">
        <v>1677</v>
      </c>
      <c r="O4" s="40">
        <v>297</v>
      </c>
      <c r="P4" s="40">
        <v>9290794</v>
      </c>
      <c r="Q4" s="40">
        <v>1585000</v>
      </c>
      <c r="R4" s="40">
        <v>0</v>
      </c>
      <c r="S4" s="40">
        <v>5623160</v>
      </c>
      <c r="T4" s="40">
        <v>70000</v>
      </c>
      <c r="U4" s="40">
        <v>186000</v>
      </c>
      <c r="V4" s="40">
        <v>9290794</v>
      </c>
      <c r="W4" s="40">
        <v>912500</v>
      </c>
      <c r="X4" s="40">
        <v>0</v>
      </c>
      <c r="Y4" s="40">
        <v>5623160</v>
      </c>
      <c r="Z4" s="40">
        <v>0</v>
      </c>
      <c r="AA4" s="40">
        <v>186000</v>
      </c>
      <c r="AB4" s="40">
        <v>-3094700</v>
      </c>
      <c r="AC4" s="40">
        <v>-8276</v>
      </c>
      <c r="AD4" s="40">
        <v>0</v>
      </c>
      <c r="AE4" s="40">
        <v>0</v>
      </c>
      <c r="AF4" s="40">
        <v>0</v>
      </c>
      <c r="AG4" s="40">
        <v>31230589</v>
      </c>
      <c r="AH4" s="3"/>
      <c r="AI4" s="40">
        <v>139598</v>
      </c>
      <c r="AJ4" s="41"/>
      <c r="AK4" s="1">
        <v>132176568</v>
      </c>
      <c r="AL4" s="1">
        <v>4356283</v>
      </c>
      <c r="AM4" s="40">
        <v>0</v>
      </c>
      <c r="AN4" s="40">
        <v>21258022</v>
      </c>
      <c r="AO4" s="40">
        <v>4861823</v>
      </c>
      <c r="AP4" s="40">
        <v>88646445</v>
      </c>
      <c r="AQ4" s="40">
        <v>28572541</v>
      </c>
      <c r="AR4" s="40">
        <v>51902967</v>
      </c>
      <c r="AS4" s="40">
        <v>22206010</v>
      </c>
      <c r="AT4" s="40">
        <v>391416</v>
      </c>
      <c r="AU4" s="40">
        <v>0</v>
      </c>
      <c r="AV4" s="40">
        <v>0</v>
      </c>
      <c r="AW4" s="40">
        <v>2573845</v>
      </c>
      <c r="AX4" s="40">
        <v>0</v>
      </c>
      <c r="AY4" s="40">
        <v>129675</v>
      </c>
      <c r="AZ4" s="1">
        <v>8208942.1900000004</v>
      </c>
      <c r="BA4" s="1">
        <v>4186561</v>
      </c>
      <c r="BB4" s="1"/>
      <c r="BC4" s="15">
        <v>1587835</v>
      </c>
      <c r="BD4" s="15">
        <v>3113401</v>
      </c>
      <c r="BE4" s="20">
        <v>11899902</v>
      </c>
      <c r="BF4" s="20">
        <v>11899902</v>
      </c>
      <c r="BG4" s="20">
        <v>30127209</v>
      </c>
      <c r="BH4" s="20">
        <v>28430336</v>
      </c>
      <c r="BI4" s="20">
        <v>66449784</v>
      </c>
      <c r="BJ4" s="44"/>
      <c r="BK4" s="44"/>
      <c r="BL4" s="5">
        <v>1577179808</v>
      </c>
      <c r="BM4" s="5">
        <v>1328092539</v>
      </c>
      <c r="BN4" s="15">
        <v>973848</v>
      </c>
      <c r="BO4" s="3"/>
      <c r="BP4" s="1"/>
      <c r="BQ4" s="1"/>
      <c r="BR4" s="5"/>
      <c r="BS4" s="5"/>
      <c r="BT4" s="5"/>
    </row>
    <row r="5" spans="1:72" x14ac:dyDescent="0.25">
      <c r="A5" s="6" t="s">
        <v>59</v>
      </c>
      <c r="B5" s="40">
        <v>145458298</v>
      </c>
      <c r="C5" s="40">
        <v>108277449</v>
      </c>
      <c r="D5" s="40">
        <v>85361630</v>
      </c>
      <c r="E5" s="40">
        <v>0</v>
      </c>
      <c r="F5" s="40">
        <v>20648800</v>
      </c>
      <c r="G5" s="40">
        <v>4676500</v>
      </c>
      <c r="H5" s="40">
        <v>5496157</v>
      </c>
      <c r="I5" s="40">
        <v>714000</v>
      </c>
      <c r="J5" s="40">
        <v>45000</v>
      </c>
      <c r="K5" s="40">
        <v>0</v>
      </c>
      <c r="L5" s="40">
        <v>211948407</v>
      </c>
      <c r="M5" s="40">
        <v>38829623</v>
      </c>
      <c r="N5" s="40">
        <v>810</v>
      </c>
      <c r="O5" s="40">
        <v>176</v>
      </c>
      <c r="P5" s="40">
        <v>2806228</v>
      </c>
      <c r="Q5" s="40">
        <v>1727166</v>
      </c>
      <c r="R5" s="40">
        <v>516233</v>
      </c>
      <c r="S5" s="40">
        <v>469790</v>
      </c>
      <c r="T5" s="40">
        <v>33014</v>
      </c>
      <c r="U5" s="40">
        <v>1458551</v>
      </c>
      <c r="V5" s="40">
        <v>2806228</v>
      </c>
      <c r="W5" s="40">
        <v>1646817</v>
      </c>
      <c r="X5" s="40">
        <v>516233</v>
      </c>
      <c r="Y5" s="40">
        <v>469790</v>
      </c>
      <c r="Z5" s="40">
        <v>54700</v>
      </c>
      <c r="AA5" s="40">
        <v>1458551</v>
      </c>
      <c r="AB5" s="40">
        <v>-1141424</v>
      </c>
      <c r="AC5" s="40">
        <v>0</v>
      </c>
      <c r="AD5" s="40">
        <v>34246</v>
      </c>
      <c r="AE5" s="40">
        <v>6114</v>
      </c>
      <c r="AF5" s="40">
        <v>8266</v>
      </c>
      <c r="AG5" s="40">
        <v>141807</v>
      </c>
      <c r="AH5" s="3"/>
      <c r="AI5" s="40">
        <v>332098</v>
      </c>
      <c r="AJ5" s="46"/>
      <c r="AK5" s="1">
        <v>61266126</v>
      </c>
      <c r="AL5" s="1">
        <v>2302947</v>
      </c>
      <c r="AM5" s="40">
        <v>0</v>
      </c>
      <c r="AN5" s="40">
        <v>28291738</v>
      </c>
      <c r="AO5" s="40">
        <v>18514553</v>
      </c>
      <c r="AP5" s="40">
        <v>185808106</v>
      </c>
      <c r="AQ5" s="40">
        <v>9917849</v>
      </c>
      <c r="AR5" s="40">
        <v>11321563</v>
      </c>
      <c r="AS5" s="40">
        <v>1099453</v>
      </c>
      <c r="AT5" s="40">
        <v>432015</v>
      </c>
      <c r="AU5" s="40">
        <v>0</v>
      </c>
      <c r="AV5" s="40">
        <v>0</v>
      </c>
      <c r="AW5" s="40">
        <v>0</v>
      </c>
      <c r="AX5" s="40">
        <v>0</v>
      </c>
      <c r="AY5" s="40">
        <v>132500</v>
      </c>
      <c r="AZ5" s="1">
        <v>3804986.73</v>
      </c>
      <c r="BA5" s="1">
        <v>1940543</v>
      </c>
      <c r="BB5" s="1">
        <v>25896373.059999999</v>
      </c>
      <c r="BC5" s="15">
        <v>647947</v>
      </c>
      <c r="BD5" s="15">
        <v>1270485</v>
      </c>
      <c r="BE5" s="20">
        <v>19314921</v>
      </c>
      <c r="BF5" s="20">
        <v>19314921</v>
      </c>
      <c r="BG5" s="20">
        <v>41444877</v>
      </c>
      <c r="BH5" s="20">
        <v>39224521</v>
      </c>
      <c r="BI5" s="44"/>
      <c r="BJ5" s="44"/>
      <c r="BK5" s="44"/>
      <c r="BL5" s="5">
        <v>520850620</v>
      </c>
      <c r="BM5" s="5">
        <v>396153615</v>
      </c>
      <c r="BN5" s="15">
        <v>2642673</v>
      </c>
      <c r="BO5" s="3"/>
      <c r="BP5" s="1"/>
      <c r="BQ5" s="1"/>
      <c r="BR5" s="5"/>
      <c r="BS5" s="5"/>
      <c r="BT5" s="5"/>
    </row>
    <row r="6" spans="1:72" x14ac:dyDescent="0.25">
      <c r="A6" s="6" t="s">
        <v>60</v>
      </c>
      <c r="B6" s="40">
        <v>1047153499</v>
      </c>
      <c r="C6" s="40">
        <v>296281790</v>
      </c>
      <c r="D6" s="40">
        <v>452260092</v>
      </c>
      <c r="E6" s="40">
        <v>48500</v>
      </c>
      <c r="F6" s="40">
        <v>96720173</v>
      </c>
      <c r="G6" s="40">
        <v>17394499</v>
      </c>
      <c r="H6" s="40">
        <v>23917850</v>
      </c>
      <c r="I6" s="40">
        <v>2234400</v>
      </c>
      <c r="J6" s="40">
        <v>272000</v>
      </c>
      <c r="K6" s="40">
        <v>102000</v>
      </c>
      <c r="L6" s="40">
        <v>348159930</v>
      </c>
      <c r="M6" s="40">
        <v>209130810</v>
      </c>
      <c r="N6" s="40">
        <v>3675</v>
      </c>
      <c r="O6" s="40">
        <v>631</v>
      </c>
      <c r="P6" s="40">
        <v>18904900</v>
      </c>
      <c r="Q6" s="40">
        <v>7905200</v>
      </c>
      <c r="R6" s="40">
        <v>9454900</v>
      </c>
      <c r="S6" s="40">
        <v>11166900</v>
      </c>
      <c r="T6" s="40">
        <v>3927000</v>
      </c>
      <c r="U6" s="40">
        <v>7057500</v>
      </c>
      <c r="V6" s="40">
        <v>18904900</v>
      </c>
      <c r="W6" s="40">
        <v>9106600</v>
      </c>
      <c r="X6" s="40">
        <v>9454900</v>
      </c>
      <c r="Y6" s="40">
        <v>11166900</v>
      </c>
      <c r="Z6" s="40">
        <v>5455800</v>
      </c>
      <c r="AA6" s="40">
        <v>7057500</v>
      </c>
      <c r="AB6" s="40">
        <v>-5233850</v>
      </c>
      <c r="AC6" s="40">
        <v>47160</v>
      </c>
      <c r="AD6" s="40">
        <v>21</v>
      </c>
      <c r="AE6" s="40">
        <v>0</v>
      </c>
      <c r="AF6" s="40">
        <v>0</v>
      </c>
      <c r="AG6" s="40">
        <v>267181</v>
      </c>
      <c r="AH6" s="40">
        <v>618828</v>
      </c>
      <c r="AI6" s="54">
        <v>253230</v>
      </c>
      <c r="AJ6" s="55"/>
      <c r="AK6" s="1">
        <v>224298405</v>
      </c>
      <c r="AL6" s="1">
        <v>10835251</v>
      </c>
      <c r="AM6" s="40">
        <v>1694363</v>
      </c>
      <c r="AN6" s="40">
        <v>70549527</v>
      </c>
      <c r="AO6" s="40">
        <v>10618955</v>
      </c>
      <c r="AP6" s="40">
        <v>276465971</v>
      </c>
      <c r="AQ6" s="40">
        <v>97549513</v>
      </c>
      <c r="AR6" s="40">
        <v>80177275</v>
      </c>
      <c r="AS6" s="40">
        <v>3863945</v>
      </c>
      <c r="AT6" s="40">
        <v>0</v>
      </c>
      <c r="AU6" s="40">
        <v>885001</v>
      </c>
      <c r="AV6" s="40">
        <v>399111</v>
      </c>
      <c r="AW6" s="40">
        <v>13662055</v>
      </c>
      <c r="AX6" s="40">
        <v>6736478</v>
      </c>
      <c r="AY6" s="40">
        <v>1335095</v>
      </c>
      <c r="AZ6" s="1">
        <v>13930250.039999999</v>
      </c>
      <c r="BA6" s="1">
        <v>7104428</v>
      </c>
      <c r="BB6" s="1"/>
      <c r="BC6" s="15">
        <v>1884398</v>
      </c>
      <c r="BD6" s="15">
        <v>3694897</v>
      </c>
      <c r="BE6" s="20">
        <v>22683390</v>
      </c>
      <c r="BF6" s="20">
        <v>22307741</v>
      </c>
      <c r="BG6" s="20">
        <v>78934801</v>
      </c>
      <c r="BH6" s="20">
        <v>76912693</v>
      </c>
      <c r="BI6" s="44"/>
      <c r="BJ6" s="44">
        <v>24166115</v>
      </c>
      <c r="BK6" s="44"/>
      <c r="BL6" s="5">
        <v>2342794465</v>
      </c>
      <c r="BM6" s="5">
        <v>1975285434</v>
      </c>
      <c r="BN6" s="15">
        <v>5853422</v>
      </c>
      <c r="BO6" s="3"/>
      <c r="BP6" s="1"/>
      <c r="BQ6" s="1"/>
      <c r="BR6" s="5"/>
      <c r="BS6" s="5"/>
      <c r="BT6" s="5"/>
    </row>
    <row r="7" spans="1:72" x14ac:dyDescent="0.25">
      <c r="A7" s="6" t="s">
        <v>61</v>
      </c>
      <c r="B7" s="40">
        <v>172254500</v>
      </c>
      <c r="C7" s="40">
        <v>81691000</v>
      </c>
      <c r="D7" s="40">
        <v>33748900</v>
      </c>
      <c r="E7" s="40">
        <v>0</v>
      </c>
      <c r="F7" s="40">
        <v>23844000</v>
      </c>
      <c r="G7" s="40">
        <v>7438900</v>
      </c>
      <c r="H7" s="40">
        <v>7316700</v>
      </c>
      <c r="I7" s="40">
        <v>1403200</v>
      </c>
      <c r="J7" s="40">
        <v>0</v>
      </c>
      <c r="K7" s="40">
        <v>0</v>
      </c>
      <c r="L7" s="40">
        <v>147227028</v>
      </c>
      <c r="M7" s="40">
        <v>50034400</v>
      </c>
      <c r="N7" s="40">
        <v>997</v>
      </c>
      <c r="O7" s="40">
        <v>301</v>
      </c>
      <c r="P7" s="40">
        <v>2634376</v>
      </c>
      <c r="Q7" s="40">
        <v>1987000</v>
      </c>
      <c r="R7" s="40">
        <v>1213800</v>
      </c>
      <c r="S7" s="40">
        <v>3155185</v>
      </c>
      <c r="T7" s="40">
        <v>1426100</v>
      </c>
      <c r="U7" s="40">
        <v>485200</v>
      </c>
      <c r="V7" s="40">
        <v>2634376</v>
      </c>
      <c r="W7" s="40">
        <v>2583100</v>
      </c>
      <c r="X7" s="40">
        <v>1213800</v>
      </c>
      <c r="Y7" s="40">
        <v>3155185</v>
      </c>
      <c r="Z7" s="40">
        <v>2109225</v>
      </c>
      <c r="AA7" s="40">
        <v>485200</v>
      </c>
      <c r="AB7" s="40">
        <v>-4660200</v>
      </c>
      <c r="AC7" s="40">
        <v>0</v>
      </c>
      <c r="AD7" s="40">
        <v>0</v>
      </c>
      <c r="AE7" s="40">
        <v>10362</v>
      </c>
      <c r="AF7" s="40">
        <v>11941900</v>
      </c>
      <c r="AG7" s="40">
        <v>149786</v>
      </c>
      <c r="AH7" s="3"/>
      <c r="AI7" s="54"/>
      <c r="AJ7" s="55"/>
      <c r="AK7" s="1">
        <v>55008764</v>
      </c>
      <c r="AL7" s="1">
        <v>1401081</v>
      </c>
      <c r="AM7" s="40">
        <v>0</v>
      </c>
      <c r="AN7" s="40">
        <v>10238006</v>
      </c>
      <c r="AO7" s="40">
        <v>384923</v>
      </c>
      <c r="AP7" s="40">
        <v>1668759</v>
      </c>
      <c r="AQ7" s="40">
        <v>5366286</v>
      </c>
      <c r="AR7" s="40">
        <v>6127000</v>
      </c>
      <c r="AS7" s="40">
        <v>0</v>
      </c>
      <c r="AT7" s="40">
        <v>870171</v>
      </c>
      <c r="AU7" s="40">
        <v>0</v>
      </c>
      <c r="AV7" s="40">
        <v>0</v>
      </c>
      <c r="AW7" s="40">
        <v>29377</v>
      </c>
      <c r="AX7" s="40">
        <v>0</v>
      </c>
      <c r="AY7" s="40">
        <v>0</v>
      </c>
      <c r="AZ7" s="1">
        <v>3416367.75</v>
      </c>
      <c r="BA7" s="1">
        <v>1742348</v>
      </c>
      <c r="BB7" s="1"/>
      <c r="BC7" s="15">
        <v>0</v>
      </c>
      <c r="BD7" s="15">
        <v>0</v>
      </c>
      <c r="BE7" s="20">
        <v>18127117</v>
      </c>
      <c r="BF7" s="20">
        <v>18127117</v>
      </c>
      <c r="BG7" s="20">
        <v>22048649</v>
      </c>
      <c r="BH7" s="20">
        <v>22044085</v>
      </c>
      <c r="BI7" s="44"/>
      <c r="BJ7" s="44"/>
      <c r="BK7" s="44"/>
      <c r="BL7" s="5">
        <v>402007010</v>
      </c>
      <c r="BM7" s="5">
        <v>303683615</v>
      </c>
      <c r="BN7" s="15">
        <v>768500</v>
      </c>
      <c r="BO7" s="3"/>
      <c r="BP7" s="1"/>
      <c r="BQ7" s="1"/>
      <c r="BR7" s="5"/>
      <c r="BS7" s="5"/>
      <c r="BT7" s="5"/>
    </row>
    <row r="8" spans="1:72" x14ac:dyDescent="0.25">
      <c r="A8" s="6" t="s">
        <v>62</v>
      </c>
      <c r="B8" s="40">
        <v>436306000</v>
      </c>
      <c r="C8" s="40">
        <v>25484350</v>
      </c>
      <c r="D8" s="40">
        <v>184602427</v>
      </c>
      <c r="E8" s="40">
        <v>0</v>
      </c>
      <c r="F8" s="40">
        <v>66996200</v>
      </c>
      <c r="G8" s="40">
        <v>20853800</v>
      </c>
      <c r="H8" s="40">
        <v>4133100</v>
      </c>
      <c r="I8" s="40">
        <v>824500</v>
      </c>
      <c r="J8" s="40">
        <v>0</v>
      </c>
      <c r="K8" s="40">
        <v>0</v>
      </c>
      <c r="L8" s="40">
        <v>34383025</v>
      </c>
      <c r="M8" s="40">
        <v>158923</v>
      </c>
      <c r="N8" s="40">
        <v>2498</v>
      </c>
      <c r="O8" s="40">
        <v>798</v>
      </c>
      <c r="P8" s="40">
        <v>2325000</v>
      </c>
      <c r="Q8" s="40">
        <v>0</v>
      </c>
      <c r="R8" s="40">
        <v>3623400</v>
      </c>
      <c r="S8" s="40">
        <v>6552500</v>
      </c>
      <c r="T8" s="40">
        <v>355300</v>
      </c>
      <c r="U8" s="40">
        <v>448500</v>
      </c>
      <c r="V8" s="40">
        <v>2325000</v>
      </c>
      <c r="W8" s="40">
        <v>0</v>
      </c>
      <c r="X8" s="40">
        <v>3623400</v>
      </c>
      <c r="Y8" s="40">
        <v>6552500</v>
      </c>
      <c r="Z8" s="40">
        <v>528000</v>
      </c>
      <c r="AA8" s="40">
        <v>448500</v>
      </c>
      <c r="AB8" s="40">
        <v>-5732400</v>
      </c>
      <c r="AC8" s="40">
        <v>0</v>
      </c>
      <c r="AD8" s="40">
        <v>158923</v>
      </c>
      <c r="AE8" s="40">
        <v>0</v>
      </c>
      <c r="AF8" s="40">
        <v>0</v>
      </c>
      <c r="AG8" s="40">
        <v>0</v>
      </c>
      <c r="AH8" s="40">
        <v>14046025</v>
      </c>
      <c r="AI8" s="54">
        <v>43581721</v>
      </c>
      <c r="AJ8" s="15">
        <v>28748434</v>
      </c>
      <c r="AK8" s="1">
        <v>118007786</v>
      </c>
      <c r="AL8" s="1">
        <v>1068472</v>
      </c>
      <c r="AM8" s="40">
        <v>0</v>
      </c>
      <c r="AN8" s="40">
        <v>131394829</v>
      </c>
      <c r="AO8" s="40">
        <v>4464131</v>
      </c>
      <c r="AP8" s="40">
        <v>49466853</v>
      </c>
      <c r="AQ8" s="40">
        <v>34074581</v>
      </c>
      <c r="AR8" s="40">
        <v>10002620</v>
      </c>
      <c r="AS8" s="40">
        <v>654422</v>
      </c>
      <c r="AT8" s="40">
        <v>0</v>
      </c>
      <c r="AU8" s="40">
        <v>0</v>
      </c>
      <c r="AV8" s="40">
        <v>0</v>
      </c>
      <c r="AW8" s="40">
        <v>0</v>
      </c>
      <c r="AX8" s="40">
        <v>26720</v>
      </c>
      <c r="AY8" s="40">
        <v>876980</v>
      </c>
      <c r="AZ8" s="1">
        <v>7328977.5099999998</v>
      </c>
      <c r="BA8" s="1">
        <v>3737779</v>
      </c>
      <c r="BB8" s="1"/>
      <c r="BC8" s="15">
        <v>7639968</v>
      </c>
      <c r="BD8" s="15">
        <v>14980329</v>
      </c>
      <c r="BE8" s="20">
        <v>35112603</v>
      </c>
      <c r="BF8" s="20">
        <v>35112603</v>
      </c>
      <c r="BG8" s="20">
        <v>51784945</v>
      </c>
      <c r="BH8" s="20">
        <v>47475638</v>
      </c>
      <c r="BI8" s="44"/>
      <c r="BJ8" s="44"/>
      <c r="BK8" s="44"/>
      <c r="BL8" s="5">
        <v>1115744744</v>
      </c>
      <c r="BM8" s="5">
        <v>902702498</v>
      </c>
      <c r="BN8" s="15">
        <v>2436300</v>
      </c>
      <c r="BO8" s="3"/>
      <c r="BP8" s="1"/>
      <c r="BQ8" s="1"/>
      <c r="BR8" s="5"/>
      <c r="BS8" s="5"/>
      <c r="BT8" s="5"/>
    </row>
    <row r="9" spans="1:72" x14ac:dyDescent="0.25">
      <c r="A9" s="6" t="s">
        <v>63</v>
      </c>
      <c r="B9" s="40">
        <v>6043902225</v>
      </c>
      <c r="C9" s="40">
        <v>257519275</v>
      </c>
      <c r="D9" s="40">
        <v>3704286244</v>
      </c>
      <c r="E9" s="40">
        <v>122014863</v>
      </c>
      <c r="F9" s="40">
        <v>199310780</v>
      </c>
      <c r="G9" s="40">
        <v>20203600</v>
      </c>
      <c r="H9" s="40">
        <v>13213300</v>
      </c>
      <c r="I9" s="40">
        <v>586700</v>
      </c>
      <c r="J9" s="40">
        <v>578000</v>
      </c>
      <c r="K9" s="40">
        <v>0</v>
      </c>
      <c r="L9" s="40">
        <v>834443635</v>
      </c>
      <c r="M9" s="40">
        <v>0</v>
      </c>
      <c r="N9" s="40">
        <v>6386</v>
      </c>
      <c r="O9" s="40">
        <v>648</v>
      </c>
      <c r="P9" s="40">
        <v>96856090</v>
      </c>
      <c r="Q9" s="40">
        <v>2774830</v>
      </c>
      <c r="R9" s="40">
        <v>29648810</v>
      </c>
      <c r="S9" s="40">
        <v>36910920</v>
      </c>
      <c r="T9" s="40">
        <v>2436949</v>
      </c>
      <c r="U9" s="40">
        <v>58483260</v>
      </c>
      <c r="V9" s="40">
        <v>96856090</v>
      </c>
      <c r="W9" s="40">
        <v>6125540</v>
      </c>
      <c r="X9" s="40">
        <v>29648810</v>
      </c>
      <c r="Y9" s="40">
        <v>36910920</v>
      </c>
      <c r="Z9" s="40">
        <v>6127250</v>
      </c>
      <c r="AA9" s="40">
        <v>58483260</v>
      </c>
      <c r="AB9" s="40">
        <v>-20830182</v>
      </c>
      <c r="AC9" s="40">
        <v>-51873943</v>
      </c>
      <c r="AD9" s="40">
        <v>0</v>
      </c>
      <c r="AE9" s="40">
        <v>0</v>
      </c>
      <c r="AF9" s="40">
        <v>0</v>
      </c>
      <c r="AG9" s="40">
        <v>0</v>
      </c>
      <c r="AH9" s="3"/>
      <c r="AI9" s="54">
        <v>1128705</v>
      </c>
      <c r="AJ9" s="55"/>
      <c r="AK9" s="1">
        <v>814142282</v>
      </c>
      <c r="AL9" s="1">
        <v>16776822</v>
      </c>
      <c r="AM9" s="40">
        <v>136550</v>
      </c>
      <c r="AN9" s="40">
        <v>587388231</v>
      </c>
      <c r="AO9" s="40">
        <v>22155314</v>
      </c>
      <c r="AP9" s="40">
        <v>701245644</v>
      </c>
      <c r="AQ9" s="40">
        <v>827572378</v>
      </c>
      <c r="AR9" s="40">
        <v>325632144</v>
      </c>
      <c r="AS9" s="40">
        <v>1122978088</v>
      </c>
      <c r="AT9" s="40">
        <v>448789938</v>
      </c>
      <c r="AU9" s="40">
        <v>0</v>
      </c>
      <c r="AV9" s="40">
        <v>37355</v>
      </c>
      <c r="AW9" s="40">
        <v>14563164</v>
      </c>
      <c r="AX9" s="40">
        <v>3051094</v>
      </c>
      <c r="AY9" s="40">
        <v>23287450</v>
      </c>
      <c r="AZ9" s="1">
        <v>50563023.630000003</v>
      </c>
      <c r="BA9" s="1">
        <v>25787142</v>
      </c>
      <c r="BB9" s="1">
        <v>34528497</v>
      </c>
      <c r="BC9" s="15">
        <v>1148604</v>
      </c>
      <c r="BD9" s="15">
        <v>2252165</v>
      </c>
      <c r="BE9" s="20">
        <v>266902589</v>
      </c>
      <c r="BF9" s="20">
        <v>266902589</v>
      </c>
      <c r="BG9" s="20">
        <v>768269710</v>
      </c>
      <c r="BH9" s="20">
        <v>493367879</v>
      </c>
      <c r="BI9" s="44"/>
      <c r="BJ9" s="44"/>
      <c r="BK9" s="44"/>
      <c r="BL9" s="5">
        <v>13062077690</v>
      </c>
      <c r="BM9" s="5">
        <v>11443952372</v>
      </c>
      <c r="BN9" s="15">
        <v>4567910</v>
      </c>
      <c r="BO9" s="3"/>
      <c r="BP9" s="1"/>
      <c r="BQ9" s="1"/>
      <c r="BR9" s="5"/>
      <c r="BS9" s="5"/>
      <c r="BT9" s="5"/>
    </row>
    <row r="10" spans="1:72" x14ac:dyDescent="0.25">
      <c r="A10" s="6" t="s">
        <v>64</v>
      </c>
      <c r="B10" s="40">
        <v>566740381</v>
      </c>
      <c r="C10" s="40">
        <v>303396817</v>
      </c>
      <c r="D10" s="40">
        <v>158798706</v>
      </c>
      <c r="E10" s="40">
        <v>2495000</v>
      </c>
      <c r="F10" s="40">
        <v>43312300</v>
      </c>
      <c r="G10" s="40">
        <v>7277600</v>
      </c>
      <c r="H10" s="40">
        <v>9096300</v>
      </c>
      <c r="I10" s="40">
        <v>646000</v>
      </c>
      <c r="J10" s="40">
        <v>102000</v>
      </c>
      <c r="K10" s="40">
        <v>0</v>
      </c>
      <c r="L10" s="40">
        <v>794887132</v>
      </c>
      <c r="M10" s="40">
        <v>177785340</v>
      </c>
      <c r="N10" s="40">
        <v>1559</v>
      </c>
      <c r="O10" s="40">
        <v>240</v>
      </c>
      <c r="P10" s="40">
        <v>4318750</v>
      </c>
      <c r="Q10" s="40">
        <v>5568041</v>
      </c>
      <c r="R10" s="40">
        <v>288875</v>
      </c>
      <c r="S10" s="40">
        <v>5111818</v>
      </c>
      <c r="T10" s="40">
        <v>5191340</v>
      </c>
      <c r="U10" s="40">
        <v>710100</v>
      </c>
      <c r="V10" s="40">
        <v>4318750</v>
      </c>
      <c r="W10" s="40">
        <v>5690000</v>
      </c>
      <c r="X10" s="40">
        <v>288875</v>
      </c>
      <c r="Y10" s="40">
        <v>5111818</v>
      </c>
      <c r="Z10" s="40">
        <v>7912160</v>
      </c>
      <c r="AA10" s="40">
        <v>710100</v>
      </c>
      <c r="AB10" s="40">
        <v>-2077932</v>
      </c>
      <c r="AC10" s="40">
        <v>-5005608</v>
      </c>
      <c r="AD10" s="40">
        <v>0</v>
      </c>
      <c r="AE10" s="40">
        <v>0</v>
      </c>
      <c r="AF10" s="40">
        <v>0</v>
      </c>
      <c r="AG10" s="40">
        <v>176005</v>
      </c>
      <c r="AH10" s="3"/>
      <c r="AI10" s="54">
        <v>556156</v>
      </c>
      <c r="AJ10" s="55"/>
      <c r="AK10" s="1">
        <v>132673742</v>
      </c>
      <c r="AL10" s="1">
        <v>2948761</v>
      </c>
      <c r="AM10" s="40">
        <v>0</v>
      </c>
      <c r="AN10" s="40">
        <v>40310573</v>
      </c>
      <c r="AO10" s="40">
        <v>13234969</v>
      </c>
      <c r="AP10" s="40">
        <v>152953498</v>
      </c>
      <c r="AQ10" s="40">
        <v>25933447</v>
      </c>
      <c r="AR10" s="40">
        <v>50021434</v>
      </c>
      <c r="AS10" s="40">
        <v>22067427</v>
      </c>
      <c r="AT10" s="40">
        <v>168044530</v>
      </c>
      <c r="AU10" s="40">
        <v>0</v>
      </c>
      <c r="AV10" s="40">
        <v>37343</v>
      </c>
      <c r="AW10" s="40">
        <v>0</v>
      </c>
      <c r="AX10" s="40">
        <v>9841</v>
      </c>
      <c r="AY10" s="40">
        <v>33300</v>
      </c>
      <c r="AZ10" s="1">
        <v>8239819.6200000001</v>
      </c>
      <c r="BA10" s="1">
        <v>4202308</v>
      </c>
      <c r="BB10" s="1"/>
      <c r="BC10" s="15">
        <v>2217949</v>
      </c>
      <c r="BD10" s="15">
        <v>4348919</v>
      </c>
      <c r="BE10" s="20">
        <v>11061742</v>
      </c>
      <c r="BF10" s="20">
        <v>11061742</v>
      </c>
      <c r="BG10" s="20">
        <v>39772955</v>
      </c>
      <c r="BH10" s="20">
        <v>36799061</v>
      </c>
      <c r="BI10" s="44"/>
      <c r="BJ10" s="44"/>
      <c r="BK10" s="44"/>
      <c r="BL10" s="5">
        <v>1298874612</v>
      </c>
      <c r="BM10" s="5">
        <v>1108971049</v>
      </c>
      <c r="BN10" s="15">
        <v>1478430</v>
      </c>
      <c r="BO10" s="3"/>
      <c r="BP10" s="1"/>
      <c r="BQ10" s="1"/>
      <c r="BR10" s="5"/>
      <c r="BS10" s="5"/>
      <c r="BT10" s="5"/>
    </row>
    <row r="11" spans="1:72" x14ac:dyDescent="0.25">
      <c r="A11" s="6" t="s">
        <v>65</v>
      </c>
      <c r="B11" s="40">
        <v>1101775893</v>
      </c>
      <c r="C11" s="40">
        <v>77083455</v>
      </c>
      <c r="D11" s="40">
        <v>570698772</v>
      </c>
      <c r="E11" s="40">
        <v>0</v>
      </c>
      <c r="F11" s="40">
        <v>138794660</v>
      </c>
      <c r="G11" s="40">
        <v>30818400</v>
      </c>
      <c r="H11" s="40">
        <v>7954300</v>
      </c>
      <c r="I11" s="40">
        <v>1338600</v>
      </c>
      <c r="J11" s="40">
        <v>571500</v>
      </c>
      <c r="K11" s="40">
        <v>55100</v>
      </c>
      <c r="L11" s="40">
        <v>37583375</v>
      </c>
      <c r="M11" s="40">
        <v>69521210</v>
      </c>
      <c r="N11" s="40">
        <v>4648</v>
      </c>
      <c r="O11" s="40">
        <v>1044</v>
      </c>
      <c r="P11" s="40">
        <v>6541100</v>
      </c>
      <c r="Q11" s="40">
        <v>760000</v>
      </c>
      <c r="R11" s="40">
        <v>1808000</v>
      </c>
      <c r="S11" s="40">
        <v>3137760</v>
      </c>
      <c r="T11" s="40">
        <v>656600</v>
      </c>
      <c r="U11" s="40">
        <v>3231800</v>
      </c>
      <c r="V11" s="40">
        <v>6541100</v>
      </c>
      <c r="W11" s="40">
        <v>769900</v>
      </c>
      <c r="X11" s="40">
        <v>1808000</v>
      </c>
      <c r="Y11" s="40">
        <v>3137760</v>
      </c>
      <c r="Z11" s="40">
        <v>956600</v>
      </c>
      <c r="AA11" s="40">
        <v>3231800</v>
      </c>
      <c r="AB11" s="56">
        <v>-8601700</v>
      </c>
      <c r="AC11" s="56">
        <v>-88815</v>
      </c>
      <c r="AD11" s="40">
        <v>22357</v>
      </c>
      <c r="AE11" s="40">
        <v>0</v>
      </c>
      <c r="AF11" s="40">
        <v>0</v>
      </c>
      <c r="AG11" s="40">
        <v>862</v>
      </c>
      <c r="AH11" s="40">
        <v>68926</v>
      </c>
      <c r="AI11" s="54">
        <v>3536361</v>
      </c>
      <c r="AJ11" s="15">
        <v>301000</v>
      </c>
      <c r="AK11" s="1">
        <v>309539625</v>
      </c>
      <c r="AL11" s="1">
        <v>6772641</v>
      </c>
      <c r="AM11" s="40">
        <v>7000</v>
      </c>
      <c r="AN11" s="40">
        <v>128695058</v>
      </c>
      <c r="AO11" s="40">
        <v>13686091</v>
      </c>
      <c r="AP11" s="40">
        <v>411138074</v>
      </c>
      <c r="AQ11" s="40">
        <v>132754737</v>
      </c>
      <c r="AR11" s="40">
        <v>161567204</v>
      </c>
      <c r="AS11" s="40">
        <v>4391122</v>
      </c>
      <c r="AT11" s="40">
        <v>1262386289</v>
      </c>
      <c r="AU11" s="40">
        <v>0</v>
      </c>
      <c r="AV11" s="40">
        <v>0</v>
      </c>
      <c r="AW11" s="40">
        <v>2055</v>
      </c>
      <c r="AX11" s="40">
        <v>0</v>
      </c>
      <c r="AY11" s="40">
        <v>205500</v>
      </c>
      <c r="AZ11" s="1">
        <v>19224231.100000001</v>
      </c>
      <c r="BA11" s="1">
        <v>9804358</v>
      </c>
      <c r="BB11" s="1">
        <v>19378238</v>
      </c>
      <c r="BC11" s="15">
        <v>6192819</v>
      </c>
      <c r="BD11" s="15">
        <v>12142783</v>
      </c>
      <c r="BE11" s="20">
        <v>50028138</v>
      </c>
      <c r="BF11" s="20">
        <v>50028138</v>
      </c>
      <c r="BG11" s="20">
        <v>96359724</v>
      </c>
      <c r="BH11" s="20">
        <v>93046482</v>
      </c>
      <c r="BI11" s="44"/>
      <c r="BJ11" s="44"/>
      <c r="BK11" s="44"/>
      <c r="BL11" s="5">
        <v>2503984356</v>
      </c>
      <c r="BM11" s="5">
        <v>2028600293</v>
      </c>
      <c r="BN11" s="15">
        <v>5397500</v>
      </c>
      <c r="BO11" s="3"/>
      <c r="BP11" s="1"/>
      <c r="BQ11" s="1"/>
      <c r="BR11" s="5"/>
      <c r="BS11" s="5"/>
      <c r="BT11" s="5"/>
    </row>
    <row r="12" spans="1:72" x14ac:dyDescent="0.25">
      <c r="A12" s="6" t="s">
        <v>66</v>
      </c>
      <c r="B12" s="40">
        <v>975064011</v>
      </c>
      <c r="C12" s="40">
        <v>161661735</v>
      </c>
      <c r="D12" s="40">
        <v>416788000</v>
      </c>
      <c r="E12" s="40">
        <v>0</v>
      </c>
      <c r="F12" s="40">
        <v>78810600</v>
      </c>
      <c r="G12" s="40">
        <v>12080000</v>
      </c>
      <c r="H12" s="40">
        <v>9110000</v>
      </c>
      <c r="I12" s="40">
        <v>1122000</v>
      </c>
      <c r="J12" s="40">
        <v>136000</v>
      </c>
      <c r="K12" s="40">
        <v>0</v>
      </c>
      <c r="L12" s="40">
        <v>265051071</v>
      </c>
      <c r="M12" s="40">
        <v>134529700</v>
      </c>
      <c r="N12" s="40">
        <v>2666</v>
      </c>
      <c r="O12" s="40">
        <v>411</v>
      </c>
      <c r="P12" s="40">
        <v>6121000</v>
      </c>
      <c r="Q12" s="40">
        <v>875000</v>
      </c>
      <c r="R12" s="40">
        <v>8175000</v>
      </c>
      <c r="S12" s="40">
        <v>6466550</v>
      </c>
      <c r="T12" s="40">
        <v>82000</v>
      </c>
      <c r="U12" s="40">
        <v>2987000</v>
      </c>
      <c r="V12" s="40">
        <v>6121000</v>
      </c>
      <c r="W12" s="40">
        <v>875000</v>
      </c>
      <c r="X12" s="40">
        <v>8175000</v>
      </c>
      <c r="Y12" s="40">
        <v>6466550</v>
      </c>
      <c r="Z12" s="40">
        <v>296500</v>
      </c>
      <c r="AA12" s="40">
        <v>2987000</v>
      </c>
      <c r="AB12" s="40">
        <v>-1327500</v>
      </c>
      <c r="AC12" s="40">
        <v>-55657911</v>
      </c>
      <c r="AD12" s="40">
        <v>14908</v>
      </c>
      <c r="AE12" s="40">
        <v>0</v>
      </c>
      <c r="AF12" s="40">
        <v>0</v>
      </c>
      <c r="AG12" s="40">
        <v>98455</v>
      </c>
      <c r="AH12" s="3"/>
      <c r="AI12" s="54">
        <v>224467</v>
      </c>
      <c r="AJ12" s="55"/>
      <c r="AK12" s="1">
        <v>151489334</v>
      </c>
      <c r="AL12" s="1">
        <v>5202600</v>
      </c>
      <c r="AM12" s="40">
        <v>0</v>
      </c>
      <c r="AN12" s="40">
        <v>87534320</v>
      </c>
      <c r="AO12" s="40">
        <v>7710525</v>
      </c>
      <c r="AP12" s="40">
        <v>256082782</v>
      </c>
      <c r="AQ12" s="40">
        <v>56049962</v>
      </c>
      <c r="AR12" s="40">
        <v>89528994</v>
      </c>
      <c r="AS12" s="40">
        <v>125683919</v>
      </c>
      <c r="AT12" s="40">
        <v>690513</v>
      </c>
      <c r="AU12" s="40">
        <v>0</v>
      </c>
      <c r="AV12" s="40">
        <v>1693000</v>
      </c>
      <c r="AW12" s="40">
        <v>732683</v>
      </c>
      <c r="AX12" s="40">
        <v>29342</v>
      </c>
      <c r="AY12" s="40">
        <v>3140930</v>
      </c>
      <c r="AZ12" s="1">
        <v>9408378.5399999991</v>
      </c>
      <c r="BA12" s="1">
        <v>4798273</v>
      </c>
      <c r="BB12" s="1"/>
      <c r="BC12" s="15">
        <v>2943174</v>
      </c>
      <c r="BD12" s="15">
        <v>5770930</v>
      </c>
      <c r="BE12" s="20">
        <v>38131337</v>
      </c>
      <c r="BF12" s="20">
        <v>38131337</v>
      </c>
      <c r="BG12" s="20">
        <v>49249545</v>
      </c>
      <c r="BH12" s="20">
        <v>44613662</v>
      </c>
      <c r="BI12" s="44"/>
      <c r="BJ12" s="44"/>
      <c r="BK12" s="44"/>
      <c r="BL12" s="5">
        <v>1952211400</v>
      </c>
      <c r="BM12" s="5">
        <v>1705033020</v>
      </c>
      <c r="BN12" s="15">
        <v>2920000</v>
      </c>
      <c r="BO12" s="3"/>
      <c r="BP12" s="1"/>
      <c r="BQ12" s="1"/>
      <c r="BR12" s="5"/>
      <c r="BS12" s="5"/>
      <c r="BT12" s="5"/>
    </row>
    <row r="13" spans="1:72" x14ac:dyDescent="0.25">
      <c r="A13" s="6" t="s">
        <v>67</v>
      </c>
      <c r="B13" s="40">
        <v>138179811</v>
      </c>
      <c r="C13" s="40">
        <v>100960414</v>
      </c>
      <c r="D13" s="40">
        <v>24722865</v>
      </c>
      <c r="E13" s="40">
        <v>0</v>
      </c>
      <c r="F13" s="40">
        <v>15566700</v>
      </c>
      <c r="G13" s="40">
        <v>4323250</v>
      </c>
      <c r="H13" s="40">
        <v>7015400</v>
      </c>
      <c r="I13" s="40">
        <v>1011600</v>
      </c>
      <c r="J13" s="40">
        <v>34000</v>
      </c>
      <c r="K13" s="40">
        <v>0</v>
      </c>
      <c r="L13" s="40">
        <v>73641481</v>
      </c>
      <c r="M13" s="40">
        <v>54622015</v>
      </c>
      <c r="N13" s="40">
        <v>724</v>
      </c>
      <c r="O13" s="40">
        <v>177</v>
      </c>
      <c r="P13" s="40">
        <v>864750</v>
      </c>
      <c r="Q13" s="40">
        <v>591000</v>
      </c>
      <c r="R13" s="40">
        <v>421000</v>
      </c>
      <c r="S13" s="40">
        <v>2151726</v>
      </c>
      <c r="T13" s="40">
        <v>1481895</v>
      </c>
      <c r="U13" s="40">
        <v>165250</v>
      </c>
      <c r="V13" s="40">
        <v>864750</v>
      </c>
      <c r="W13" s="40">
        <v>643600</v>
      </c>
      <c r="X13" s="40">
        <v>421000</v>
      </c>
      <c r="Y13" s="40">
        <v>2151726</v>
      </c>
      <c r="Z13" s="40">
        <v>1287490</v>
      </c>
      <c r="AA13" s="40">
        <v>165250</v>
      </c>
      <c r="AB13" s="40">
        <v>-674250</v>
      </c>
      <c r="AC13" s="40">
        <v>0</v>
      </c>
      <c r="AD13" s="40">
        <v>0</v>
      </c>
      <c r="AE13" s="40">
        <v>0</v>
      </c>
      <c r="AF13" s="40">
        <v>0</v>
      </c>
      <c r="AG13" s="40">
        <v>117003</v>
      </c>
      <c r="AH13" s="3"/>
      <c r="AI13" s="3"/>
      <c r="AJ13" s="57"/>
      <c r="AK13" s="1">
        <v>45860990</v>
      </c>
      <c r="AL13" s="1">
        <v>911628</v>
      </c>
      <c r="AM13" s="40">
        <v>0</v>
      </c>
      <c r="AN13" s="40">
        <v>2918270</v>
      </c>
      <c r="AO13" s="40">
        <v>9534</v>
      </c>
      <c r="AP13" s="40">
        <v>24247630</v>
      </c>
      <c r="AQ13" s="40">
        <v>2645134</v>
      </c>
      <c r="AR13" s="40">
        <v>6488987</v>
      </c>
      <c r="AS13" s="40">
        <v>2885606</v>
      </c>
      <c r="AT13" s="40">
        <v>28835</v>
      </c>
      <c r="AU13" s="40">
        <v>0</v>
      </c>
      <c r="AV13" s="40">
        <v>0</v>
      </c>
      <c r="AW13" s="40">
        <v>0</v>
      </c>
      <c r="AX13" s="40">
        <v>0</v>
      </c>
      <c r="AY13" s="40">
        <v>0</v>
      </c>
      <c r="AZ13" s="1">
        <v>2848237.18</v>
      </c>
      <c r="BA13" s="1">
        <v>1452601</v>
      </c>
      <c r="BB13" s="1">
        <v>17000000</v>
      </c>
      <c r="BC13" s="15">
        <v>1439883</v>
      </c>
      <c r="BD13" s="15">
        <v>2823301</v>
      </c>
      <c r="BE13" s="20">
        <v>12200484</v>
      </c>
      <c r="BF13" s="20">
        <v>12200484</v>
      </c>
      <c r="BG13" s="20">
        <v>26901671</v>
      </c>
      <c r="BH13" s="20">
        <v>22931383</v>
      </c>
      <c r="BI13" s="44"/>
      <c r="BJ13" s="44"/>
      <c r="BK13" s="44"/>
      <c r="BL13" s="5">
        <v>354232997</v>
      </c>
      <c r="BM13" s="5">
        <v>269436028</v>
      </c>
      <c r="BN13" s="15">
        <v>258740</v>
      </c>
      <c r="BO13" s="3"/>
      <c r="BP13" s="1"/>
      <c r="BQ13" s="1"/>
      <c r="BR13" s="5"/>
      <c r="BS13" s="5"/>
      <c r="BT13" s="5"/>
    </row>
    <row r="14" spans="1:72" x14ac:dyDescent="0.25">
      <c r="A14" s="6" t="s">
        <v>68</v>
      </c>
      <c r="B14" s="40">
        <v>138618665</v>
      </c>
      <c r="C14" s="40">
        <v>80215653</v>
      </c>
      <c r="D14" s="40">
        <v>55038083</v>
      </c>
      <c r="E14" s="40">
        <v>0</v>
      </c>
      <c r="F14" s="40">
        <v>18674540</v>
      </c>
      <c r="G14" s="40">
        <v>32927990</v>
      </c>
      <c r="H14" s="40">
        <v>9751790</v>
      </c>
      <c r="I14" s="40">
        <v>10572032</v>
      </c>
      <c r="J14" s="40">
        <v>68000</v>
      </c>
      <c r="K14" s="40">
        <v>169700</v>
      </c>
      <c r="L14" s="40">
        <v>34665275</v>
      </c>
      <c r="M14" s="40">
        <v>47971348</v>
      </c>
      <c r="N14" s="40">
        <v>923</v>
      </c>
      <c r="O14" s="40">
        <v>1494</v>
      </c>
      <c r="P14" s="40">
        <v>2163000</v>
      </c>
      <c r="Q14" s="40">
        <v>466525</v>
      </c>
      <c r="R14" s="40">
        <v>149500</v>
      </c>
      <c r="S14" s="40">
        <v>1937728</v>
      </c>
      <c r="T14" s="40">
        <v>337975</v>
      </c>
      <c r="U14" s="40">
        <v>270800</v>
      </c>
      <c r="V14" s="40">
        <v>2163000</v>
      </c>
      <c r="W14" s="40">
        <v>250400</v>
      </c>
      <c r="X14" s="40">
        <v>149500</v>
      </c>
      <c r="Y14" s="40">
        <v>1937728</v>
      </c>
      <c r="Z14" s="40">
        <v>47700</v>
      </c>
      <c r="AA14" s="40">
        <v>270800</v>
      </c>
      <c r="AB14" s="40">
        <v>-8166826</v>
      </c>
      <c r="AC14" s="40">
        <v>-3923141</v>
      </c>
      <c r="AD14" s="40">
        <v>239019</v>
      </c>
      <c r="AE14" s="40">
        <v>0</v>
      </c>
      <c r="AF14" s="40">
        <v>0</v>
      </c>
      <c r="AG14" s="40">
        <v>358177</v>
      </c>
      <c r="AH14" s="40">
        <v>1124902</v>
      </c>
      <c r="AI14" s="40">
        <v>3053844</v>
      </c>
      <c r="AJ14" s="15">
        <v>79229340</v>
      </c>
      <c r="AK14" s="1">
        <v>63527686</v>
      </c>
      <c r="AL14" s="1">
        <v>1163194</v>
      </c>
      <c r="AM14" s="40">
        <v>0</v>
      </c>
      <c r="AN14" s="40">
        <v>34406513</v>
      </c>
      <c r="AO14" s="40">
        <v>612525</v>
      </c>
      <c r="AP14" s="40">
        <v>16214816</v>
      </c>
      <c r="AQ14" s="40">
        <v>10408336</v>
      </c>
      <c r="AR14" s="40">
        <v>7473518</v>
      </c>
      <c r="AS14" s="40">
        <v>0</v>
      </c>
      <c r="AT14" s="40">
        <v>276444</v>
      </c>
      <c r="AU14" s="40">
        <v>0</v>
      </c>
      <c r="AV14" s="40">
        <v>0</v>
      </c>
      <c r="AW14" s="40">
        <v>0</v>
      </c>
      <c r="AX14" s="40">
        <v>0</v>
      </c>
      <c r="AY14" s="40">
        <v>0</v>
      </c>
      <c r="AZ14" s="1">
        <v>3945442.9</v>
      </c>
      <c r="BA14" s="1">
        <v>2012176</v>
      </c>
      <c r="BB14" s="1"/>
      <c r="BC14" s="15">
        <v>2400906</v>
      </c>
      <c r="BD14" s="15">
        <v>4707659</v>
      </c>
      <c r="BE14" s="20">
        <v>6486525</v>
      </c>
      <c r="BF14" s="20">
        <v>6468783</v>
      </c>
      <c r="BG14" s="20">
        <v>36008735</v>
      </c>
      <c r="BH14" s="20">
        <v>30805585</v>
      </c>
      <c r="BI14" s="44"/>
      <c r="BJ14" s="44"/>
      <c r="BK14" s="44"/>
      <c r="BL14" s="5">
        <v>509086191</v>
      </c>
      <c r="BM14" s="5">
        <v>402707861</v>
      </c>
      <c r="BN14" s="15">
        <v>1172197</v>
      </c>
      <c r="BO14" s="3"/>
      <c r="BP14" s="1"/>
      <c r="BQ14" s="1"/>
      <c r="BR14" s="5"/>
      <c r="BS14" s="5"/>
      <c r="BT14" s="5"/>
    </row>
    <row r="15" spans="1:72" x14ac:dyDescent="0.25">
      <c r="A15" s="6" t="s">
        <v>69</v>
      </c>
      <c r="B15" s="40">
        <v>483974823</v>
      </c>
      <c r="C15" s="40">
        <v>204487939</v>
      </c>
      <c r="D15" s="40">
        <v>65006561</v>
      </c>
      <c r="E15" s="40">
        <v>0</v>
      </c>
      <c r="F15" s="40">
        <v>41945455</v>
      </c>
      <c r="G15" s="40">
        <v>11816430</v>
      </c>
      <c r="H15" s="40">
        <v>16595130</v>
      </c>
      <c r="I15" s="40">
        <v>2703875</v>
      </c>
      <c r="J15" s="40">
        <v>0</v>
      </c>
      <c r="K15" s="40">
        <v>0</v>
      </c>
      <c r="L15" s="40">
        <v>311658104</v>
      </c>
      <c r="M15" s="40">
        <v>110932650</v>
      </c>
      <c r="N15" s="3"/>
      <c r="O15" s="3"/>
      <c r="P15" s="40">
        <v>7647950</v>
      </c>
      <c r="Q15" s="40">
        <v>4300350</v>
      </c>
      <c r="R15" s="40">
        <v>1369800</v>
      </c>
      <c r="S15" s="40">
        <v>6517425</v>
      </c>
      <c r="T15" s="40">
        <v>692400</v>
      </c>
      <c r="U15" s="40">
        <v>1018408</v>
      </c>
      <c r="V15" s="40">
        <v>7647950</v>
      </c>
      <c r="W15" s="40">
        <v>4417250</v>
      </c>
      <c r="X15" s="40">
        <v>1369800</v>
      </c>
      <c r="Y15" s="40">
        <v>6517425</v>
      </c>
      <c r="Z15" s="40">
        <v>1048400</v>
      </c>
      <c r="AA15" s="40">
        <v>1018408</v>
      </c>
      <c r="AB15" s="40">
        <v>-2335750</v>
      </c>
      <c r="AC15" s="40">
        <v>0</v>
      </c>
      <c r="AD15" s="40">
        <v>144644</v>
      </c>
      <c r="AE15" s="40">
        <v>0</v>
      </c>
      <c r="AF15" s="40">
        <v>0</v>
      </c>
      <c r="AG15" s="40">
        <v>352167</v>
      </c>
      <c r="AH15" s="40">
        <v>86008</v>
      </c>
      <c r="AI15" s="40">
        <v>1803976</v>
      </c>
      <c r="AJ15" s="57"/>
      <c r="AK15" s="1">
        <v>107942295</v>
      </c>
      <c r="AL15" s="1">
        <v>14509331</v>
      </c>
      <c r="AM15" s="40">
        <v>429785</v>
      </c>
      <c r="AN15" s="40">
        <v>18444281</v>
      </c>
      <c r="AO15" s="40">
        <v>123400</v>
      </c>
      <c r="AP15" s="40">
        <v>11608668</v>
      </c>
      <c r="AQ15" s="40">
        <v>11829923</v>
      </c>
      <c r="AR15" s="40">
        <v>13416819</v>
      </c>
      <c r="AS15" s="40">
        <v>0</v>
      </c>
      <c r="AT15" s="40">
        <v>867986</v>
      </c>
      <c r="AU15" s="40">
        <v>0</v>
      </c>
      <c r="AV15" s="40">
        <v>0</v>
      </c>
      <c r="AW15" s="40">
        <v>892314</v>
      </c>
      <c r="AX15" s="40">
        <v>0</v>
      </c>
      <c r="AY15" s="40">
        <v>238700</v>
      </c>
      <c r="AZ15" s="1">
        <v>6703851.3200000003</v>
      </c>
      <c r="BA15" s="1">
        <v>3418964</v>
      </c>
      <c r="BB15" s="1">
        <v>19906736</v>
      </c>
      <c r="BC15" s="15">
        <v>1961015</v>
      </c>
      <c r="BD15" s="15">
        <v>3845128</v>
      </c>
      <c r="BE15" s="20">
        <v>25340284</v>
      </c>
      <c r="BF15" s="20">
        <v>25340284</v>
      </c>
      <c r="BG15" s="20">
        <v>66171590</v>
      </c>
      <c r="BH15" s="20">
        <v>64119220</v>
      </c>
      <c r="BI15" s="44"/>
      <c r="BJ15" s="44"/>
      <c r="BK15" s="44"/>
      <c r="BL15" s="5">
        <v>1003048020</v>
      </c>
      <c r="BM15" s="5">
        <v>785756911</v>
      </c>
      <c r="BN15" s="15">
        <v>2158021</v>
      </c>
      <c r="BO15" s="3"/>
      <c r="BP15" s="1"/>
      <c r="BQ15" s="1"/>
      <c r="BR15" s="5"/>
      <c r="BS15" s="5"/>
      <c r="BT15" s="5"/>
    </row>
    <row r="16" spans="1:72" x14ac:dyDescent="0.25">
      <c r="A16" s="6" t="s">
        <v>70</v>
      </c>
      <c r="B16" s="40">
        <v>3412939163</v>
      </c>
      <c r="C16" s="40">
        <v>234754853</v>
      </c>
      <c r="D16" s="40">
        <v>852853714</v>
      </c>
      <c r="E16" s="40">
        <v>23841565</v>
      </c>
      <c r="F16" s="40">
        <v>153989052</v>
      </c>
      <c r="G16" s="40">
        <v>29505888</v>
      </c>
      <c r="H16" s="40">
        <v>14434889</v>
      </c>
      <c r="I16" s="40">
        <v>2142000</v>
      </c>
      <c r="J16" s="40">
        <v>136000</v>
      </c>
      <c r="K16" s="40">
        <v>34000</v>
      </c>
      <c r="L16" s="40">
        <v>344702391</v>
      </c>
      <c r="M16" s="40">
        <v>156579660</v>
      </c>
      <c r="N16" s="40">
        <v>5049</v>
      </c>
      <c r="O16" s="40">
        <v>1004</v>
      </c>
      <c r="P16" s="40">
        <v>26762901</v>
      </c>
      <c r="Q16" s="40">
        <v>1252505</v>
      </c>
      <c r="R16" s="40">
        <v>3136208</v>
      </c>
      <c r="S16" s="40">
        <v>11954012</v>
      </c>
      <c r="T16" s="40">
        <v>1873442</v>
      </c>
      <c r="U16" s="40">
        <v>1509251</v>
      </c>
      <c r="V16" s="40">
        <v>26762901</v>
      </c>
      <c r="W16" s="40">
        <v>2238379</v>
      </c>
      <c r="X16" s="40">
        <v>3136208</v>
      </c>
      <c r="Y16" s="40">
        <v>11954012</v>
      </c>
      <c r="Z16" s="40">
        <v>3230316</v>
      </c>
      <c r="AA16" s="40">
        <v>1509251</v>
      </c>
      <c r="AB16" s="40">
        <v>-21978780</v>
      </c>
      <c r="AC16" s="40">
        <v>27608966</v>
      </c>
      <c r="AD16" s="40">
        <v>26447</v>
      </c>
      <c r="AE16" s="40">
        <v>557</v>
      </c>
      <c r="AF16" s="40">
        <v>13661974</v>
      </c>
      <c r="AG16" s="40">
        <v>89369</v>
      </c>
      <c r="AH16" s="3"/>
      <c r="AI16" s="40">
        <v>971517</v>
      </c>
      <c r="AJ16" s="57"/>
      <c r="AK16" s="1">
        <v>448009119</v>
      </c>
      <c r="AL16" s="1">
        <v>16449317</v>
      </c>
      <c r="AM16" s="40">
        <v>21000</v>
      </c>
      <c r="AN16" s="40">
        <v>116998277</v>
      </c>
      <c r="AO16" s="40">
        <v>3667394</v>
      </c>
      <c r="AP16" s="40">
        <v>119849419</v>
      </c>
      <c r="AQ16" s="40">
        <v>193555799</v>
      </c>
      <c r="AR16" s="40">
        <v>821632858</v>
      </c>
      <c r="AS16" s="40">
        <v>2182523784</v>
      </c>
      <c r="AT16" s="40">
        <v>269885646</v>
      </c>
      <c r="AU16" s="40">
        <v>0</v>
      </c>
      <c r="AV16" s="40">
        <v>0</v>
      </c>
      <c r="AW16" s="40">
        <v>9207440</v>
      </c>
      <c r="AX16" s="40">
        <v>2630244</v>
      </c>
      <c r="AY16" s="40">
        <v>235800</v>
      </c>
      <c r="AZ16" s="1">
        <v>27824001</v>
      </c>
      <c r="BA16" s="1">
        <v>14190241</v>
      </c>
      <c r="BB16" s="1"/>
      <c r="BC16" s="15">
        <v>2760877</v>
      </c>
      <c r="BD16" s="15">
        <v>5413485</v>
      </c>
      <c r="BE16" s="20">
        <v>27294527</v>
      </c>
      <c r="BF16" s="20">
        <v>27180118</v>
      </c>
      <c r="BG16" s="20">
        <v>94678248</v>
      </c>
      <c r="BH16" s="20">
        <v>91415749</v>
      </c>
      <c r="BI16" s="20">
        <v>248079264</v>
      </c>
      <c r="BJ16" s="44"/>
      <c r="BK16" s="44"/>
      <c r="BL16" s="5">
        <v>5663825402</v>
      </c>
      <c r="BM16" s="5">
        <v>4815740717</v>
      </c>
      <c r="BN16" s="15">
        <v>2840814</v>
      </c>
      <c r="BO16" s="3"/>
      <c r="BP16" s="1"/>
      <c r="BQ16" s="1"/>
      <c r="BR16" s="5"/>
      <c r="BS16" s="5"/>
      <c r="BT16" s="5"/>
    </row>
    <row r="17" spans="1:72" x14ac:dyDescent="0.25">
      <c r="A17" s="6" t="s">
        <v>71</v>
      </c>
      <c r="B17" s="40">
        <v>168932826</v>
      </c>
      <c r="C17" s="40">
        <v>107918698</v>
      </c>
      <c r="D17" s="40">
        <v>57594986</v>
      </c>
      <c r="E17" s="40">
        <v>0</v>
      </c>
      <c r="F17" s="40">
        <v>19691800</v>
      </c>
      <c r="G17" s="40">
        <v>8080050</v>
      </c>
      <c r="H17" s="40">
        <v>11076000</v>
      </c>
      <c r="I17" s="40">
        <v>2792350</v>
      </c>
      <c r="J17" s="40">
        <v>0</v>
      </c>
      <c r="K17" s="40">
        <v>0</v>
      </c>
      <c r="L17" s="40">
        <v>225037599</v>
      </c>
      <c r="M17" s="40">
        <v>65543578</v>
      </c>
      <c r="N17" s="40">
        <v>999</v>
      </c>
      <c r="O17" s="40">
        <v>381</v>
      </c>
      <c r="P17" s="40">
        <v>1270683</v>
      </c>
      <c r="Q17" s="40">
        <v>741100</v>
      </c>
      <c r="R17" s="40">
        <v>60700</v>
      </c>
      <c r="S17" s="40">
        <v>1099500</v>
      </c>
      <c r="T17" s="40">
        <v>81100</v>
      </c>
      <c r="U17" s="40">
        <v>2982100</v>
      </c>
      <c r="V17" s="40">
        <v>1270683</v>
      </c>
      <c r="W17" s="40">
        <v>706100</v>
      </c>
      <c r="X17" s="40">
        <v>60700</v>
      </c>
      <c r="Y17" s="40">
        <v>1099500</v>
      </c>
      <c r="Z17" s="40">
        <v>79200</v>
      </c>
      <c r="AA17" s="40">
        <v>2982100</v>
      </c>
      <c r="AB17" s="40">
        <v>-1458334</v>
      </c>
      <c r="AC17" s="40">
        <v>0</v>
      </c>
      <c r="AD17" s="40">
        <v>147597</v>
      </c>
      <c r="AE17" s="40">
        <v>84020</v>
      </c>
      <c r="AF17" s="40">
        <v>20346719</v>
      </c>
      <c r="AG17" s="40">
        <v>252087</v>
      </c>
      <c r="AH17" s="40">
        <v>625410</v>
      </c>
      <c r="AI17" s="40">
        <v>306615</v>
      </c>
      <c r="AJ17" s="57"/>
      <c r="AK17" s="1">
        <v>67922782</v>
      </c>
      <c r="AL17" s="1">
        <v>1946550</v>
      </c>
      <c r="AM17" s="40">
        <v>0</v>
      </c>
      <c r="AN17" s="40">
        <v>11256250</v>
      </c>
      <c r="AO17" s="40">
        <v>383369</v>
      </c>
      <c r="AP17" s="40">
        <v>34804498</v>
      </c>
      <c r="AQ17" s="40">
        <v>7873657</v>
      </c>
      <c r="AR17" s="40">
        <v>14755284</v>
      </c>
      <c r="AS17" s="40">
        <v>0</v>
      </c>
      <c r="AT17" s="40">
        <v>662470</v>
      </c>
      <c r="AU17" s="40">
        <v>0</v>
      </c>
      <c r="AV17" s="40">
        <v>0</v>
      </c>
      <c r="AW17" s="40">
        <v>0</v>
      </c>
      <c r="AX17" s="40">
        <v>0</v>
      </c>
      <c r="AY17" s="40">
        <v>32500</v>
      </c>
      <c r="AZ17" s="1">
        <v>4218404.21</v>
      </c>
      <c r="BA17" s="1">
        <v>2151386</v>
      </c>
      <c r="BB17" s="1"/>
      <c r="BC17" s="15">
        <v>0</v>
      </c>
      <c r="BD17" s="15">
        <v>0</v>
      </c>
      <c r="BE17" s="20">
        <v>2954625</v>
      </c>
      <c r="BF17" s="20">
        <v>2954625</v>
      </c>
      <c r="BG17" s="20">
        <v>21442548</v>
      </c>
      <c r="BH17" s="20">
        <v>21442548</v>
      </c>
      <c r="BI17" s="44"/>
      <c r="BJ17" s="44"/>
      <c r="BK17" s="44"/>
      <c r="BL17" s="5">
        <v>437369364</v>
      </c>
      <c r="BM17" s="5">
        <v>340951473</v>
      </c>
      <c r="BN17" s="15">
        <v>961600</v>
      </c>
      <c r="BO17" s="3"/>
      <c r="BP17" s="1"/>
      <c r="BQ17" s="1"/>
      <c r="BR17" s="5"/>
      <c r="BS17" s="5"/>
      <c r="BT17" s="5"/>
    </row>
    <row r="18" spans="1:72" x14ac:dyDescent="0.25">
      <c r="A18" s="6" t="s">
        <v>72</v>
      </c>
      <c r="B18" s="40">
        <v>208873277</v>
      </c>
      <c r="C18" s="40">
        <v>101039010</v>
      </c>
      <c r="D18" s="40">
        <v>69378460</v>
      </c>
      <c r="E18" s="40">
        <v>8744517</v>
      </c>
      <c r="F18" s="40">
        <v>35924789</v>
      </c>
      <c r="G18" s="40">
        <v>7036890</v>
      </c>
      <c r="H18" s="40">
        <v>9200735</v>
      </c>
      <c r="I18" s="40">
        <v>1624529</v>
      </c>
      <c r="J18" s="40">
        <v>68000</v>
      </c>
      <c r="K18" s="40">
        <v>40000</v>
      </c>
      <c r="L18" s="40">
        <v>176225423</v>
      </c>
      <c r="M18" s="40">
        <v>55081497</v>
      </c>
      <c r="N18" s="40">
        <v>1391</v>
      </c>
      <c r="O18" s="40">
        <v>291</v>
      </c>
      <c r="P18" s="40">
        <v>1922495</v>
      </c>
      <c r="Q18" s="40">
        <v>1183809</v>
      </c>
      <c r="R18" s="40">
        <v>75000</v>
      </c>
      <c r="S18" s="40">
        <v>1940494</v>
      </c>
      <c r="T18" s="40">
        <v>133645</v>
      </c>
      <c r="U18" s="40">
        <v>3548043</v>
      </c>
      <c r="V18" s="40">
        <v>1922495</v>
      </c>
      <c r="W18" s="40">
        <v>1318283</v>
      </c>
      <c r="X18" s="40">
        <v>75000</v>
      </c>
      <c r="Y18" s="40">
        <v>1940494</v>
      </c>
      <c r="Z18" s="40">
        <v>523493</v>
      </c>
      <c r="AA18" s="40">
        <v>3548043</v>
      </c>
      <c r="AB18" s="40">
        <v>-1859624</v>
      </c>
      <c r="AC18" s="40">
        <v>-1116725</v>
      </c>
      <c r="AD18" s="40">
        <v>25089</v>
      </c>
      <c r="AE18" s="40">
        <v>47075</v>
      </c>
      <c r="AF18" s="40">
        <v>26771172</v>
      </c>
      <c r="AG18" s="40">
        <v>199799</v>
      </c>
      <c r="AH18" s="40">
        <v>247311</v>
      </c>
      <c r="AI18" s="40">
        <v>3042459</v>
      </c>
      <c r="AJ18" s="58"/>
      <c r="AK18" s="1">
        <v>78730766</v>
      </c>
      <c r="AL18" s="1">
        <v>2276799</v>
      </c>
      <c r="AM18" s="40">
        <v>0</v>
      </c>
      <c r="AN18" s="40">
        <v>19547971</v>
      </c>
      <c r="AO18" s="40">
        <v>3153093</v>
      </c>
      <c r="AP18" s="40">
        <v>79324608</v>
      </c>
      <c r="AQ18" s="40">
        <v>28245795</v>
      </c>
      <c r="AR18" s="40">
        <v>25349659</v>
      </c>
      <c r="AS18" s="40">
        <v>5406387</v>
      </c>
      <c r="AT18" s="40">
        <v>4544</v>
      </c>
      <c r="AU18" s="40">
        <v>0</v>
      </c>
      <c r="AV18" s="40">
        <v>1124133</v>
      </c>
      <c r="AW18" s="40">
        <v>0</v>
      </c>
      <c r="AX18" s="40">
        <v>14306</v>
      </c>
      <c r="AY18" s="40">
        <v>633000</v>
      </c>
      <c r="AZ18" s="1">
        <v>4889643.58</v>
      </c>
      <c r="BA18" s="1">
        <v>2493718</v>
      </c>
      <c r="BB18" s="1"/>
      <c r="BC18" s="15">
        <v>1458377</v>
      </c>
      <c r="BD18" s="15">
        <v>2859563</v>
      </c>
      <c r="BE18" s="20">
        <v>16656377</v>
      </c>
      <c r="BF18" s="20">
        <v>13092422</v>
      </c>
      <c r="BG18" s="20">
        <v>22383223</v>
      </c>
      <c r="BH18" s="20">
        <v>20815180</v>
      </c>
      <c r="BI18" s="44"/>
      <c r="BJ18" s="44">
        <v>5598035</v>
      </c>
      <c r="BK18" s="44"/>
      <c r="BL18" s="5">
        <v>557992673</v>
      </c>
      <c r="BM18" s="5">
        <v>433527376</v>
      </c>
      <c r="BN18" s="15">
        <v>399000</v>
      </c>
      <c r="BO18" s="3"/>
      <c r="BP18" s="1"/>
      <c r="BQ18" s="1"/>
      <c r="BR18" s="5"/>
      <c r="BS18" s="5"/>
      <c r="BT18" s="5"/>
    </row>
    <row r="19" spans="1:72" x14ac:dyDescent="0.25">
      <c r="A19" s="6" t="s">
        <v>73</v>
      </c>
      <c r="B19" s="40">
        <v>1138238555</v>
      </c>
      <c r="C19" s="40">
        <v>219081897</v>
      </c>
      <c r="D19" s="40">
        <v>285394550</v>
      </c>
      <c r="E19" s="40">
        <v>0</v>
      </c>
      <c r="F19" s="40">
        <v>86673092</v>
      </c>
      <c r="G19" s="40">
        <v>10929268</v>
      </c>
      <c r="H19" s="40">
        <v>16066300</v>
      </c>
      <c r="I19" s="40">
        <v>1457500</v>
      </c>
      <c r="J19" s="40">
        <v>136000</v>
      </c>
      <c r="K19" s="40">
        <v>0</v>
      </c>
      <c r="L19" s="40">
        <v>390996791</v>
      </c>
      <c r="M19" s="40">
        <v>138585397</v>
      </c>
      <c r="N19" s="40">
        <v>3160</v>
      </c>
      <c r="O19" s="40">
        <v>416</v>
      </c>
      <c r="P19" s="40">
        <v>11760778</v>
      </c>
      <c r="Q19" s="40">
        <v>5521500</v>
      </c>
      <c r="R19" s="40">
        <v>765000</v>
      </c>
      <c r="S19" s="40">
        <v>3557673</v>
      </c>
      <c r="T19" s="40">
        <v>716000</v>
      </c>
      <c r="U19" s="40">
        <v>230072</v>
      </c>
      <c r="V19" s="40">
        <v>11760778</v>
      </c>
      <c r="W19" s="40">
        <v>5594761</v>
      </c>
      <c r="X19" s="40">
        <v>765000</v>
      </c>
      <c r="Y19" s="40">
        <v>3557673</v>
      </c>
      <c r="Z19" s="40">
        <v>1531236</v>
      </c>
      <c r="AA19" s="40">
        <v>230072</v>
      </c>
      <c r="AB19" s="40">
        <v>-5535174</v>
      </c>
      <c r="AC19" s="40">
        <v>-179545</v>
      </c>
      <c r="AD19" s="40">
        <v>66428</v>
      </c>
      <c r="AE19" s="40">
        <v>4681</v>
      </c>
      <c r="AF19" s="40">
        <v>2340250</v>
      </c>
      <c r="AG19" s="40">
        <v>204244</v>
      </c>
      <c r="AH19" s="3"/>
      <c r="AI19" s="40">
        <v>586885</v>
      </c>
      <c r="AJ19" s="58"/>
      <c r="AK19" s="1">
        <v>209983306</v>
      </c>
      <c r="AL19" s="1">
        <v>10092784</v>
      </c>
      <c r="AM19" s="40">
        <v>97050</v>
      </c>
      <c r="AN19" s="40">
        <v>58251839</v>
      </c>
      <c r="AO19" s="40">
        <v>4671767</v>
      </c>
      <c r="AP19" s="40">
        <v>117761030</v>
      </c>
      <c r="AQ19" s="40">
        <v>61355845</v>
      </c>
      <c r="AR19" s="40">
        <v>53170541</v>
      </c>
      <c r="AS19" s="40">
        <v>44913213</v>
      </c>
      <c r="AT19" s="40">
        <v>2134748</v>
      </c>
      <c r="AU19" s="40">
        <v>0</v>
      </c>
      <c r="AV19" s="40">
        <v>66514</v>
      </c>
      <c r="AW19" s="40">
        <v>471972</v>
      </c>
      <c r="AX19" s="40">
        <v>19771</v>
      </c>
      <c r="AY19" s="40">
        <v>3094828</v>
      </c>
      <c r="AZ19" s="1">
        <v>13041198.199999999</v>
      </c>
      <c r="BA19" s="1">
        <v>6651011</v>
      </c>
      <c r="BB19" s="1">
        <v>8235751</v>
      </c>
      <c r="BC19" s="15">
        <v>802504</v>
      </c>
      <c r="BD19" s="15">
        <v>1573537</v>
      </c>
      <c r="BE19" s="20">
        <v>2296341</v>
      </c>
      <c r="BF19" s="20">
        <v>2296341</v>
      </c>
      <c r="BG19" s="20">
        <v>47750857</v>
      </c>
      <c r="BH19" s="20">
        <v>47504940</v>
      </c>
      <c r="BI19" s="44"/>
      <c r="BJ19" s="44">
        <v>10866712</v>
      </c>
      <c r="BK19" s="44"/>
      <c r="BL19" s="5">
        <v>2055778936</v>
      </c>
      <c r="BM19" s="5">
        <v>1767581338</v>
      </c>
      <c r="BN19" s="15">
        <v>2866008</v>
      </c>
      <c r="BO19" s="3"/>
      <c r="BP19" s="1"/>
      <c r="BQ19" s="1"/>
      <c r="BR19" s="5"/>
      <c r="BS19" s="5"/>
      <c r="BT19" s="5"/>
    </row>
    <row r="20" spans="1:72" x14ac:dyDescent="0.25">
      <c r="A20" s="6" t="s">
        <v>74</v>
      </c>
      <c r="B20" s="40">
        <v>4076541483</v>
      </c>
      <c r="C20" s="40">
        <v>171073674</v>
      </c>
      <c r="D20" s="40">
        <v>1019992842</v>
      </c>
      <c r="E20" s="40">
        <v>0</v>
      </c>
      <c r="F20" s="40">
        <v>210547713</v>
      </c>
      <c r="G20" s="40">
        <v>15144653</v>
      </c>
      <c r="H20" s="40">
        <v>13235500</v>
      </c>
      <c r="I20" s="40">
        <v>544000</v>
      </c>
      <c r="J20" s="40">
        <v>641900</v>
      </c>
      <c r="K20" s="40">
        <v>68000</v>
      </c>
      <c r="L20" s="40">
        <v>281956193</v>
      </c>
      <c r="M20" s="40">
        <v>453029867</v>
      </c>
      <c r="N20" s="40">
        <v>6660</v>
      </c>
      <c r="O20" s="40">
        <v>477</v>
      </c>
      <c r="P20" s="40">
        <v>41370528</v>
      </c>
      <c r="Q20" s="40">
        <v>2606600</v>
      </c>
      <c r="R20" s="40">
        <v>2820870</v>
      </c>
      <c r="S20" s="40">
        <v>33875032</v>
      </c>
      <c r="T20" s="40">
        <v>1270750</v>
      </c>
      <c r="U20" s="40">
        <v>16876245</v>
      </c>
      <c r="V20" s="40">
        <v>41370528</v>
      </c>
      <c r="W20" s="40">
        <v>2606600</v>
      </c>
      <c r="X20" s="40">
        <v>2820870</v>
      </c>
      <c r="Y20" s="40">
        <v>33875032</v>
      </c>
      <c r="Z20" s="40">
        <v>1270750</v>
      </c>
      <c r="AA20" s="40">
        <v>16876245</v>
      </c>
      <c r="AB20" s="40">
        <v>-5364620</v>
      </c>
      <c r="AC20" s="40">
        <v>-788417</v>
      </c>
      <c r="AD20" s="40">
        <v>0</v>
      </c>
      <c r="AE20" s="40">
        <v>0</v>
      </c>
      <c r="AF20" s="40">
        <v>0</v>
      </c>
      <c r="AG20" s="40">
        <v>0</v>
      </c>
      <c r="AH20" s="40">
        <v>0</v>
      </c>
      <c r="AI20" s="3"/>
      <c r="AJ20" s="58"/>
      <c r="AK20" s="1">
        <v>490098517</v>
      </c>
      <c r="AL20" s="1">
        <v>9680353</v>
      </c>
      <c r="AM20" s="40">
        <v>1376218</v>
      </c>
      <c r="AN20" s="40">
        <v>149897266</v>
      </c>
      <c r="AO20" s="40">
        <v>9269866</v>
      </c>
      <c r="AP20" s="40">
        <v>255062076</v>
      </c>
      <c r="AQ20" s="40">
        <v>108395788</v>
      </c>
      <c r="AR20" s="40">
        <v>54914798</v>
      </c>
      <c r="AS20" s="40">
        <v>11149815</v>
      </c>
      <c r="AT20" s="40">
        <v>285896</v>
      </c>
      <c r="AU20" s="40">
        <v>0</v>
      </c>
      <c r="AV20" s="40">
        <v>0</v>
      </c>
      <c r="AW20" s="40">
        <v>31554</v>
      </c>
      <c r="AX20" s="40">
        <v>4340194</v>
      </c>
      <c r="AY20" s="40">
        <v>7995</v>
      </c>
      <c r="AZ20" s="1">
        <v>30438000.140000001</v>
      </c>
      <c r="BA20" s="1">
        <v>15523380</v>
      </c>
      <c r="BB20" s="1">
        <v>29419689</v>
      </c>
      <c r="BC20" s="15">
        <v>2033010</v>
      </c>
      <c r="BD20" s="15">
        <v>3986293</v>
      </c>
      <c r="BE20" s="20">
        <v>69418784</v>
      </c>
      <c r="BF20" s="20">
        <v>69418784</v>
      </c>
      <c r="BG20" s="20">
        <v>136436521</v>
      </c>
      <c r="BH20" s="20">
        <v>131158467</v>
      </c>
      <c r="BI20" s="44"/>
      <c r="BJ20" s="44"/>
      <c r="BK20" s="44"/>
      <c r="BL20" s="5">
        <v>6253083430</v>
      </c>
      <c r="BM20" s="5">
        <v>5535170919</v>
      </c>
      <c r="BN20" s="15">
        <v>7527110</v>
      </c>
      <c r="BO20" s="3"/>
      <c r="BP20" s="1"/>
      <c r="BQ20" s="1"/>
      <c r="BR20" s="5"/>
      <c r="BS20" s="5"/>
      <c r="BT20" s="5"/>
    </row>
    <row r="21" spans="1:72" x14ac:dyDescent="0.25">
      <c r="A21" s="6" t="s">
        <v>75</v>
      </c>
      <c r="B21" s="40">
        <v>72065686</v>
      </c>
      <c r="C21" s="40">
        <v>61951477</v>
      </c>
      <c r="D21" s="40">
        <v>15528927</v>
      </c>
      <c r="E21" s="40">
        <v>0</v>
      </c>
      <c r="F21" s="40">
        <v>11554595</v>
      </c>
      <c r="G21" s="40">
        <v>3973025</v>
      </c>
      <c r="H21" s="40">
        <v>5284897</v>
      </c>
      <c r="I21" s="40">
        <v>833200</v>
      </c>
      <c r="J21" s="40">
        <v>0</v>
      </c>
      <c r="K21" s="40">
        <v>0</v>
      </c>
      <c r="L21" s="40">
        <v>119784619</v>
      </c>
      <c r="M21" s="40">
        <v>26687526</v>
      </c>
      <c r="N21" s="40">
        <v>557</v>
      </c>
      <c r="O21" s="40">
        <v>177</v>
      </c>
      <c r="P21" s="40">
        <v>4856043</v>
      </c>
      <c r="Q21" s="40">
        <v>5567031</v>
      </c>
      <c r="R21" s="40">
        <v>438200</v>
      </c>
      <c r="S21" s="40">
        <v>970488</v>
      </c>
      <c r="T21" s="40">
        <v>819171</v>
      </c>
      <c r="U21" s="40">
        <v>194208</v>
      </c>
      <c r="V21" s="40">
        <v>4856043</v>
      </c>
      <c r="W21" s="40">
        <v>26338307</v>
      </c>
      <c r="X21" s="40">
        <v>438200</v>
      </c>
      <c r="Y21" s="40">
        <v>970488</v>
      </c>
      <c r="Z21" s="40">
        <v>2243749</v>
      </c>
      <c r="AA21" s="40">
        <v>194208</v>
      </c>
      <c r="AB21" s="40">
        <v>-1170078</v>
      </c>
      <c r="AC21" s="40">
        <v>-48578</v>
      </c>
      <c r="AD21" s="40">
        <v>27552</v>
      </c>
      <c r="AE21" s="40">
        <v>69504</v>
      </c>
      <c r="AF21" s="40">
        <v>15619593</v>
      </c>
      <c r="AG21" s="40">
        <v>23736</v>
      </c>
      <c r="AH21" s="3"/>
      <c r="AI21" s="40">
        <v>53475</v>
      </c>
      <c r="AJ21" s="3"/>
      <c r="AK21" s="1">
        <v>34467612</v>
      </c>
      <c r="AL21" s="1">
        <v>1118614</v>
      </c>
      <c r="AM21" s="40">
        <v>0</v>
      </c>
      <c r="AN21" s="40">
        <v>4720650</v>
      </c>
      <c r="AO21" s="40">
        <v>14650</v>
      </c>
      <c r="AP21" s="40">
        <v>196222</v>
      </c>
      <c r="AQ21" s="40">
        <v>934877</v>
      </c>
      <c r="AR21" s="40">
        <v>233354</v>
      </c>
      <c r="AS21" s="40">
        <v>0</v>
      </c>
      <c r="AT21" s="40">
        <v>305112</v>
      </c>
      <c r="AU21" s="40">
        <v>0</v>
      </c>
      <c r="AV21" s="40">
        <v>0</v>
      </c>
      <c r="AW21" s="40">
        <v>0</v>
      </c>
      <c r="AX21" s="40">
        <v>1176304</v>
      </c>
      <c r="AY21" s="40">
        <v>0</v>
      </c>
      <c r="AZ21" s="1">
        <v>2140641.41</v>
      </c>
      <c r="BA21" s="1">
        <v>1091727</v>
      </c>
      <c r="BB21" s="1">
        <v>11010362.689999999</v>
      </c>
      <c r="BC21" s="15">
        <v>812411</v>
      </c>
      <c r="BD21" s="15">
        <v>1592963</v>
      </c>
      <c r="BE21" s="20">
        <v>9461658</v>
      </c>
      <c r="BF21" s="20">
        <v>9461658</v>
      </c>
      <c r="BG21" s="20">
        <v>19729146</v>
      </c>
      <c r="BH21" s="20">
        <v>17088232</v>
      </c>
      <c r="BI21" s="44"/>
      <c r="BJ21" s="44"/>
      <c r="BK21" s="44"/>
      <c r="BL21" s="5">
        <v>219309996</v>
      </c>
      <c r="BM21" s="5">
        <v>155269742</v>
      </c>
      <c r="BN21" s="15">
        <v>277450</v>
      </c>
      <c r="BO21" s="3"/>
      <c r="BP21" s="1"/>
      <c r="BQ21" s="1"/>
      <c r="BR21" s="5"/>
      <c r="BS21" s="5"/>
      <c r="BT21" s="5"/>
    </row>
    <row r="22" spans="1:72" x14ac:dyDescent="0.25">
      <c r="A22" s="6" t="s">
        <v>76</v>
      </c>
      <c r="B22" s="40">
        <v>227668690</v>
      </c>
      <c r="C22" s="40">
        <v>58843450</v>
      </c>
      <c r="D22" s="40">
        <v>189842024</v>
      </c>
      <c r="E22" s="40">
        <v>961311348</v>
      </c>
      <c r="F22" s="40">
        <v>20575700</v>
      </c>
      <c r="G22" s="40">
        <v>3266600</v>
      </c>
      <c r="H22" s="40">
        <v>4365300</v>
      </c>
      <c r="I22" s="40">
        <v>510000</v>
      </c>
      <c r="J22" s="40">
        <v>131500</v>
      </c>
      <c r="K22" s="40">
        <v>0</v>
      </c>
      <c r="L22" s="40">
        <v>128367390</v>
      </c>
      <c r="M22" s="40">
        <v>42078500</v>
      </c>
      <c r="N22" s="40">
        <v>772</v>
      </c>
      <c r="O22" s="40">
        <v>123</v>
      </c>
      <c r="P22" s="40">
        <v>1678000</v>
      </c>
      <c r="Q22" s="40">
        <v>1231300</v>
      </c>
      <c r="R22" s="40">
        <v>310000</v>
      </c>
      <c r="S22" s="40">
        <v>2023800</v>
      </c>
      <c r="T22" s="40">
        <v>312300</v>
      </c>
      <c r="U22" s="40">
        <v>2388118</v>
      </c>
      <c r="V22" s="40">
        <v>1678000</v>
      </c>
      <c r="W22" s="40">
        <v>1356800</v>
      </c>
      <c r="X22" s="40">
        <v>310000</v>
      </c>
      <c r="Y22" s="40">
        <v>2023800</v>
      </c>
      <c r="Z22" s="40">
        <v>526400</v>
      </c>
      <c r="AA22" s="40">
        <v>2388118</v>
      </c>
      <c r="AB22" s="40">
        <v>-703418</v>
      </c>
      <c r="AC22" s="40">
        <v>0</v>
      </c>
      <c r="AD22" s="40">
        <v>22761</v>
      </c>
      <c r="AE22" s="40">
        <v>0</v>
      </c>
      <c r="AF22" s="40">
        <v>0</v>
      </c>
      <c r="AG22" s="40">
        <v>64987</v>
      </c>
      <c r="AH22" s="3"/>
      <c r="AI22" s="40">
        <v>643598</v>
      </c>
      <c r="AJ22" s="3"/>
      <c r="AK22" s="1">
        <v>56963807</v>
      </c>
      <c r="AL22" s="1">
        <v>2141364</v>
      </c>
      <c r="AM22" s="40">
        <v>0</v>
      </c>
      <c r="AN22" s="40">
        <v>37143324</v>
      </c>
      <c r="AO22" s="40">
        <v>70363412</v>
      </c>
      <c r="AP22" s="40">
        <v>339441211</v>
      </c>
      <c r="AQ22" s="40">
        <v>37365794</v>
      </c>
      <c r="AR22" s="40">
        <v>306330927</v>
      </c>
      <c r="AS22" s="40">
        <v>83721268</v>
      </c>
      <c r="AT22" s="40">
        <v>0</v>
      </c>
      <c r="AU22" s="40">
        <v>1673</v>
      </c>
      <c r="AV22" s="40">
        <v>0</v>
      </c>
      <c r="AW22" s="40">
        <v>0</v>
      </c>
      <c r="AX22" s="40">
        <v>0</v>
      </c>
      <c r="AY22" s="40">
        <v>15000</v>
      </c>
      <c r="AZ22" s="1">
        <v>3537787.42</v>
      </c>
      <c r="BA22" s="1">
        <v>1804272</v>
      </c>
      <c r="BB22" s="1">
        <v>20060880.829999998</v>
      </c>
      <c r="BC22" s="15">
        <v>2105664</v>
      </c>
      <c r="BD22" s="15">
        <v>4128753</v>
      </c>
      <c r="BE22" s="20">
        <v>52689399</v>
      </c>
      <c r="BF22" s="20">
        <v>52689399</v>
      </c>
      <c r="BG22" s="20">
        <v>34994933</v>
      </c>
      <c r="BH22" s="20">
        <v>33322920</v>
      </c>
      <c r="BI22" s="44"/>
      <c r="BJ22" s="44"/>
      <c r="BK22" s="44"/>
      <c r="BL22" s="5">
        <v>770897718</v>
      </c>
      <c r="BM22" s="5">
        <v>621870292</v>
      </c>
      <c r="BN22" s="15">
        <v>741252</v>
      </c>
      <c r="BO22" s="3"/>
      <c r="BP22" s="1"/>
      <c r="BQ22" s="1"/>
      <c r="BR22" s="5"/>
      <c r="BS22" s="5"/>
      <c r="BT22" s="5"/>
    </row>
    <row r="23" spans="1:72" x14ac:dyDescent="0.25">
      <c r="A23" s="6" t="s">
        <v>77</v>
      </c>
      <c r="B23" s="40">
        <v>369099151</v>
      </c>
      <c r="C23" s="40">
        <v>123012961</v>
      </c>
      <c r="D23" s="40">
        <v>136922697</v>
      </c>
      <c r="E23" s="40">
        <v>0</v>
      </c>
      <c r="F23" s="40">
        <v>41885820</v>
      </c>
      <c r="G23" s="40">
        <v>26888900</v>
      </c>
      <c r="H23" s="40">
        <v>17870200</v>
      </c>
      <c r="I23" s="40">
        <v>6881750</v>
      </c>
      <c r="J23" s="40">
        <v>102000</v>
      </c>
      <c r="K23" s="40">
        <v>88000</v>
      </c>
      <c r="L23" s="40">
        <v>55984822</v>
      </c>
      <c r="M23" s="40">
        <v>38609500</v>
      </c>
      <c r="N23" s="40">
        <v>2121</v>
      </c>
      <c r="O23" s="40">
        <v>1275</v>
      </c>
      <c r="P23" s="40">
        <v>3081600</v>
      </c>
      <c r="Q23" s="40">
        <v>904800</v>
      </c>
      <c r="R23" s="40">
        <v>212000</v>
      </c>
      <c r="S23" s="40">
        <v>1898880</v>
      </c>
      <c r="T23" s="40">
        <v>162200</v>
      </c>
      <c r="U23" s="40">
        <v>498050</v>
      </c>
      <c r="V23" s="40">
        <v>3081600</v>
      </c>
      <c r="W23" s="40">
        <v>714800</v>
      </c>
      <c r="X23" s="40">
        <v>212000</v>
      </c>
      <c r="Y23" s="40">
        <v>1898880</v>
      </c>
      <c r="Z23" s="40">
        <v>146900</v>
      </c>
      <c r="AA23" s="40">
        <v>498050</v>
      </c>
      <c r="AB23" s="40">
        <v>-9766167</v>
      </c>
      <c r="AC23" s="40">
        <v>-55374</v>
      </c>
      <c r="AD23" s="40">
        <v>144632</v>
      </c>
      <c r="AE23" s="40">
        <v>0</v>
      </c>
      <c r="AF23" s="40">
        <v>0</v>
      </c>
      <c r="AG23" s="40">
        <v>220675</v>
      </c>
      <c r="AH23" s="3"/>
      <c r="AI23" s="40">
        <v>1428672</v>
      </c>
      <c r="AJ23" s="40">
        <v>56000</v>
      </c>
      <c r="AK23" s="1">
        <v>150399966</v>
      </c>
      <c r="AL23" s="1">
        <v>4526151</v>
      </c>
      <c r="AM23" s="40">
        <v>211500</v>
      </c>
      <c r="AN23" s="40">
        <v>16595901</v>
      </c>
      <c r="AO23" s="40">
        <v>869715</v>
      </c>
      <c r="AP23" s="40">
        <v>28953551</v>
      </c>
      <c r="AQ23" s="40">
        <v>22868538</v>
      </c>
      <c r="AR23" s="40">
        <v>5791538</v>
      </c>
      <c r="AS23" s="40">
        <v>0</v>
      </c>
      <c r="AT23" s="40">
        <v>823734</v>
      </c>
      <c r="AU23" s="40">
        <v>0</v>
      </c>
      <c r="AV23" s="40">
        <v>0</v>
      </c>
      <c r="AW23" s="40">
        <v>0</v>
      </c>
      <c r="AX23" s="40">
        <v>614754</v>
      </c>
      <c r="AY23" s="40">
        <v>54000</v>
      </c>
      <c r="AZ23" s="1">
        <v>9340722.3800000008</v>
      </c>
      <c r="BA23" s="1">
        <v>4763768</v>
      </c>
      <c r="BB23" s="1"/>
      <c r="BC23" s="15">
        <v>0</v>
      </c>
      <c r="BD23" s="15">
        <v>0</v>
      </c>
      <c r="BE23" s="20">
        <v>26014258</v>
      </c>
      <c r="BF23" s="20">
        <v>26014258</v>
      </c>
      <c r="BG23" s="20">
        <v>46503566</v>
      </c>
      <c r="BH23" s="20">
        <v>45707410</v>
      </c>
      <c r="BI23" s="44"/>
      <c r="BJ23" s="44"/>
      <c r="BK23" s="44"/>
      <c r="BL23" s="5">
        <v>902265188</v>
      </c>
      <c r="BM23" s="5">
        <v>670853635</v>
      </c>
      <c r="BN23" s="15">
        <v>14825291</v>
      </c>
      <c r="BO23" s="3"/>
      <c r="BP23" s="1"/>
      <c r="BQ23" s="1"/>
      <c r="BR23" s="5"/>
      <c r="BS23" s="5"/>
      <c r="BT23" s="5"/>
    </row>
    <row r="24" spans="1:72" x14ac:dyDescent="0.25">
      <c r="A24" s="6" t="s">
        <v>78</v>
      </c>
      <c r="B24" s="40">
        <v>211193099</v>
      </c>
      <c r="C24" s="40">
        <v>162364100</v>
      </c>
      <c r="D24" s="40">
        <v>57722950</v>
      </c>
      <c r="E24" s="40">
        <v>0</v>
      </c>
      <c r="F24" s="40">
        <v>33736100</v>
      </c>
      <c r="G24" s="40">
        <v>10349200</v>
      </c>
      <c r="H24" s="40">
        <v>19421100</v>
      </c>
      <c r="I24" s="40">
        <v>3124300</v>
      </c>
      <c r="J24" s="40">
        <v>0</v>
      </c>
      <c r="K24" s="40">
        <v>0</v>
      </c>
      <c r="L24" s="40">
        <v>278373520</v>
      </c>
      <c r="M24" s="40">
        <v>95794420</v>
      </c>
      <c r="N24" s="40">
        <v>1563</v>
      </c>
      <c r="O24" s="40">
        <v>396</v>
      </c>
      <c r="P24" s="40">
        <v>3308500</v>
      </c>
      <c r="Q24" s="40">
        <v>1837000</v>
      </c>
      <c r="R24" s="40">
        <v>67000</v>
      </c>
      <c r="S24" s="40">
        <v>372500</v>
      </c>
      <c r="T24" s="40">
        <v>208000</v>
      </c>
      <c r="U24" s="40">
        <v>68000</v>
      </c>
      <c r="V24" s="40">
        <v>3308500</v>
      </c>
      <c r="W24" s="40">
        <v>1954500</v>
      </c>
      <c r="X24" s="40">
        <v>67000</v>
      </c>
      <c r="Y24" s="40">
        <v>372500</v>
      </c>
      <c r="Z24" s="40">
        <v>460000</v>
      </c>
      <c r="AA24" s="40">
        <v>68000</v>
      </c>
      <c r="AB24" s="40">
        <v>-2609700</v>
      </c>
      <c r="AC24" s="40">
        <v>-70038</v>
      </c>
      <c r="AD24" s="40">
        <v>147672</v>
      </c>
      <c r="AE24" s="40">
        <v>0</v>
      </c>
      <c r="AF24" s="40">
        <v>0</v>
      </c>
      <c r="AG24" s="40">
        <v>261766</v>
      </c>
      <c r="AH24" s="40">
        <v>17320</v>
      </c>
      <c r="AI24" s="40">
        <v>173418</v>
      </c>
      <c r="AJ24" s="3"/>
      <c r="AK24" s="1">
        <v>73719181</v>
      </c>
      <c r="AL24" s="1">
        <v>2041223</v>
      </c>
      <c r="AM24" s="40">
        <v>0</v>
      </c>
      <c r="AN24" s="40">
        <v>7838252</v>
      </c>
      <c r="AO24" s="40">
        <v>44183</v>
      </c>
      <c r="AP24" s="40">
        <v>13967829</v>
      </c>
      <c r="AQ24" s="40">
        <v>9814723</v>
      </c>
      <c r="AR24" s="40">
        <v>8106082</v>
      </c>
      <c r="AS24" s="40">
        <v>0</v>
      </c>
      <c r="AT24" s="40">
        <v>0</v>
      </c>
      <c r="AU24" s="40">
        <v>0</v>
      </c>
      <c r="AV24" s="40">
        <v>0</v>
      </c>
      <c r="AW24" s="40">
        <v>0</v>
      </c>
      <c r="AX24" s="40">
        <v>0</v>
      </c>
      <c r="AY24" s="40">
        <v>0</v>
      </c>
      <c r="AZ24" s="1">
        <v>4578394.68</v>
      </c>
      <c r="BA24" s="1">
        <v>2334981</v>
      </c>
      <c r="BB24" s="1"/>
      <c r="BC24" s="15">
        <v>0</v>
      </c>
      <c r="BD24" s="15">
        <v>0</v>
      </c>
      <c r="BE24" s="20">
        <v>16379740</v>
      </c>
      <c r="BF24" s="20">
        <v>16379740</v>
      </c>
      <c r="BG24" s="20">
        <v>40155535</v>
      </c>
      <c r="BH24" s="20">
        <v>40129670</v>
      </c>
      <c r="BI24" s="44"/>
      <c r="BJ24" s="44"/>
      <c r="BK24" s="44"/>
      <c r="BL24" s="5">
        <v>583772840</v>
      </c>
      <c r="BM24" s="5">
        <v>449168045</v>
      </c>
      <c r="BN24" s="15">
        <v>646000</v>
      </c>
      <c r="BO24" s="3"/>
      <c r="BP24" s="1"/>
      <c r="BQ24" s="1"/>
      <c r="BR24" s="5"/>
      <c r="BS24" s="5"/>
      <c r="BT24" s="5"/>
    </row>
    <row r="25" spans="1:72" x14ac:dyDescent="0.25">
      <c r="A25" s="6" t="s">
        <v>79</v>
      </c>
      <c r="B25" s="40">
        <v>1556757151</v>
      </c>
      <c r="C25" s="40">
        <v>307237086</v>
      </c>
      <c r="D25" s="40">
        <v>633912294</v>
      </c>
      <c r="E25" s="40">
        <v>26976952</v>
      </c>
      <c r="F25" s="40">
        <v>99233951</v>
      </c>
      <c r="G25" s="40">
        <v>13565565</v>
      </c>
      <c r="H25" s="40">
        <v>15192663</v>
      </c>
      <c r="I25" s="40">
        <v>1244171</v>
      </c>
      <c r="J25" s="40">
        <v>102000</v>
      </c>
      <c r="K25" s="40">
        <v>0</v>
      </c>
      <c r="L25" s="40">
        <v>1066795379</v>
      </c>
      <c r="M25" s="40">
        <v>183770309</v>
      </c>
      <c r="N25" s="40">
        <v>3528</v>
      </c>
      <c r="O25" s="40">
        <v>480</v>
      </c>
      <c r="P25" s="40">
        <v>24886143</v>
      </c>
      <c r="Q25" s="40">
        <v>7886316</v>
      </c>
      <c r="R25" s="40">
        <v>4872839</v>
      </c>
      <c r="S25" s="40">
        <v>8044940</v>
      </c>
      <c r="T25" s="40">
        <v>4218132</v>
      </c>
      <c r="U25" s="40">
        <v>5865772</v>
      </c>
      <c r="V25" s="40">
        <v>24886143</v>
      </c>
      <c r="W25" s="40">
        <v>8734575</v>
      </c>
      <c r="X25" s="40">
        <v>4872839</v>
      </c>
      <c r="Y25" s="40">
        <v>8044940</v>
      </c>
      <c r="Z25" s="40">
        <v>4194408</v>
      </c>
      <c r="AA25" s="40">
        <v>5865772</v>
      </c>
      <c r="AB25" s="40">
        <v>-3621623</v>
      </c>
      <c r="AC25" s="40">
        <v>-385163</v>
      </c>
      <c r="AD25" s="40">
        <v>45841</v>
      </c>
      <c r="AE25" s="40">
        <v>2835</v>
      </c>
      <c r="AF25" s="40">
        <v>180944292</v>
      </c>
      <c r="AG25" s="40">
        <v>407955</v>
      </c>
      <c r="AH25" s="40">
        <v>1686787</v>
      </c>
      <c r="AI25" s="40">
        <v>3722484</v>
      </c>
      <c r="AJ25" s="3"/>
      <c r="AK25" s="1">
        <v>288064674</v>
      </c>
      <c r="AL25" s="1">
        <v>8324488</v>
      </c>
      <c r="AM25" s="40">
        <v>20000</v>
      </c>
      <c r="AN25" s="40">
        <v>116061368</v>
      </c>
      <c r="AO25" s="40">
        <v>16470100</v>
      </c>
      <c r="AP25" s="40">
        <v>378969932</v>
      </c>
      <c r="AQ25" s="40">
        <v>150732778</v>
      </c>
      <c r="AR25" s="40">
        <v>133770797</v>
      </c>
      <c r="AS25" s="40">
        <v>46804900</v>
      </c>
      <c r="AT25" s="40">
        <v>2274268</v>
      </c>
      <c r="AU25" s="40">
        <v>16801813</v>
      </c>
      <c r="AV25" s="40">
        <v>131562</v>
      </c>
      <c r="AW25" s="40">
        <v>206658155</v>
      </c>
      <c r="AX25" s="40">
        <v>1316918</v>
      </c>
      <c r="AY25" s="40">
        <v>1081387</v>
      </c>
      <c r="AZ25" s="1">
        <v>17890510.350000001</v>
      </c>
      <c r="BA25" s="1">
        <v>9124160</v>
      </c>
      <c r="BB25" s="1"/>
      <c r="BC25" s="15">
        <v>2224554</v>
      </c>
      <c r="BD25" s="15">
        <v>4361870</v>
      </c>
      <c r="BE25" s="20">
        <v>20390087</v>
      </c>
      <c r="BF25" s="20">
        <v>20390087</v>
      </c>
      <c r="BG25" s="20">
        <v>69032047</v>
      </c>
      <c r="BH25" s="20">
        <v>64733518</v>
      </c>
      <c r="BI25" s="44"/>
      <c r="BJ25" s="44">
        <v>16167592</v>
      </c>
      <c r="BK25" s="44"/>
      <c r="BL25" s="5">
        <v>3195609121</v>
      </c>
      <c r="BM25" s="5">
        <v>2786580048</v>
      </c>
      <c r="BN25" s="15">
        <v>4808463</v>
      </c>
      <c r="BO25" s="3"/>
      <c r="BP25" s="1"/>
      <c r="BQ25" s="1"/>
      <c r="BR25" s="5"/>
      <c r="BS25" s="5"/>
      <c r="BT25" s="5"/>
    </row>
    <row r="26" spans="1:72" x14ac:dyDescent="0.25">
      <c r="A26" s="6" t="s">
        <v>80</v>
      </c>
      <c r="B26" s="40">
        <v>1404817820</v>
      </c>
      <c r="C26" s="40">
        <v>236572500</v>
      </c>
      <c r="D26" s="40">
        <v>467598100</v>
      </c>
      <c r="E26" s="40">
        <v>0</v>
      </c>
      <c r="F26" s="40">
        <v>79207700</v>
      </c>
      <c r="G26" s="40">
        <v>13882500</v>
      </c>
      <c r="H26" s="40">
        <v>11763900</v>
      </c>
      <c r="I26" s="40">
        <v>2172700</v>
      </c>
      <c r="J26" s="40">
        <v>102000</v>
      </c>
      <c r="K26" s="40">
        <v>34000</v>
      </c>
      <c r="L26" s="40">
        <v>468468900</v>
      </c>
      <c r="M26" s="40">
        <v>0</v>
      </c>
      <c r="N26" s="40">
        <v>2749</v>
      </c>
      <c r="O26" s="40">
        <v>496</v>
      </c>
      <c r="P26" s="40">
        <v>6326100</v>
      </c>
      <c r="Q26" s="40">
        <v>1247800</v>
      </c>
      <c r="R26" s="40">
        <v>6487400</v>
      </c>
      <c r="S26" s="40">
        <v>7951063</v>
      </c>
      <c r="T26" s="40">
        <v>2132600</v>
      </c>
      <c r="U26" s="40">
        <v>4465200</v>
      </c>
      <c r="V26" s="40">
        <v>6326100</v>
      </c>
      <c r="W26" s="40">
        <v>3405700</v>
      </c>
      <c r="X26" s="40">
        <v>6487400</v>
      </c>
      <c r="Y26" s="40">
        <v>7951063</v>
      </c>
      <c r="Z26" s="40">
        <v>3184400</v>
      </c>
      <c r="AA26" s="40">
        <v>4465200</v>
      </c>
      <c r="AB26" s="40">
        <v>-5475800</v>
      </c>
      <c r="AC26" s="40">
        <v>-5786428</v>
      </c>
      <c r="AD26" s="40">
        <v>0</v>
      </c>
      <c r="AE26" s="40">
        <v>0</v>
      </c>
      <c r="AF26" s="40">
        <v>0</v>
      </c>
      <c r="AG26" s="40">
        <v>101</v>
      </c>
      <c r="AH26" s="3"/>
      <c r="AI26" s="3"/>
      <c r="AJ26" s="3"/>
      <c r="AK26" s="1">
        <v>221862306</v>
      </c>
      <c r="AL26" s="1">
        <v>4903758</v>
      </c>
      <c r="AM26" s="40">
        <v>0</v>
      </c>
      <c r="AN26" s="40">
        <v>72871052</v>
      </c>
      <c r="AO26" s="40">
        <v>11549777</v>
      </c>
      <c r="AP26" s="40">
        <v>278489715</v>
      </c>
      <c r="AQ26" s="40">
        <v>100277362</v>
      </c>
      <c r="AR26" s="40">
        <v>131251257</v>
      </c>
      <c r="AS26" s="40">
        <v>23038800</v>
      </c>
      <c r="AT26" s="40">
        <v>565857</v>
      </c>
      <c r="AU26" s="40">
        <v>0</v>
      </c>
      <c r="AV26" s="40">
        <v>9822</v>
      </c>
      <c r="AW26" s="40">
        <v>2970364</v>
      </c>
      <c r="AX26" s="40">
        <v>652191</v>
      </c>
      <c r="AY26" s="40">
        <v>0</v>
      </c>
      <c r="AZ26" s="1">
        <v>13778953.960000001</v>
      </c>
      <c r="BA26" s="1">
        <v>7027267</v>
      </c>
      <c r="BB26" s="1"/>
      <c r="BC26" s="15">
        <v>3379763</v>
      </c>
      <c r="BD26" s="15">
        <v>6626986</v>
      </c>
      <c r="BE26" s="20">
        <v>58305997</v>
      </c>
      <c r="BF26" s="20">
        <v>58073529</v>
      </c>
      <c r="BG26" s="20">
        <v>114123387</v>
      </c>
      <c r="BH26" s="20">
        <v>110080312</v>
      </c>
      <c r="BI26" s="44"/>
      <c r="BJ26" s="44"/>
      <c r="BK26" s="44"/>
      <c r="BL26" s="5">
        <v>2699013546</v>
      </c>
      <c r="BM26" s="5">
        <v>2293686611</v>
      </c>
      <c r="BN26" s="15">
        <v>2206900</v>
      </c>
      <c r="BO26" s="3"/>
      <c r="BP26" s="1"/>
      <c r="BQ26" s="1"/>
      <c r="BR26" s="5"/>
      <c r="BS26" s="5"/>
      <c r="BT26" s="5"/>
    </row>
    <row r="27" spans="1:72" x14ac:dyDescent="0.25">
      <c r="A27" s="6" t="s">
        <v>81</v>
      </c>
      <c r="B27" s="40">
        <v>187355600</v>
      </c>
      <c r="C27" s="40">
        <v>66361000</v>
      </c>
      <c r="D27" s="40">
        <v>68756400</v>
      </c>
      <c r="E27" s="40">
        <v>0</v>
      </c>
      <c r="F27" s="40">
        <v>38763700</v>
      </c>
      <c r="G27" s="40">
        <v>26744400</v>
      </c>
      <c r="H27" s="40">
        <v>12730700</v>
      </c>
      <c r="I27" s="40">
        <v>4415100</v>
      </c>
      <c r="J27" s="40">
        <v>34000</v>
      </c>
      <c r="K27" s="40">
        <v>34000</v>
      </c>
      <c r="L27" s="40">
        <v>66456380</v>
      </c>
      <c r="M27" s="40">
        <v>45392950</v>
      </c>
      <c r="N27" s="40">
        <v>1654</v>
      </c>
      <c r="O27" s="40">
        <v>1133</v>
      </c>
      <c r="P27" s="40">
        <v>3049200</v>
      </c>
      <c r="Q27" s="40">
        <v>418000</v>
      </c>
      <c r="R27" s="40">
        <v>320000</v>
      </c>
      <c r="S27" s="40">
        <v>4403800</v>
      </c>
      <c r="T27" s="40">
        <v>682400</v>
      </c>
      <c r="U27" s="40">
        <v>1818800</v>
      </c>
      <c r="V27" s="40">
        <v>3049200</v>
      </c>
      <c r="W27" s="40">
        <v>418000</v>
      </c>
      <c r="X27" s="40">
        <v>320000</v>
      </c>
      <c r="Y27" s="40">
        <v>4403800</v>
      </c>
      <c r="Z27" s="40">
        <v>682400</v>
      </c>
      <c r="AA27" s="40">
        <v>1818800</v>
      </c>
      <c r="AB27" s="40">
        <v>-3017000</v>
      </c>
      <c r="AC27" s="40">
        <v>-55027</v>
      </c>
      <c r="AD27" s="40">
        <v>183781</v>
      </c>
      <c r="AE27" s="40">
        <v>0</v>
      </c>
      <c r="AF27" s="40">
        <v>0</v>
      </c>
      <c r="AG27" s="40">
        <v>200810</v>
      </c>
      <c r="AH27" s="40">
        <v>1860533</v>
      </c>
      <c r="AI27" s="40">
        <v>27915402</v>
      </c>
      <c r="AJ27" s="40">
        <v>3272320</v>
      </c>
      <c r="AK27" s="1">
        <v>94185421</v>
      </c>
      <c r="AL27" s="1">
        <v>2338251</v>
      </c>
      <c r="AM27" s="40">
        <v>0</v>
      </c>
      <c r="AN27" s="40">
        <v>26905498</v>
      </c>
      <c r="AO27" s="40">
        <v>57934</v>
      </c>
      <c r="AP27" s="40">
        <v>6331201</v>
      </c>
      <c r="AQ27" s="40">
        <v>14165910</v>
      </c>
      <c r="AR27" s="40">
        <v>961523</v>
      </c>
      <c r="AS27" s="40">
        <v>0</v>
      </c>
      <c r="AT27" s="40">
        <v>168354</v>
      </c>
      <c r="AU27" s="40">
        <v>0</v>
      </c>
      <c r="AV27" s="40">
        <v>0</v>
      </c>
      <c r="AW27" s="40">
        <v>0</v>
      </c>
      <c r="AX27" s="40">
        <v>0</v>
      </c>
      <c r="AY27" s="40">
        <v>0</v>
      </c>
      <c r="AZ27" s="1">
        <v>5849468.54</v>
      </c>
      <c r="BA27" s="1">
        <v>2983229</v>
      </c>
      <c r="BB27" s="1"/>
      <c r="BC27" s="15">
        <v>899597</v>
      </c>
      <c r="BD27" s="15">
        <v>1763915</v>
      </c>
      <c r="BE27" s="20">
        <v>11313990</v>
      </c>
      <c r="BF27" s="20">
        <v>11313990</v>
      </c>
      <c r="BG27" s="20">
        <v>39485568</v>
      </c>
      <c r="BH27" s="20">
        <v>38855512</v>
      </c>
      <c r="BI27" s="44"/>
      <c r="BJ27" s="44"/>
      <c r="BK27" s="44"/>
      <c r="BL27" s="5">
        <v>547226597</v>
      </c>
      <c r="BM27" s="5">
        <v>396650597</v>
      </c>
      <c r="BN27" s="15">
        <v>504700</v>
      </c>
      <c r="BO27" s="3"/>
      <c r="BP27" s="1"/>
      <c r="BQ27" s="1"/>
      <c r="BR27" s="5"/>
      <c r="BS27" s="5"/>
      <c r="BT27" s="5"/>
    </row>
    <row r="28" spans="1:72" x14ac:dyDescent="0.25">
      <c r="A28" s="6" t="s">
        <v>82</v>
      </c>
      <c r="B28" s="40">
        <v>194833042</v>
      </c>
      <c r="C28" s="40">
        <v>70868002</v>
      </c>
      <c r="D28" s="40">
        <v>101076694</v>
      </c>
      <c r="E28" s="40">
        <v>0</v>
      </c>
      <c r="F28" s="40">
        <v>23875600</v>
      </c>
      <c r="G28" s="40">
        <v>10097200</v>
      </c>
      <c r="H28" s="40">
        <v>8811450</v>
      </c>
      <c r="I28" s="40">
        <v>1106050</v>
      </c>
      <c r="J28" s="40">
        <v>34000</v>
      </c>
      <c r="K28" s="40">
        <v>0</v>
      </c>
      <c r="L28" s="40">
        <v>136447566</v>
      </c>
      <c r="M28" s="40">
        <v>46079250</v>
      </c>
      <c r="N28" s="40">
        <v>1042</v>
      </c>
      <c r="O28" s="40">
        <v>376</v>
      </c>
      <c r="P28" s="40">
        <v>3655800</v>
      </c>
      <c r="Q28" s="40">
        <v>832165</v>
      </c>
      <c r="R28" s="40">
        <v>1102340</v>
      </c>
      <c r="S28" s="40">
        <v>5609721</v>
      </c>
      <c r="T28" s="40">
        <v>389276</v>
      </c>
      <c r="U28" s="40">
        <v>530000</v>
      </c>
      <c r="V28" s="40">
        <v>3655800</v>
      </c>
      <c r="W28" s="40">
        <v>1106500</v>
      </c>
      <c r="X28" s="40">
        <v>1102340</v>
      </c>
      <c r="Y28" s="40">
        <v>5609721</v>
      </c>
      <c r="Z28" s="40">
        <v>1111376</v>
      </c>
      <c r="AA28" s="40">
        <v>530000</v>
      </c>
      <c r="AB28" s="40">
        <v>-3121440</v>
      </c>
      <c r="AC28" s="40">
        <v>-240411</v>
      </c>
      <c r="AD28" s="40">
        <v>48245</v>
      </c>
      <c r="AE28" s="40">
        <v>0</v>
      </c>
      <c r="AF28" s="40">
        <v>96504</v>
      </c>
      <c r="AG28" s="40">
        <v>0</v>
      </c>
      <c r="AH28" s="40">
        <v>3416098</v>
      </c>
      <c r="AI28" s="40">
        <v>202820</v>
      </c>
      <c r="AJ28" s="3"/>
      <c r="AK28" s="1">
        <v>47350578</v>
      </c>
      <c r="AL28" s="1">
        <v>7445282</v>
      </c>
      <c r="AM28" s="40">
        <v>8254289</v>
      </c>
      <c r="AN28" s="40">
        <v>11658222</v>
      </c>
      <c r="AO28" s="40">
        <v>2542794</v>
      </c>
      <c r="AP28" s="40">
        <v>15465385</v>
      </c>
      <c r="AQ28" s="40">
        <v>9475585</v>
      </c>
      <c r="AR28" s="40">
        <v>1547051</v>
      </c>
      <c r="AS28" s="40">
        <v>16381</v>
      </c>
      <c r="AT28" s="40">
        <v>257755</v>
      </c>
      <c r="AU28" s="40">
        <v>0</v>
      </c>
      <c r="AV28" s="40">
        <v>0</v>
      </c>
      <c r="AW28" s="40">
        <v>0</v>
      </c>
      <c r="AX28" s="40">
        <v>0</v>
      </c>
      <c r="AY28" s="40">
        <v>65000</v>
      </c>
      <c r="AZ28" s="1">
        <v>2940749.36</v>
      </c>
      <c r="BA28" s="1">
        <v>1499782</v>
      </c>
      <c r="BB28" s="1"/>
      <c r="BC28" s="15">
        <v>0</v>
      </c>
      <c r="BD28" s="15">
        <v>0</v>
      </c>
      <c r="BE28" s="20">
        <v>2456707</v>
      </c>
      <c r="BF28" s="20">
        <v>2456707</v>
      </c>
      <c r="BG28" s="20">
        <v>19735192</v>
      </c>
      <c r="BH28" s="20">
        <v>19687072</v>
      </c>
      <c r="BI28" s="44"/>
      <c r="BJ28" s="44"/>
      <c r="BK28" s="44"/>
      <c r="BL28" s="5">
        <v>472512678</v>
      </c>
      <c r="BM28" s="5">
        <v>394073257</v>
      </c>
      <c r="BN28" s="15">
        <v>402056</v>
      </c>
      <c r="BO28" s="3"/>
      <c r="BP28" s="1"/>
      <c r="BQ28" s="1"/>
      <c r="BR28" s="5"/>
      <c r="BS28" s="5"/>
      <c r="BT28" s="5"/>
    </row>
    <row r="29" spans="1:72" x14ac:dyDescent="0.25">
      <c r="A29" s="6" t="s">
        <v>83</v>
      </c>
      <c r="B29" s="40">
        <v>137173540</v>
      </c>
      <c r="C29" s="40">
        <v>120096998</v>
      </c>
      <c r="D29" s="40">
        <v>33798864</v>
      </c>
      <c r="E29" s="40">
        <v>1440000</v>
      </c>
      <c r="F29" s="40">
        <v>22873244</v>
      </c>
      <c r="G29" s="40">
        <v>5401362</v>
      </c>
      <c r="H29" s="40">
        <v>7813045</v>
      </c>
      <c r="I29" s="40">
        <v>1351000</v>
      </c>
      <c r="J29" s="40">
        <v>27500</v>
      </c>
      <c r="K29" s="40">
        <v>0</v>
      </c>
      <c r="L29" s="40">
        <v>138899744</v>
      </c>
      <c r="M29" s="40">
        <v>55736088</v>
      </c>
      <c r="N29" s="40">
        <v>1003</v>
      </c>
      <c r="O29" s="40">
        <v>237</v>
      </c>
      <c r="P29" s="40">
        <v>2128640</v>
      </c>
      <c r="Q29" s="40">
        <v>1589100</v>
      </c>
      <c r="R29" s="40">
        <v>611811</v>
      </c>
      <c r="S29" s="40">
        <v>1008776</v>
      </c>
      <c r="T29" s="40">
        <v>494363</v>
      </c>
      <c r="U29" s="40">
        <v>11000</v>
      </c>
      <c r="V29" s="40">
        <v>2128640</v>
      </c>
      <c r="W29" s="40">
        <v>1648400</v>
      </c>
      <c r="X29" s="40">
        <v>611811</v>
      </c>
      <c r="Y29" s="40">
        <v>1008776</v>
      </c>
      <c r="Z29" s="40">
        <v>827047</v>
      </c>
      <c r="AA29" s="40">
        <v>11000</v>
      </c>
      <c r="AB29" s="40">
        <v>-1012522</v>
      </c>
      <c r="AC29" s="40">
        <v>0</v>
      </c>
      <c r="AD29" s="40">
        <v>101565</v>
      </c>
      <c r="AE29" s="40">
        <v>4568</v>
      </c>
      <c r="AF29" s="40">
        <v>780226</v>
      </c>
      <c r="AG29" s="40">
        <v>222950</v>
      </c>
      <c r="AH29" s="3"/>
      <c r="AI29" s="40">
        <v>442180</v>
      </c>
      <c r="AJ29" s="40">
        <v>11262</v>
      </c>
      <c r="AK29" s="1">
        <v>54837634</v>
      </c>
      <c r="AL29" s="1">
        <v>1753369</v>
      </c>
      <c r="AM29" s="40">
        <v>0</v>
      </c>
      <c r="AN29" s="40">
        <v>7483312</v>
      </c>
      <c r="AO29" s="40">
        <v>80479</v>
      </c>
      <c r="AP29" s="40">
        <v>10744274</v>
      </c>
      <c r="AQ29" s="40">
        <v>6575834</v>
      </c>
      <c r="AR29" s="40">
        <v>18268099</v>
      </c>
      <c r="AS29" s="40">
        <v>16061</v>
      </c>
      <c r="AT29" s="40">
        <v>11487</v>
      </c>
      <c r="AU29" s="40">
        <v>0</v>
      </c>
      <c r="AV29" s="40">
        <v>0</v>
      </c>
      <c r="AW29" s="40">
        <v>100776</v>
      </c>
      <c r="AX29" s="40">
        <v>0</v>
      </c>
      <c r="AY29" s="40">
        <v>114000</v>
      </c>
      <c r="AZ29" s="1">
        <v>3405739.57</v>
      </c>
      <c r="BA29" s="1">
        <v>1736927</v>
      </c>
      <c r="BB29" s="1">
        <v>18805699.48</v>
      </c>
      <c r="BC29" s="15">
        <v>0</v>
      </c>
      <c r="BD29" s="15">
        <v>0</v>
      </c>
      <c r="BE29" s="20">
        <v>1465350</v>
      </c>
      <c r="BF29" s="20">
        <v>1465350</v>
      </c>
      <c r="BG29" s="20">
        <v>21325744</v>
      </c>
      <c r="BH29" s="20">
        <v>21304017</v>
      </c>
      <c r="BI29" s="44"/>
      <c r="BJ29" s="44"/>
      <c r="BK29" s="44"/>
      <c r="BL29" s="5">
        <v>386759766</v>
      </c>
      <c r="BM29" s="5">
        <v>305662469</v>
      </c>
      <c r="BN29" s="15">
        <v>636707</v>
      </c>
      <c r="BO29" s="3"/>
      <c r="BP29" s="1"/>
      <c r="BQ29" s="1"/>
      <c r="BR29" s="5"/>
      <c r="BS29" s="5"/>
      <c r="BT29" s="5"/>
    </row>
    <row r="30" spans="1:72" x14ac:dyDescent="0.25">
      <c r="A30" s="6" t="s">
        <v>84</v>
      </c>
      <c r="B30" s="40">
        <v>128480662</v>
      </c>
      <c r="C30" s="40">
        <v>97450020</v>
      </c>
      <c r="D30" s="40">
        <v>30275580</v>
      </c>
      <c r="E30" s="40">
        <v>0</v>
      </c>
      <c r="F30" s="40">
        <v>15320600</v>
      </c>
      <c r="G30" s="40">
        <v>4149000</v>
      </c>
      <c r="H30" s="40">
        <v>6887400</v>
      </c>
      <c r="I30" s="40">
        <v>810000</v>
      </c>
      <c r="J30" s="40">
        <v>34000</v>
      </c>
      <c r="K30" s="40">
        <v>0</v>
      </c>
      <c r="L30" s="40">
        <v>144973992</v>
      </c>
      <c r="M30" s="40">
        <v>45548575</v>
      </c>
      <c r="N30" s="40">
        <v>685</v>
      </c>
      <c r="O30" s="40">
        <v>167</v>
      </c>
      <c r="P30" s="40">
        <v>1258500</v>
      </c>
      <c r="Q30" s="40">
        <v>676500</v>
      </c>
      <c r="R30" s="40">
        <v>0</v>
      </c>
      <c r="S30" s="40">
        <v>1937078</v>
      </c>
      <c r="T30" s="40">
        <v>503080</v>
      </c>
      <c r="U30" s="40">
        <v>174715</v>
      </c>
      <c r="V30" s="40">
        <v>1258500</v>
      </c>
      <c r="W30" s="40">
        <v>676500</v>
      </c>
      <c r="X30" s="40">
        <v>0</v>
      </c>
      <c r="Y30" s="40">
        <v>1937078</v>
      </c>
      <c r="Z30" s="40">
        <v>740550</v>
      </c>
      <c r="AA30" s="40">
        <v>174715</v>
      </c>
      <c r="AB30" s="40">
        <v>-1023320</v>
      </c>
      <c r="AC30" s="40">
        <v>1228</v>
      </c>
      <c r="AD30" s="40">
        <v>168464</v>
      </c>
      <c r="AE30" s="40">
        <v>0</v>
      </c>
      <c r="AF30" s="40">
        <v>0</v>
      </c>
      <c r="AG30" s="40">
        <v>0</v>
      </c>
      <c r="AH30" s="40">
        <v>3369738</v>
      </c>
      <c r="AI30" s="3"/>
      <c r="AJ30" s="3"/>
      <c r="AK30" s="1">
        <v>32984754</v>
      </c>
      <c r="AL30" s="1">
        <v>5002543</v>
      </c>
      <c r="AM30" s="40">
        <v>2499876</v>
      </c>
      <c r="AN30" s="40">
        <v>5329155</v>
      </c>
      <c r="AO30" s="40">
        <v>42126</v>
      </c>
      <c r="AP30" s="40">
        <v>608884</v>
      </c>
      <c r="AQ30" s="40">
        <v>3701359</v>
      </c>
      <c r="AR30" s="40">
        <v>2694203</v>
      </c>
      <c r="AS30" s="40">
        <v>0</v>
      </c>
      <c r="AT30" s="40">
        <v>328251</v>
      </c>
      <c r="AU30" s="40">
        <v>0</v>
      </c>
      <c r="AV30" s="40">
        <v>0</v>
      </c>
      <c r="AW30" s="40">
        <v>0</v>
      </c>
      <c r="AX30" s="40">
        <v>6530</v>
      </c>
      <c r="AY30" s="40">
        <v>16000</v>
      </c>
      <c r="AZ30" s="1">
        <v>2048547.2</v>
      </c>
      <c r="BA30" s="1">
        <v>1044759</v>
      </c>
      <c r="BB30" s="1"/>
      <c r="BC30" s="15">
        <v>0</v>
      </c>
      <c r="BD30" s="15">
        <v>0</v>
      </c>
      <c r="BE30" s="20">
        <v>959899</v>
      </c>
      <c r="BF30" s="20">
        <v>959899</v>
      </c>
      <c r="BG30" s="20">
        <v>16700543</v>
      </c>
      <c r="BH30" s="20">
        <v>16677721</v>
      </c>
      <c r="BI30" s="44"/>
      <c r="BJ30" s="44"/>
      <c r="BK30" s="44"/>
      <c r="BL30" s="5">
        <v>325318316</v>
      </c>
      <c r="BM30" s="5">
        <v>268648640</v>
      </c>
      <c r="BN30" s="15">
        <v>293500</v>
      </c>
      <c r="BO30" s="3"/>
      <c r="BP30" s="1"/>
      <c r="BQ30" s="1"/>
      <c r="BR30" s="5"/>
      <c r="BS30" s="5"/>
      <c r="BT30" s="5"/>
    </row>
    <row r="31" spans="1:72" x14ac:dyDescent="0.25">
      <c r="A31" s="6" t="s">
        <v>85</v>
      </c>
      <c r="B31" s="40">
        <v>3063410334</v>
      </c>
      <c r="C31" s="40">
        <v>318326577</v>
      </c>
      <c r="D31" s="40">
        <v>1222414972</v>
      </c>
      <c r="E31" s="40">
        <v>0</v>
      </c>
      <c r="F31" s="40">
        <v>242776508</v>
      </c>
      <c r="G31" s="40">
        <v>30077060</v>
      </c>
      <c r="H31" s="40">
        <v>17943300</v>
      </c>
      <c r="I31" s="40">
        <v>0</v>
      </c>
      <c r="J31" s="40">
        <v>0</v>
      </c>
      <c r="K31" s="40">
        <v>0</v>
      </c>
      <c r="L31" s="40">
        <v>638023974</v>
      </c>
      <c r="M31" s="40">
        <v>183522173</v>
      </c>
      <c r="N31" s="40">
        <v>7792</v>
      </c>
      <c r="O31" s="40">
        <v>922</v>
      </c>
      <c r="P31" s="40">
        <v>49087653</v>
      </c>
      <c r="Q31" s="40">
        <v>7741110</v>
      </c>
      <c r="R31" s="40">
        <v>25100144</v>
      </c>
      <c r="S31" s="40">
        <v>24132029</v>
      </c>
      <c r="T31" s="40">
        <v>4440705</v>
      </c>
      <c r="U31" s="40">
        <v>12774950</v>
      </c>
      <c r="V31" s="40">
        <v>49087653</v>
      </c>
      <c r="W31" s="40">
        <v>14978917</v>
      </c>
      <c r="X31" s="40">
        <v>25100144</v>
      </c>
      <c r="Y31" s="40">
        <v>24132029</v>
      </c>
      <c r="Z31" s="40">
        <v>8258800</v>
      </c>
      <c r="AA31" s="40">
        <v>12774950</v>
      </c>
      <c r="AB31" s="40">
        <v>-14499987</v>
      </c>
      <c r="AC31" s="40">
        <v>350480</v>
      </c>
      <c r="AD31" s="40">
        <v>0</v>
      </c>
      <c r="AE31" s="40">
        <v>0</v>
      </c>
      <c r="AF31" s="40">
        <v>0</v>
      </c>
      <c r="AG31" s="40">
        <v>251013</v>
      </c>
      <c r="AH31" s="40">
        <v>7248697</v>
      </c>
      <c r="AI31" s="40">
        <v>331320</v>
      </c>
      <c r="AJ31" s="40">
        <v>4228730</v>
      </c>
      <c r="AK31" s="1">
        <v>545692826</v>
      </c>
      <c r="AL31" s="1">
        <v>14198262</v>
      </c>
      <c r="AM31" s="40">
        <v>245500</v>
      </c>
      <c r="AN31" s="40">
        <v>200810070</v>
      </c>
      <c r="AO31" s="40">
        <v>21314452</v>
      </c>
      <c r="AP31" s="40">
        <v>389103463</v>
      </c>
      <c r="AQ31" s="40">
        <v>217456760</v>
      </c>
      <c r="AR31" s="40">
        <v>283088629</v>
      </c>
      <c r="AS31" s="40">
        <v>44685960</v>
      </c>
      <c r="AT31" s="40">
        <v>105341184</v>
      </c>
      <c r="AU31" s="40">
        <v>41668972</v>
      </c>
      <c r="AV31" s="40">
        <v>2008243</v>
      </c>
      <c r="AW31" s="40">
        <v>78289070</v>
      </c>
      <c r="AX31" s="40">
        <v>3958781</v>
      </c>
      <c r="AY31" s="40">
        <v>2227851</v>
      </c>
      <c r="AZ31" s="1">
        <v>33890733.68</v>
      </c>
      <c r="BA31" s="1">
        <v>17284274</v>
      </c>
      <c r="BB31" s="1">
        <v>29331606.219999999</v>
      </c>
      <c r="BC31" s="15">
        <v>1955731</v>
      </c>
      <c r="BD31" s="15">
        <v>3834767</v>
      </c>
      <c r="BE31" s="20">
        <v>57753873</v>
      </c>
      <c r="BF31" s="20">
        <v>57753873</v>
      </c>
      <c r="BG31" s="20">
        <v>140775452</v>
      </c>
      <c r="BH31" s="20">
        <v>137034966</v>
      </c>
      <c r="BI31" s="20">
        <v>8196818</v>
      </c>
      <c r="BJ31" s="44"/>
      <c r="BK31" s="44"/>
      <c r="BL31" s="5">
        <v>5837658662</v>
      </c>
      <c r="BM31" s="5">
        <v>5055541912</v>
      </c>
      <c r="BN31" s="15">
        <v>1681664</v>
      </c>
      <c r="BO31" s="3"/>
      <c r="BP31" s="1"/>
      <c r="BQ31" s="1"/>
      <c r="BR31" s="5"/>
      <c r="BS31" s="5"/>
      <c r="BT31" s="5"/>
    </row>
    <row r="32" spans="1:72" x14ac:dyDescent="0.25">
      <c r="A32" s="6" t="s">
        <v>86</v>
      </c>
      <c r="B32" s="40">
        <v>322013544</v>
      </c>
      <c r="C32" s="40">
        <v>108247371</v>
      </c>
      <c r="D32" s="40">
        <v>42374438</v>
      </c>
      <c r="E32" s="56">
        <v>0</v>
      </c>
      <c r="F32" s="40">
        <v>25177700</v>
      </c>
      <c r="G32" s="40">
        <v>9189500</v>
      </c>
      <c r="H32" s="40">
        <v>13699114</v>
      </c>
      <c r="I32" s="40">
        <v>1978100</v>
      </c>
      <c r="J32" s="40">
        <v>0</v>
      </c>
      <c r="K32" s="40">
        <v>0</v>
      </c>
      <c r="L32" s="40">
        <v>159562607</v>
      </c>
      <c r="M32" s="40">
        <v>83278673</v>
      </c>
      <c r="N32" s="40">
        <v>1236</v>
      </c>
      <c r="O32" s="40">
        <v>396</v>
      </c>
      <c r="P32" s="40">
        <v>5165200</v>
      </c>
      <c r="Q32" s="40">
        <v>1133500</v>
      </c>
      <c r="R32" s="40">
        <v>322000</v>
      </c>
      <c r="S32" s="40">
        <v>527650</v>
      </c>
      <c r="T32" s="40">
        <v>117000</v>
      </c>
      <c r="U32" s="40">
        <v>135000</v>
      </c>
      <c r="V32" s="40">
        <v>5165200</v>
      </c>
      <c r="W32" s="40">
        <v>1133500</v>
      </c>
      <c r="X32" s="40">
        <v>322000</v>
      </c>
      <c r="Y32" s="40">
        <v>527650</v>
      </c>
      <c r="Z32" s="40">
        <v>117000</v>
      </c>
      <c r="AA32" s="40">
        <v>135000</v>
      </c>
      <c r="AB32" s="40">
        <v>-1796468</v>
      </c>
      <c r="AC32" s="40">
        <v>28193</v>
      </c>
      <c r="AD32" s="40">
        <v>61183</v>
      </c>
      <c r="AE32" s="40">
        <v>7734</v>
      </c>
      <c r="AF32" s="40">
        <v>8978584</v>
      </c>
      <c r="AG32" s="40">
        <v>133621</v>
      </c>
      <c r="AH32" s="40">
        <v>1364918</v>
      </c>
      <c r="AI32" s="40">
        <v>261246</v>
      </c>
      <c r="AJ32" s="3"/>
      <c r="AK32" s="1">
        <v>58065409</v>
      </c>
      <c r="AL32" s="1">
        <v>6317922</v>
      </c>
      <c r="AM32" s="40">
        <v>428950</v>
      </c>
      <c r="AN32" s="40">
        <v>4773586</v>
      </c>
      <c r="AO32" s="40">
        <v>49405</v>
      </c>
      <c r="AP32" s="40">
        <v>468012</v>
      </c>
      <c r="AQ32" s="40">
        <v>2588363</v>
      </c>
      <c r="AR32" s="40">
        <v>692392</v>
      </c>
      <c r="AS32" s="40">
        <v>0</v>
      </c>
      <c r="AT32" s="40">
        <v>350742</v>
      </c>
      <c r="AU32" s="40">
        <v>0</v>
      </c>
      <c r="AV32" s="40">
        <v>0</v>
      </c>
      <c r="AW32" s="40">
        <v>0</v>
      </c>
      <c r="AX32" s="40">
        <v>0</v>
      </c>
      <c r="AY32" s="40">
        <v>35000</v>
      </c>
      <c r="AZ32" s="1">
        <v>3606203.38</v>
      </c>
      <c r="BA32" s="1">
        <v>1839164</v>
      </c>
      <c r="BB32" s="1"/>
      <c r="BC32" s="15">
        <v>293261</v>
      </c>
      <c r="BD32" s="15">
        <v>575021</v>
      </c>
      <c r="BE32" s="20">
        <v>2671988</v>
      </c>
      <c r="BF32" s="20">
        <v>2671988</v>
      </c>
      <c r="BG32" s="20">
        <v>15872006</v>
      </c>
      <c r="BH32" s="20">
        <v>15339122</v>
      </c>
      <c r="BI32" s="44"/>
      <c r="BJ32" s="44"/>
      <c r="BK32" s="44"/>
      <c r="BL32" s="5">
        <v>566199737</v>
      </c>
      <c r="BM32" s="5">
        <v>481672871</v>
      </c>
      <c r="BN32" s="15">
        <v>318800</v>
      </c>
      <c r="BO32" s="3"/>
      <c r="BP32" s="1"/>
      <c r="BQ32" s="1"/>
      <c r="BR32" s="5"/>
      <c r="BS32" s="5"/>
      <c r="BT32" s="5"/>
    </row>
    <row r="33" spans="1:72" x14ac:dyDescent="0.25">
      <c r="A33" s="6" t="s">
        <v>87</v>
      </c>
      <c r="B33" s="40">
        <v>59261156</v>
      </c>
      <c r="C33" s="40">
        <v>56918137</v>
      </c>
      <c r="D33" s="40">
        <v>13443427</v>
      </c>
      <c r="E33" s="40">
        <v>0</v>
      </c>
      <c r="F33" s="40">
        <v>7574114</v>
      </c>
      <c r="G33" s="40">
        <v>6307673</v>
      </c>
      <c r="H33" s="40">
        <v>11052501</v>
      </c>
      <c r="I33" s="40">
        <v>4260764</v>
      </c>
      <c r="J33" s="40">
        <v>0</v>
      </c>
      <c r="K33" s="40">
        <v>0</v>
      </c>
      <c r="L33" s="40">
        <v>87117061</v>
      </c>
      <c r="M33" s="40">
        <v>0</v>
      </c>
      <c r="N33" s="40">
        <v>636</v>
      </c>
      <c r="O33" s="40">
        <v>394</v>
      </c>
      <c r="P33" s="40">
        <v>1878276</v>
      </c>
      <c r="Q33" s="40">
        <v>923012</v>
      </c>
      <c r="R33" s="40">
        <v>654492</v>
      </c>
      <c r="S33" s="40">
        <v>685061</v>
      </c>
      <c r="T33" s="40">
        <v>459108</v>
      </c>
      <c r="U33" s="40">
        <v>164000</v>
      </c>
      <c r="V33" s="40">
        <v>1878276</v>
      </c>
      <c r="W33" s="40">
        <v>971664</v>
      </c>
      <c r="X33" s="40">
        <v>654492</v>
      </c>
      <c r="Y33" s="40">
        <v>685061</v>
      </c>
      <c r="Z33" s="40">
        <v>479049</v>
      </c>
      <c r="AA33" s="40">
        <v>164000</v>
      </c>
      <c r="AB33" s="40">
        <v>-1328685</v>
      </c>
      <c r="AC33" s="40">
        <v>0</v>
      </c>
      <c r="AD33" s="40">
        <v>125</v>
      </c>
      <c r="AE33" s="40">
        <v>0</v>
      </c>
      <c r="AF33" s="40">
        <v>0</v>
      </c>
      <c r="AG33" s="40">
        <v>143</v>
      </c>
      <c r="AH33" s="40">
        <v>1660197</v>
      </c>
      <c r="AI33" s="40">
        <v>245770</v>
      </c>
      <c r="AJ33" s="40">
        <v>23000</v>
      </c>
      <c r="AK33" s="1">
        <v>29883436</v>
      </c>
      <c r="AL33" s="1">
        <v>836232</v>
      </c>
      <c r="AM33" s="40">
        <v>0</v>
      </c>
      <c r="AN33" s="40">
        <v>1843160</v>
      </c>
      <c r="AO33" s="40">
        <v>37070</v>
      </c>
      <c r="AP33" s="40">
        <v>0</v>
      </c>
      <c r="AQ33" s="40">
        <v>1441354</v>
      </c>
      <c r="AR33" s="40">
        <v>51700</v>
      </c>
      <c r="AS33" s="40">
        <v>0</v>
      </c>
      <c r="AT33" s="40">
        <v>851278</v>
      </c>
      <c r="AU33" s="40">
        <v>0</v>
      </c>
      <c r="AV33" s="40">
        <v>0</v>
      </c>
      <c r="AW33" s="40">
        <v>0</v>
      </c>
      <c r="AX33" s="40">
        <v>0</v>
      </c>
      <c r="AY33" s="40">
        <v>0</v>
      </c>
      <c r="AZ33" s="1">
        <v>1855937.12</v>
      </c>
      <c r="BA33" s="1">
        <v>946528</v>
      </c>
      <c r="BB33" s="1"/>
      <c r="BC33" s="15">
        <v>0</v>
      </c>
      <c r="BD33" s="15">
        <v>0</v>
      </c>
      <c r="BE33" s="20">
        <v>1690403</v>
      </c>
      <c r="BF33" s="20">
        <v>1690403</v>
      </c>
      <c r="BG33" s="20">
        <v>20106055</v>
      </c>
      <c r="BH33" s="20">
        <v>20083233</v>
      </c>
      <c r="BI33" s="44"/>
      <c r="BJ33" s="44"/>
      <c r="BK33" s="44"/>
      <c r="BL33" s="5">
        <v>188313103</v>
      </c>
      <c r="BM33" s="5">
        <v>134873271</v>
      </c>
      <c r="BN33" s="15">
        <v>215481</v>
      </c>
      <c r="BO33" s="3"/>
      <c r="BP33" s="1"/>
      <c r="BQ33" s="1"/>
      <c r="BR33" s="5"/>
      <c r="BS33" s="5"/>
      <c r="BT33" s="5"/>
    </row>
    <row r="34" spans="1:72" x14ac:dyDescent="0.25">
      <c r="A34" s="6" t="s">
        <v>88</v>
      </c>
      <c r="B34" s="40">
        <v>209109283</v>
      </c>
      <c r="C34" s="40">
        <v>94887583</v>
      </c>
      <c r="D34" s="40">
        <v>58221585</v>
      </c>
      <c r="E34" s="40">
        <v>0</v>
      </c>
      <c r="F34" s="40">
        <v>33630593</v>
      </c>
      <c r="G34" s="40">
        <v>11022011</v>
      </c>
      <c r="H34" s="40">
        <v>9940692</v>
      </c>
      <c r="I34" s="40">
        <v>1847690</v>
      </c>
      <c r="J34" s="40">
        <v>63400</v>
      </c>
      <c r="K34" s="40">
        <v>68000</v>
      </c>
      <c r="L34" s="40">
        <v>61689001</v>
      </c>
      <c r="M34" s="40">
        <v>1672380</v>
      </c>
      <c r="N34" s="40">
        <v>1355</v>
      </c>
      <c r="O34" s="40">
        <v>421</v>
      </c>
      <c r="P34" s="40">
        <v>1943393</v>
      </c>
      <c r="Q34" s="40">
        <v>466220</v>
      </c>
      <c r="R34" s="40">
        <v>56400</v>
      </c>
      <c r="S34" s="40">
        <v>3949839</v>
      </c>
      <c r="T34" s="40">
        <v>2724496</v>
      </c>
      <c r="U34" s="40">
        <v>980680</v>
      </c>
      <c r="V34" s="40">
        <v>1943393</v>
      </c>
      <c r="W34" s="40">
        <v>491950</v>
      </c>
      <c r="X34" s="40">
        <v>56400</v>
      </c>
      <c r="Y34" s="40">
        <v>3949839</v>
      </c>
      <c r="Z34" s="40">
        <v>1435934</v>
      </c>
      <c r="AA34" s="40">
        <v>980680</v>
      </c>
      <c r="AB34" s="40">
        <v>-1919400</v>
      </c>
      <c r="AC34" s="40">
        <v>-17783</v>
      </c>
      <c r="AD34" s="40">
        <v>90023</v>
      </c>
      <c r="AE34" s="40">
        <v>12649</v>
      </c>
      <c r="AF34" s="40">
        <v>10880770</v>
      </c>
      <c r="AG34" s="40">
        <v>138864</v>
      </c>
      <c r="AH34" s="40">
        <v>3330180</v>
      </c>
      <c r="AI34" s="40">
        <v>45689</v>
      </c>
      <c r="AJ34" s="3"/>
      <c r="AK34" s="1">
        <v>67401647</v>
      </c>
      <c r="AL34" s="1">
        <v>1407113</v>
      </c>
      <c r="AM34" s="40">
        <v>0</v>
      </c>
      <c r="AN34" s="40">
        <v>11957765</v>
      </c>
      <c r="AO34" s="40">
        <v>55200</v>
      </c>
      <c r="AP34" s="40">
        <v>2418203</v>
      </c>
      <c r="AQ34" s="40">
        <v>6193939</v>
      </c>
      <c r="AR34" s="40">
        <v>4815593</v>
      </c>
      <c r="AS34" s="40">
        <v>0</v>
      </c>
      <c r="AT34" s="40">
        <v>138452</v>
      </c>
      <c r="AU34" s="40">
        <v>0</v>
      </c>
      <c r="AV34" s="40">
        <v>0</v>
      </c>
      <c r="AW34" s="40">
        <v>0</v>
      </c>
      <c r="AX34" s="40">
        <v>50521</v>
      </c>
      <c r="AY34" s="40">
        <v>0</v>
      </c>
      <c r="AZ34" s="1">
        <v>4186038.66</v>
      </c>
      <c r="BA34" s="1">
        <v>2134880</v>
      </c>
      <c r="BB34" s="1"/>
      <c r="BC34" s="15">
        <v>4750954</v>
      </c>
      <c r="BD34" s="15">
        <v>9315597</v>
      </c>
      <c r="BE34" s="20">
        <v>10268153</v>
      </c>
      <c r="BF34" s="20">
        <v>10268153</v>
      </c>
      <c r="BG34" s="20">
        <v>31012019</v>
      </c>
      <c r="BH34" s="20">
        <v>28168974</v>
      </c>
      <c r="BI34" s="44"/>
      <c r="BJ34" s="44"/>
      <c r="BK34" s="44"/>
      <c r="BL34" s="5">
        <v>497932945</v>
      </c>
      <c r="BM34" s="5">
        <v>383801224</v>
      </c>
      <c r="BN34" s="15">
        <v>391160</v>
      </c>
      <c r="BO34" s="3"/>
      <c r="BP34" s="1"/>
      <c r="BQ34" s="1"/>
      <c r="BR34" s="5"/>
      <c r="BS34" s="5"/>
      <c r="BT34" s="5"/>
    </row>
    <row r="35" spans="1:72" x14ac:dyDescent="0.25">
      <c r="A35" s="6" t="s">
        <v>89</v>
      </c>
      <c r="B35" s="40">
        <v>15164243100</v>
      </c>
      <c r="C35" s="40">
        <v>898982400</v>
      </c>
      <c r="D35" s="40">
        <v>6421876600</v>
      </c>
      <c r="E35" s="40">
        <v>0</v>
      </c>
      <c r="F35" s="40">
        <v>541643600</v>
      </c>
      <c r="G35" s="40">
        <v>41448400</v>
      </c>
      <c r="H35" s="40">
        <v>10042900</v>
      </c>
      <c r="I35" s="40">
        <v>374000</v>
      </c>
      <c r="J35" s="40">
        <v>714000</v>
      </c>
      <c r="K35" s="40">
        <v>68000</v>
      </c>
      <c r="L35" s="40">
        <v>1661786300</v>
      </c>
      <c r="M35" s="40">
        <v>593380733</v>
      </c>
      <c r="N35" s="40">
        <v>16372</v>
      </c>
      <c r="O35" s="40">
        <v>1273</v>
      </c>
      <c r="P35" s="40">
        <v>133462917</v>
      </c>
      <c r="Q35" s="40">
        <v>30068300</v>
      </c>
      <c r="R35" s="40">
        <v>74415300</v>
      </c>
      <c r="S35" s="40">
        <v>37713540</v>
      </c>
      <c r="T35" s="40">
        <v>10123400</v>
      </c>
      <c r="U35" s="40">
        <v>51627300</v>
      </c>
      <c r="V35" s="40">
        <v>133462917</v>
      </c>
      <c r="W35" s="40">
        <v>32862000</v>
      </c>
      <c r="X35" s="40">
        <v>74415300</v>
      </c>
      <c r="Y35" s="40">
        <v>37713540</v>
      </c>
      <c r="Z35" s="40">
        <v>23966890</v>
      </c>
      <c r="AA35" s="40">
        <v>51627300</v>
      </c>
      <c r="AB35" s="40">
        <v>47773700</v>
      </c>
      <c r="AC35" s="40">
        <v>-17939370</v>
      </c>
      <c r="AD35" s="40">
        <v>0</v>
      </c>
      <c r="AE35" s="40">
        <v>0</v>
      </c>
      <c r="AF35" s="40">
        <v>0</v>
      </c>
      <c r="AG35" s="40">
        <v>0</v>
      </c>
      <c r="AH35" s="3"/>
      <c r="AI35" s="40">
        <v>1879648</v>
      </c>
      <c r="AJ35" s="3"/>
      <c r="AK35" s="1">
        <v>1785997916</v>
      </c>
      <c r="AL35" s="1">
        <v>26029920</v>
      </c>
      <c r="AM35" s="40">
        <v>200000</v>
      </c>
      <c r="AN35" s="40">
        <v>882301534</v>
      </c>
      <c r="AO35" s="40">
        <v>80910382</v>
      </c>
      <c r="AP35" s="40">
        <v>367544120</v>
      </c>
      <c r="AQ35" s="40">
        <v>657515935</v>
      </c>
      <c r="AR35" s="40">
        <v>290259579</v>
      </c>
      <c r="AS35" s="40">
        <v>210820123</v>
      </c>
      <c r="AT35" s="40">
        <v>654318470</v>
      </c>
      <c r="AU35" s="40">
        <v>288448</v>
      </c>
      <c r="AV35" s="40">
        <v>13804</v>
      </c>
      <c r="AW35" s="40">
        <v>1112253</v>
      </c>
      <c r="AX35" s="40">
        <v>2223551</v>
      </c>
      <c r="AY35" s="40">
        <v>55161664</v>
      </c>
      <c r="AZ35" s="1">
        <v>110920973.92</v>
      </c>
      <c r="BA35" s="1">
        <v>56569697</v>
      </c>
      <c r="BB35" s="1"/>
      <c r="BC35" s="15">
        <v>4789263</v>
      </c>
      <c r="BD35" s="15">
        <v>9390712</v>
      </c>
      <c r="BE35" s="20">
        <v>228804830</v>
      </c>
      <c r="BF35" s="20">
        <v>226640256</v>
      </c>
      <c r="BG35" s="20">
        <v>538544346</v>
      </c>
      <c r="BH35" s="20">
        <v>507296082</v>
      </c>
      <c r="BI35" s="44"/>
      <c r="BJ35" s="44"/>
      <c r="BK35" s="44"/>
      <c r="BL35" s="5">
        <v>26715032733</v>
      </c>
      <c r="BM35" s="5">
        <v>24107709599</v>
      </c>
      <c r="BN35" s="15">
        <v>22400300</v>
      </c>
      <c r="BO35" s="3"/>
      <c r="BP35" s="1"/>
      <c r="BQ35" s="1"/>
      <c r="BR35" s="5"/>
      <c r="BS35" s="5"/>
      <c r="BT35" s="5"/>
    </row>
    <row r="36" spans="1:72" x14ac:dyDescent="0.25">
      <c r="A36" s="6" t="s">
        <v>90</v>
      </c>
      <c r="B36" s="40">
        <v>248715563</v>
      </c>
      <c r="C36" s="40">
        <v>160611975</v>
      </c>
      <c r="D36" s="40">
        <v>53696550</v>
      </c>
      <c r="E36" s="56">
        <v>0</v>
      </c>
      <c r="F36" s="40">
        <v>29803700</v>
      </c>
      <c r="G36" s="40">
        <v>7498200</v>
      </c>
      <c r="H36" s="40">
        <v>11765150</v>
      </c>
      <c r="I36" s="40">
        <v>2041000</v>
      </c>
      <c r="J36" s="40">
        <v>68000</v>
      </c>
      <c r="K36" s="40">
        <v>0</v>
      </c>
      <c r="L36" s="40">
        <v>168761110</v>
      </c>
      <c r="M36" s="40">
        <v>85943417</v>
      </c>
      <c r="N36" s="40">
        <v>1314</v>
      </c>
      <c r="O36" s="40">
        <v>312</v>
      </c>
      <c r="P36" s="40">
        <v>3709300</v>
      </c>
      <c r="Q36" s="40">
        <v>2855600</v>
      </c>
      <c r="R36" s="40">
        <v>509400</v>
      </c>
      <c r="S36" s="40">
        <v>1621100</v>
      </c>
      <c r="T36" s="40">
        <v>644900</v>
      </c>
      <c r="U36" s="40">
        <v>411800</v>
      </c>
      <c r="V36" s="40">
        <v>3709300</v>
      </c>
      <c r="W36" s="40">
        <v>2792500</v>
      </c>
      <c r="X36" s="40">
        <v>509400</v>
      </c>
      <c r="Y36" s="40">
        <v>1621100</v>
      </c>
      <c r="Z36" s="40">
        <v>747145</v>
      </c>
      <c r="AA36" s="40">
        <v>411800</v>
      </c>
      <c r="AB36" s="40">
        <v>-2992100</v>
      </c>
      <c r="AC36" s="40">
        <v>-506865</v>
      </c>
      <c r="AD36" s="40">
        <v>52016</v>
      </c>
      <c r="AE36" s="40">
        <v>46938</v>
      </c>
      <c r="AF36" s="40">
        <v>70489235</v>
      </c>
      <c r="AG36" s="40">
        <v>212986</v>
      </c>
      <c r="AH36" s="3"/>
      <c r="AI36" s="40">
        <v>64713</v>
      </c>
      <c r="AJ36" s="3"/>
      <c r="AK36" s="1">
        <v>85241209</v>
      </c>
      <c r="AL36" s="1">
        <v>1256377</v>
      </c>
      <c r="AM36" s="40">
        <v>0</v>
      </c>
      <c r="AN36" s="40">
        <v>12676490</v>
      </c>
      <c r="AO36" s="40">
        <v>361424</v>
      </c>
      <c r="AP36" s="40">
        <v>28105975</v>
      </c>
      <c r="AQ36" s="40">
        <v>19010490</v>
      </c>
      <c r="AR36" s="40">
        <v>8882931</v>
      </c>
      <c r="AS36" s="40">
        <v>0</v>
      </c>
      <c r="AT36" s="40">
        <v>484475</v>
      </c>
      <c r="AU36" s="40">
        <v>0</v>
      </c>
      <c r="AV36" s="40">
        <v>58051</v>
      </c>
      <c r="AW36" s="40">
        <v>0</v>
      </c>
      <c r="AX36" s="40">
        <v>723</v>
      </c>
      <c r="AY36" s="40">
        <v>399500</v>
      </c>
      <c r="AZ36" s="1">
        <v>5293980.38</v>
      </c>
      <c r="BA36" s="1">
        <v>2699930</v>
      </c>
      <c r="BB36" s="1"/>
      <c r="BC36" s="15">
        <v>590484</v>
      </c>
      <c r="BD36" s="15">
        <v>1157812</v>
      </c>
      <c r="BE36" s="20">
        <v>13128967</v>
      </c>
      <c r="BF36" s="20">
        <v>13128967</v>
      </c>
      <c r="BG36" s="20">
        <v>27379027</v>
      </c>
      <c r="BH36" s="20">
        <v>27139002</v>
      </c>
      <c r="BI36" s="44"/>
      <c r="BJ36" s="44"/>
      <c r="BK36" s="44"/>
      <c r="BL36" s="5">
        <v>625193174</v>
      </c>
      <c r="BM36" s="5">
        <v>495137205</v>
      </c>
      <c r="BN36" s="15">
        <v>828280</v>
      </c>
      <c r="BO36" s="3"/>
      <c r="BP36" s="1"/>
      <c r="BQ36" s="1"/>
      <c r="BR36" s="5"/>
      <c r="BS36" s="5"/>
      <c r="BT36" s="5"/>
    </row>
    <row r="37" spans="1:72" x14ac:dyDescent="0.25">
      <c r="A37" s="6" t="s">
        <v>91</v>
      </c>
      <c r="B37" s="40">
        <v>596959794</v>
      </c>
      <c r="C37" s="40">
        <v>114098780</v>
      </c>
      <c r="D37" s="40">
        <v>243690370</v>
      </c>
      <c r="E37" s="40">
        <v>0</v>
      </c>
      <c r="F37" s="40">
        <v>79613700</v>
      </c>
      <c r="G37" s="40">
        <v>67144200</v>
      </c>
      <c r="H37" s="40">
        <v>18065684</v>
      </c>
      <c r="I37" s="40">
        <v>9383800</v>
      </c>
      <c r="J37" s="40">
        <v>282500</v>
      </c>
      <c r="K37" s="40">
        <v>168000</v>
      </c>
      <c r="L37" s="40">
        <v>65624156</v>
      </c>
      <c r="M37" s="40">
        <v>60615802</v>
      </c>
      <c r="N37" s="40">
        <v>3298</v>
      </c>
      <c r="O37" s="40">
        <v>2873</v>
      </c>
      <c r="P37" s="40">
        <v>6258450</v>
      </c>
      <c r="Q37" s="40">
        <v>647900</v>
      </c>
      <c r="R37" s="40">
        <v>2822500</v>
      </c>
      <c r="S37" s="40">
        <v>2367850</v>
      </c>
      <c r="T37" s="40">
        <v>714100</v>
      </c>
      <c r="U37" s="40">
        <v>280000</v>
      </c>
      <c r="V37" s="40">
        <v>6258450</v>
      </c>
      <c r="W37" s="40">
        <v>683500</v>
      </c>
      <c r="X37" s="40">
        <v>2822500</v>
      </c>
      <c r="Y37" s="40">
        <v>2367850</v>
      </c>
      <c r="Z37" s="40">
        <v>1028800</v>
      </c>
      <c r="AA37" s="40">
        <v>280000</v>
      </c>
      <c r="AB37" s="40">
        <v>-8914250</v>
      </c>
      <c r="AC37" s="40">
        <v>-455</v>
      </c>
      <c r="AD37" s="40">
        <v>182168</v>
      </c>
      <c r="AE37" s="40">
        <v>0</v>
      </c>
      <c r="AF37" s="40">
        <v>0</v>
      </c>
      <c r="AG37" s="40">
        <v>0</v>
      </c>
      <c r="AH37" s="40">
        <v>1616213</v>
      </c>
      <c r="AI37" s="40">
        <v>136568730</v>
      </c>
      <c r="AJ37" s="40">
        <v>132684967</v>
      </c>
      <c r="AK37" s="1">
        <v>254202421</v>
      </c>
      <c r="AL37" s="1">
        <v>6589101</v>
      </c>
      <c r="AM37" s="40">
        <v>0</v>
      </c>
      <c r="AN37" s="40">
        <v>107497615</v>
      </c>
      <c r="AO37" s="40">
        <v>1834511</v>
      </c>
      <c r="AP37" s="40">
        <v>49348592</v>
      </c>
      <c r="AQ37" s="40">
        <v>61459358</v>
      </c>
      <c r="AR37" s="40">
        <v>26747598</v>
      </c>
      <c r="AS37" s="40">
        <v>511000</v>
      </c>
      <c r="AT37" s="40">
        <v>20000</v>
      </c>
      <c r="AU37" s="40">
        <v>0</v>
      </c>
      <c r="AV37" s="40">
        <v>0</v>
      </c>
      <c r="AW37" s="40">
        <v>0</v>
      </c>
      <c r="AX37" s="40">
        <v>0</v>
      </c>
      <c r="AY37" s="40">
        <v>16000</v>
      </c>
      <c r="AZ37" s="1">
        <v>15787465.289999999</v>
      </c>
      <c r="BA37" s="1">
        <v>8051607</v>
      </c>
      <c r="BB37" s="1"/>
      <c r="BC37" s="15">
        <v>5044875</v>
      </c>
      <c r="BD37" s="15">
        <v>9891913</v>
      </c>
      <c r="BE37" s="20">
        <v>56500128</v>
      </c>
      <c r="BF37" s="20">
        <v>56500128</v>
      </c>
      <c r="BG37" s="20">
        <v>203506605</v>
      </c>
      <c r="BH37" s="20">
        <v>199521553</v>
      </c>
      <c r="BI37" s="44"/>
      <c r="BJ37" s="44"/>
      <c r="BK37" s="44"/>
      <c r="BL37" s="5">
        <v>1926320023</v>
      </c>
      <c r="BM37" s="5">
        <v>1396410338</v>
      </c>
      <c r="BN37" s="15">
        <v>12348100</v>
      </c>
      <c r="BO37" s="3"/>
      <c r="BP37" s="1"/>
      <c r="BQ37" s="1"/>
      <c r="BR37" s="5"/>
      <c r="BS37" s="5"/>
      <c r="BT37" s="5"/>
    </row>
    <row r="38" spans="1:72" x14ac:dyDescent="0.25">
      <c r="A38" s="6" t="s">
        <v>92</v>
      </c>
      <c r="B38" s="40">
        <v>1900055904</v>
      </c>
      <c r="C38" s="40">
        <v>160327200</v>
      </c>
      <c r="D38" s="40">
        <v>774715534</v>
      </c>
      <c r="E38" s="40">
        <v>0</v>
      </c>
      <c r="F38" s="40">
        <v>127788066</v>
      </c>
      <c r="G38" s="40">
        <v>11085668</v>
      </c>
      <c r="H38" s="40">
        <v>10050903</v>
      </c>
      <c r="I38" s="40">
        <v>509696</v>
      </c>
      <c r="J38" s="40">
        <v>102000</v>
      </c>
      <c r="K38" s="40">
        <v>34000</v>
      </c>
      <c r="L38" s="40">
        <v>158021240</v>
      </c>
      <c r="M38" s="40">
        <v>126117139</v>
      </c>
      <c r="N38" s="40">
        <v>4117</v>
      </c>
      <c r="O38" s="40">
        <v>369</v>
      </c>
      <c r="P38" s="40">
        <v>27135827</v>
      </c>
      <c r="Q38" s="40">
        <v>3581605</v>
      </c>
      <c r="R38" s="40">
        <v>10151605</v>
      </c>
      <c r="S38" s="40">
        <v>8905150</v>
      </c>
      <c r="T38" s="40">
        <v>945994</v>
      </c>
      <c r="U38" s="40">
        <v>7996998</v>
      </c>
      <c r="V38" s="40">
        <v>27135827</v>
      </c>
      <c r="W38" s="40">
        <v>4214750</v>
      </c>
      <c r="X38" s="40">
        <v>10151605</v>
      </c>
      <c r="Y38" s="40">
        <v>8905150</v>
      </c>
      <c r="Z38" s="40">
        <v>1936100</v>
      </c>
      <c r="AA38" s="40">
        <v>7996998</v>
      </c>
      <c r="AB38" s="40">
        <v>-3540990</v>
      </c>
      <c r="AC38" s="40">
        <v>-17347834</v>
      </c>
      <c r="AD38" s="40">
        <v>0</v>
      </c>
      <c r="AE38" s="40">
        <v>0</v>
      </c>
      <c r="AF38" s="40">
        <v>0</v>
      </c>
      <c r="AG38" s="40">
        <v>103581</v>
      </c>
      <c r="AH38" s="3"/>
      <c r="AI38" s="40">
        <v>458549</v>
      </c>
      <c r="AJ38" s="3"/>
      <c r="AK38" s="1">
        <v>300452278</v>
      </c>
      <c r="AL38" s="1">
        <v>10358208</v>
      </c>
      <c r="AM38" s="40">
        <v>143675</v>
      </c>
      <c r="AN38" s="40">
        <v>105425343</v>
      </c>
      <c r="AO38" s="40">
        <v>6363164</v>
      </c>
      <c r="AP38" s="40">
        <v>154285054</v>
      </c>
      <c r="AQ38" s="40">
        <v>55271411</v>
      </c>
      <c r="AR38" s="40">
        <v>57223779</v>
      </c>
      <c r="AS38" s="40">
        <v>2152620</v>
      </c>
      <c r="AT38" s="40">
        <v>2827895</v>
      </c>
      <c r="AU38" s="40">
        <v>0</v>
      </c>
      <c r="AV38" s="40">
        <v>0</v>
      </c>
      <c r="AW38" s="40">
        <v>35951</v>
      </c>
      <c r="AX38" s="40">
        <v>28409</v>
      </c>
      <c r="AY38" s="40">
        <v>1878365</v>
      </c>
      <c r="AZ38" s="1">
        <v>18659853.399999999</v>
      </c>
      <c r="BA38" s="1">
        <v>9516525</v>
      </c>
      <c r="BB38" s="1">
        <v>3413212</v>
      </c>
      <c r="BC38" s="15">
        <v>1021128</v>
      </c>
      <c r="BD38" s="15">
        <v>2002212</v>
      </c>
      <c r="BE38" s="20">
        <v>56660331</v>
      </c>
      <c r="BF38" s="20">
        <v>55851174</v>
      </c>
      <c r="BG38" s="20">
        <v>50250516</v>
      </c>
      <c r="BH38" s="20">
        <v>48495595</v>
      </c>
      <c r="BI38" s="44">
        <v>120311452</v>
      </c>
      <c r="BJ38" s="44"/>
      <c r="BK38" s="44"/>
      <c r="BL38" s="5">
        <v>3548623465</v>
      </c>
      <c r="BM38" s="5">
        <v>3002617105</v>
      </c>
      <c r="BN38" s="15">
        <v>5466340</v>
      </c>
      <c r="BO38" s="3"/>
      <c r="BP38" s="1"/>
      <c r="BQ38" s="1"/>
      <c r="BR38" s="5"/>
      <c r="BS38" s="5"/>
      <c r="BT38" s="5"/>
    </row>
    <row r="39" spans="1:72" x14ac:dyDescent="0.25">
      <c r="A39" s="6" t="s">
        <v>93</v>
      </c>
      <c r="B39" s="40">
        <v>75212307</v>
      </c>
      <c r="C39" s="40">
        <v>54226061</v>
      </c>
      <c r="D39" s="40">
        <v>65747287</v>
      </c>
      <c r="E39" s="40">
        <v>0</v>
      </c>
      <c r="F39" s="40">
        <v>17915660</v>
      </c>
      <c r="G39" s="40">
        <v>3957280</v>
      </c>
      <c r="H39" s="40">
        <v>3388455</v>
      </c>
      <c r="I39" s="40">
        <v>260820</v>
      </c>
      <c r="J39" s="40">
        <v>0</v>
      </c>
      <c r="K39" s="40">
        <v>15000</v>
      </c>
      <c r="L39" s="40">
        <v>204066631</v>
      </c>
      <c r="M39" s="40">
        <v>14310895</v>
      </c>
      <c r="N39" s="40">
        <v>706</v>
      </c>
      <c r="O39" s="40">
        <v>157</v>
      </c>
      <c r="P39" s="40">
        <v>898555</v>
      </c>
      <c r="Q39" s="40">
        <v>301900</v>
      </c>
      <c r="R39" s="40">
        <v>848060</v>
      </c>
      <c r="S39" s="40">
        <v>748900</v>
      </c>
      <c r="T39" s="40">
        <v>260080</v>
      </c>
      <c r="U39" s="40">
        <v>634700</v>
      </c>
      <c r="V39" s="40">
        <v>898555</v>
      </c>
      <c r="W39" s="40">
        <v>416600</v>
      </c>
      <c r="X39" s="40">
        <v>848060</v>
      </c>
      <c r="Y39" s="40">
        <v>748900</v>
      </c>
      <c r="Z39" s="40">
        <v>468360</v>
      </c>
      <c r="AA39" s="40">
        <v>634700</v>
      </c>
      <c r="AB39" s="40">
        <v>-849175</v>
      </c>
      <c r="AC39" s="40">
        <v>0</v>
      </c>
      <c r="AD39" s="40">
        <v>22379</v>
      </c>
      <c r="AE39" s="40">
        <v>11637</v>
      </c>
      <c r="AF39" s="40">
        <v>2796154</v>
      </c>
      <c r="AG39" s="40">
        <v>118943</v>
      </c>
      <c r="AH39" s="3"/>
      <c r="AI39" s="40">
        <v>0</v>
      </c>
      <c r="AJ39" s="3"/>
      <c r="AK39" s="1">
        <v>33351968</v>
      </c>
      <c r="AL39" s="1">
        <v>584172</v>
      </c>
      <c r="AM39" s="40">
        <v>0</v>
      </c>
      <c r="AN39" s="40">
        <v>16730546</v>
      </c>
      <c r="AO39" s="40">
        <v>2063757</v>
      </c>
      <c r="AP39" s="40">
        <v>32458424</v>
      </c>
      <c r="AQ39" s="40">
        <v>17546057</v>
      </c>
      <c r="AR39" s="40">
        <v>44352990</v>
      </c>
      <c r="AS39" s="40">
        <v>8004284</v>
      </c>
      <c r="AT39" s="40">
        <v>529270</v>
      </c>
      <c r="AU39" s="40">
        <v>0</v>
      </c>
      <c r="AV39" s="40">
        <v>15235439</v>
      </c>
      <c r="AW39" s="40">
        <v>9559251</v>
      </c>
      <c r="AX39" s="40">
        <v>0</v>
      </c>
      <c r="AY39" s="40">
        <v>146830</v>
      </c>
      <c r="AZ39" s="1">
        <v>2071353.35</v>
      </c>
      <c r="BA39" s="1">
        <v>1056390</v>
      </c>
      <c r="BB39" s="1">
        <v>39901554</v>
      </c>
      <c r="BC39" s="15">
        <v>695503</v>
      </c>
      <c r="BD39" s="15">
        <v>1363732</v>
      </c>
      <c r="BE39" s="20">
        <v>11350751</v>
      </c>
      <c r="BF39" s="20">
        <v>11350751</v>
      </c>
      <c r="BG39" s="20">
        <v>15298858</v>
      </c>
      <c r="BH39" s="20">
        <v>12048798</v>
      </c>
      <c r="BI39" s="44"/>
      <c r="BJ39" s="44">
        <v>2717364</v>
      </c>
      <c r="BK39" s="44"/>
      <c r="BL39" s="5">
        <v>293330961</v>
      </c>
      <c r="BM39" s="5">
        <v>231526015</v>
      </c>
      <c r="BN39" s="15">
        <v>1143242</v>
      </c>
      <c r="BO39" s="3"/>
      <c r="BP39" s="1"/>
      <c r="BQ39" s="1"/>
      <c r="BR39" s="5"/>
      <c r="BS39" s="5"/>
      <c r="BT39" s="5"/>
    </row>
    <row r="40" spans="1:72" x14ac:dyDescent="0.25">
      <c r="A40" s="6" t="s">
        <v>94</v>
      </c>
      <c r="B40" s="40">
        <v>241047214</v>
      </c>
      <c r="C40" s="40">
        <v>61446541</v>
      </c>
      <c r="D40" s="40">
        <v>94515096</v>
      </c>
      <c r="E40" s="40">
        <v>66243486</v>
      </c>
      <c r="F40" s="40">
        <v>12611269</v>
      </c>
      <c r="G40" s="40">
        <v>5043400</v>
      </c>
      <c r="H40" s="40">
        <v>4138200</v>
      </c>
      <c r="I40" s="40">
        <v>602600</v>
      </c>
      <c r="J40" s="40">
        <v>0</v>
      </c>
      <c r="K40" s="40">
        <v>0</v>
      </c>
      <c r="L40" s="40">
        <v>98836893</v>
      </c>
      <c r="M40" s="40">
        <v>48442455</v>
      </c>
      <c r="N40" s="40">
        <v>515</v>
      </c>
      <c r="O40" s="40">
        <v>176</v>
      </c>
      <c r="P40" s="40">
        <v>3600370</v>
      </c>
      <c r="Q40" s="40">
        <v>1589375</v>
      </c>
      <c r="R40" s="40">
        <v>925700</v>
      </c>
      <c r="S40" s="40">
        <v>3729398</v>
      </c>
      <c r="T40" s="40">
        <v>796300</v>
      </c>
      <c r="U40" s="40">
        <v>271041</v>
      </c>
      <c r="V40" s="40">
        <v>3600370</v>
      </c>
      <c r="W40" s="40">
        <v>2636779</v>
      </c>
      <c r="X40" s="40">
        <v>925700</v>
      </c>
      <c r="Y40" s="40">
        <v>3729398</v>
      </c>
      <c r="Z40" s="40">
        <v>1457000</v>
      </c>
      <c r="AA40" s="40">
        <v>271041</v>
      </c>
      <c r="AB40" s="40">
        <v>-1878240</v>
      </c>
      <c r="AC40" s="40">
        <v>-2197</v>
      </c>
      <c r="AD40" s="40">
        <v>21399</v>
      </c>
      <c r="AE40" s="40">
        <v>0</v>
      </c>
      <c r="AF40" s="40">
        <v>0</v>
      </c>
      <c r="AG40" s="40">
        <v>49974</v>
      </c>
      <c r="AH40" s="3"/>
      <c r="AI40" s="40">
        <v>1910328</v>
      </c>
      <c r="AJ40" s="3"/>
      <c r="AK40" s="1">
        <v>46210276</v>
      </c>
      <c r="AL40" s="1">
        <v>2755157</v>
      </c>
      <c r="AM40" s="40">
        <v>452313</v>
      </c>
      <c r="AN40" s="40">
        <v>17396884</v>
      </c>
      <c r="AO40" s="40">
        <v>2294771</v>
      </c>
      <c r="AP40" s="40">
        <v>223120606</v>
      </c>
      <c r="AQ40" s="40">
        <v>52334618</v>
      </c>
      <c r="AR40" s="40">
        <v>68742144</v>
      </c>
      <c r="AS40" s="40">
        <v>21718452</v>
      </c>
      <c r="AT40" s="40">
        <v>113954</v>
      </c>
      <c r="AU40" s="40">
        <v>0</v>
      </c>
      <c r="AV40" s="40">
        <v>0</v>
      </c>
      <c r="AW40" s="40">
        <v>25965455</v>
      </c>
      <c r="AX40" s="40">
        <v>437429</v>
      </c>
      <c r="AY40" s="40">
        <v>21000</v>
      </c>
      <c r="AZ40" s="1">
        <v>2869929.9</v>
      </c>
      <c r="BA40" s="1">
        <v>1463664</v>
      </c>
      <c r="BB40" s="1">
        <v>16207253.890000001</v>
      </c>
      <c r="BC40" s="15">
        <v>759571</v>
      </c>
      <c r="BD40" s="15">
        <v>1489356</v>
      </c>
      <c r="BE40" s="20">
        <v>3847039</v>
      </c>
      <c r="BF40" s="20">
        <v>3847039</v>
      </c>
      <c r="BG40" s="20">
        <v>22583254</v>
      </c>
      <c r="BH40" s="20">
        <v>21565320</v>
      </c>
      <c r="BI40" s="44"/>
      <c r="BJ40" s="44"/>
      <c r="BK40" s="44"/>
      <c r="BL40" s="5">
        <v>547546479</v>
      </c>
      <c r="BM40" s="5">
        <v>470945452</v>
      </c>
      <c r="BN40" s="15">
        <v>165205</v>
      </c>
      <c r="BO40" s="3"/>
      <c r="BP40" s="1"/>
      <c r="BQ40" s="1"/>
      <c r="BR40" s="5"/>
      <c r="BS40" s="5"/>
      <c r="BT40" s="5"/>
    </row>
    <row r="41" spans="1:72" x14ac:dyDescent="0.25">
      <c r="A41" s="6" t="s">
        <v>95</v>
      </c>
      <c r="B41" s="40">
        <v>492791416</v>
      </c>
      <c r="C41" s="40">
        <v>127111038</v>
      </c>
      <c r="D41" s="40">
        <v>54593552</v>
      </c>
      <c r="E41" s="40">
        <v>0</v>
      </c>
      <c r="F41" s="40">
        <v>36551400</v>
      </c>
      <c r="G41" s="40">
        <v>10533100</v>
      </c>
      <c r="H41" s="40">
        <v>11543700</v>
      </c>
      <c r="I41" s="40">
        <v>2187000</v>
      </c>
      <c r="J41" s="40">
        <v>102000</v>
      </c>
      <c r="K41" s="40">
        <v>0</v>
      </c>
      <c r="L41" s="40">
        <v>205060162</v>
      </c>
      <c r="M41" s="40">
        <v>89928200</v>
      </c>
      <c r="N41" s="40">
        <v>1439</v>
      </c>
      <c r="O41" s="40">
        <v>397</v>
      </c>
      <c r="P41" s="40">
        <v>2608700</v>
      </c>
      <c r="Q41" s="40">
        <v>830000</v>
      </c>
      <c r="R41" s="40">
        <v>968500</v>
      </c>
      <c r="S41" s="40">
        <v>7263469</v>
      </c>
      <c r="T41" s="40">
        <v>1112400</v>
      </c>
      <c r="U41" s="40">
        <v>536600</v>
      </c>
      <c r="V41" s="40">
        <v>2608700</v>
      </c>
      <c r="W41" s="40">
        <v>830000</v>
      </c>
      <c r="X41" s="40">
        <v>968500</v>
      </c>
      <c r="Y41" s="40">
        <v>7263469</v>
      </c>
      <c r="Z41" s="40">
        <v>2046000</v>
      </c>
      <c r="AA41" s="40">
        <v>536600</v>
      </c>
      <c r="AB41" s="40">
        <v>-1843350</v>
      </c>
      <c r="AC41" s="40">
        <v>0</v>
      </c>
      <c r="AD41" s="40">
        <v>0</v>
      </c>
      <c r="AE41" s="40">
        <v>0</v>
      </c>
      <c r="AF41" s="40">
        <v>0</v>
      </c>
      <c r="AG41" s="40">
        <v>134213</v>
      </c>
      <c r="AH41" s="3"/>
      <c r="AI41" s="40">
        <v>471164</v>
      </c>
      <c r="AJ41" s="3"/>
      <c r="AK41" s="1">
        <v>95880192</v>
      </c>
      <c r="AL41" s="1">
        <v>5880536</v>
      </c>
      <c r="AM41" s="40">
        <v>409439</v>
      </c>
      <c r="AN41" s="40">
        <v>8682823</v>
      </c>
      <c r="AO41" s="40">
        <v>261686</v>
      </c>
      <c r="AP41" s="40">
        <v>5974577</v>
      </c>
      <c r="AQ41" s="40">
        <v>5010407</v>
      </c>
      <c r="AR41" s="40">
        <v>2441028</v>
      </c>
      <c r="AS41" s="40">
        <v>0</v>
      </c>
      <c r="AT41" s="40">
        <v>339165</v>
      </c>
      <c r="AU41" s="40">
        <v>0</v>
      </c>
      <c r="AV41" s="40">
        <v>0</v>
      </c>
      <c r="AW41" s="40">
        <v>0</v>
      </c>
      <c r="AX41" s="40">
        <v>219120</v>
      </c>
      <c r="AY41" s="40">
        <v>0</v>
      </c>
      <c r="AZ41" s="1">
        <v>5954723.79</v>
      </c>
      <c r="BA41" s="1">
        <v>3036909</v>
      </c>
      <c r="BB41" s="1"/>
      <c r="BC41" s="15">
        <v>0</v>
      </c>
      <c r="BD41" s="15">
        <v>0</v>
      </c>
      <c r="BE41" s="20">
        <v>14738122</v>
      </c>
      <c r="BF41" s="20">
        <v>14738122</v>
      </c>
      <c r="BG41" s="20">
        <v>29208692</v>
      </c>
      <c r="BH41" s="20">
        <v>29207171</v>
      </c>
      <c r="BI41" s="44"/>
      <c r="BJ41" s="44"/>
      <c r="BK41" s="44"/>
      <c r="BL41" s="5">
        <v>837665016</v>
      </c>
      <c r="BM41" s="5">
        <v>688922086</v>
      </c>
      <c r="BN41" s="15">
        <v>821600</v>
      </c>
      <c r="BO41" s="3"/>
      <c r="BP41" s="1"/>
      <c r="BQ41" s="1"/>
      <c r="BR41" s="5"/>
      <c r="BS41" s="5"/>
      <c r="BT41" s="5"/>
    </row>
    <row r="42" spans="1:72" x14ac:dyDescent="0.25">
      <c r="A42" s="6" t="s">
        <v>96</v>
      </c>
      <c r="B42" s="40">
        <v>602424211</v>
      </c>
      <c r="C42" s="40">
        <v>198036632</v>
      </c>
      <c r="D42" s="40">
        <v>193862304</v>
      </c>
      <c r="E42" s="40">
        <v>600000</v>
      </c>
      <c r="F42" s="40">
        <v>34587400</v>
      </c>
      <c r="G42" s="40">
        <v>6710380</v>
      </c>
      <c r="H42" s="40">
        <v>17411700</v>
      </c>
      <c r="I42" s="40">
        <v>1825100</v>
      </c>
      <c r="J42" s="40">
        <v>337400</v>
      </c>
      <c r="K42" s="40">
        <v>0</v>
      </c>
      <c r="L42" s="40">
        <v>310173025</v>
      </c>
      <c r="M42" s="40">
        <v>163498400</v>
      </c>
      <c r="N42" s="40">
        <v>1586</v>
      </c>
      <c r="O42" s="40">
        <v>275</v>
      </c>
      <c r="P42" s="40">
        <v>2790000</v>
      </c>
      <c r="Q42" s="40">
        <v>4122700</v>
      </c>
      <c r="R42" s="40">
        <v>5370000</v>
      </c>
      <c r="S42" s="40">
        <v>12753232</v>
      </c>
      <c r="T42" s="40">
        <v>797800</v>
      </c>
      <c r="U42" s="40">
        <v>2161800</v>
      </c>
      <c r="V42" s="40">
        <v>2790000</v>
      </c>
      <c r="W42" s="40">
        <v>4409700</v>
      </c>
      <c r="X42" s="40">
        <v>5370000</v>
      </c>
      <c r="Y42" s="40">
        <v>12756232</v>
      </c>
      <c r="Z42" s="40">
        <v>2974455</v>
      </c>
      <c r="AA42" s="40">
        <v>2161800</v>
      </c>
      <c r="AB42" s="40">
        <v>1299630</v>
      </c>
      <c r="AC42" s="40">
        <v>-79910</v>
      </c>
      <c r="AD42" s="40">
        <v>69401</v>
      </c>
      <c r="AE42" s="40">
        <v>64</v>
      </c>
      <c r="AF42" s="40">
        <v>0</v>
      </c>
      <c r="AG42" s="40">
        <v>146384</v>
      </c>
      <c r="AH42" s="3"/>
      <c r="AI42" s="3"/>
      <c r="AJ42" s="3"/>
      <c r="AK42" s="1">
        <v>125158147</v>
      </c>
      <c r="AL42" s="1">
        <v>4085286</v>
      </c>
      <c r="AM42" s="40">
        <v>0</v>
      </c>
      <c r="AN42" s="40">
        <v>22397165</v>
      </c>
      <c r="AO42" s="40">
        <v>565754</v>
      </c>
      <c r="AP42" s="40">
        <v>24591752</v>
      </c>
      <c r="AQ42" s="40">
        <v>35840490</v>
      </c>
      <c r="AR42" s="40">
        <v>24176892</v>
      </c>
      <c r="AS42" s="40">
        <v>22191</v>
      </c>
      <c r="AT42" s="40">
        <v>1825</v>
      </c>
      <c r="AU42" s="40">
        <v>0</v>
      </c>
      <c r="AV42" s="40">
        <v>0</v>
      </c>
      <c r="AW42" s="40">
        <v>0</v>
      </c>
      <c r="AX42" s="40">
        <v>6363</v>
      </c>
      <c r="AY42" s="40">
        <v>0</v>
      </c>
      <c r="AZ42" s="1">
        <v>7773056.9800000004</v>
      </c>
      <c r="BA42" s="1">
        <v>3964259</v>
      </c>
      <c r="BB42" s="1"/>
      <c r="BC42" s="15">
        <v>2739081</v>
      </c>
      <c r="BD42" s="15">
        <v>5370747</v>
      </c>
      <c r="BE42" s="20">
        <v>36207807</v>
      </c>
      <c r="BF42" s="20">
        <v>36207807</v>
      </c>
      <c r="BG42" s="20">
        <v>67409416</v>
      </c>
      <c r="BH42" s="20">
        <v>61003031</v>
      </c>
      <c r="BI42" s="44"/>
      <c r="BJ42" s="44"/>
      <c r="BK42" s="44"/>
      <c r="BL42" s="5">
        <v>1286284167</v>
      </c>
      <c r="BM42" s="5">
        <v>1053126556</v>
      </c>
      <c r="BN42" s="15">
        <v>1767100</v>
      </c>
      <c r="BO42" s="3"/>
      <c r="BP42" s="1"/>
      <c r="BQ42" s="1"/>
      <c r="BR42" s="5"/>
      <c r="BS42" s="5"/>
      <c r="BT42" s="5"/>
    </row>
    <row r="43" spans="1:72" x14ac:dyDescent="0.25">
      <c r="A43" s="6" t="s">
        <v>97</v>
      </c>
      <c r="B43" s="40">
        <v>703383970</v>
      </c>
      <c r="C43" s="40">
        <v>331518452</v>
      </c>
      <c r="D43" s="40">
        <v>244427325</v>
      </c>
      <c r="E43" s="40">
        <v>0</v>
      </c>
      <c r="F43" s="40">
        <v>86452921</v>
      </c>
      <c r="G43" s="40">
        <v>18548650</v>
      </c>
      <c r="H43" s="40">
        <v>23060400</v>
      </c>
      <c r="I43" s="40">
        <v>3207550</v>
      </c>
      <c r="J43" s="40">
        <v>136000</v>
      </c>
      <c r="K43" s="40">
        <v>68000</v>
      </c>
      <c r="L43" s="40">
        <v>784807203</v>
      </c>
      <c r="M43" s="40">
        <v>184135851</v>
      </c>
      <c r="N43" s="40">
        <v>3391</v>
      </c>
      <c r="O43" s="40">
        <v>722</v>
      </c>
      <c r="P43" s="40">
        <v>4838189</v>
      </c>
      <c r="Q43" s="40">
        <v>593230</v>
      </c>
      <c r="R43" s="40">
        <v>0</v>
      </c>
      <c r="S43" s="40">
        <v>6336813</v>
      </c>
      <c r="T43" s="40">
        <v>1095000</v>
      </c>
      <c r="U43" s="40">
        <v>0</v>
      </c>
      <c r="V43" s="40">
        <v>4838189</v>
      </c>
      <c r="W43" s="40">
        <v>827800</v>
      </c>
      <c r="X43" s="40">
        <v>0</v>
      </c>
      <c r="Y43" s="40">
        <v>6336813</v>
      </c>
      <c r="Z43" s="40">
        <v>1847000</v>
      </c>
      <c r="AA43" s="40">
        <v>0</v>
      </c>
      <c r="AB43" s="40">
        <v>-8271438</v>
      </c>
      <c r="AC43" s="40">
        <v>-20156</v>
      </c>
      <c r="AD43" s="40">
        <v>55491</v>
      </c>
      <c r="AE43" s="40">
        <v>0</v>
      </c>
      <c r="AF43" s="40">
        <v>1900077</v>
      </c>
      <c r="AG43" s="40">
        <v>313763</v>
      </c>
      <c r="AH43" s="3"/>
      <c r="AI43" s="40">
        <v>548377</v>
      </c>
      <c r="AJ43" s="3"/>
      <c r="AK43" s="1">
        <v>217353191</v>
      </c>
      <c r="AL43" s="1">
        <v>6378438</v>
      </c>
      <c r="AM43" s="40">
        <v>0</v>
      </c>
      <c r="AN43" s="40">
        <v>47155272</v>
      </c>
      <c r="AO43" s="40">
        <v>4708948</v>
      </c>
      <c r="AP43" s="40">
        <v>21184921</v>
      </c>
      <c r="AQ43" s="40">
        <v>67742910</v>
      </c>
      <c r="AR43" s="40">
        <v>56214628</v>
      </c>
      <c r="AS43" s="40">
        <v>1103833</v>
      </c>
      <c r="AT43" s="40">
        <v>1361690</v>
      </c>
      <c r="AU43" s="40">
        <v>0</v>
      </c>
      <c r="AV43" s="40">
        <v>0</v>
      </c>
      <c r="AW43" s="40">
        <v>9949283</v>
      </c>
      <c r="AX43" s="40">
        <v>105013</v>
      </c>
      <c r="AY43" s="40">
        <v>0</v>
      </c>
      <c r="AZ43" s="1">
        <v>13498911.4</v>
      </c>
      <c r="BA43" s="1">
        <v>6884445</v>
      </c>
      <c r="BB43" s="1"/>
      <c r="BC43" s="15">
        <v>2478845</v>
      </c>
      <c r="BD43" s="15">
        <v>4860480</v>
      </c>
      <c r="BE43" s="20">
        <v>51009075</v>
      </c>
      <c r="BF43" s="20">
        <v>48745086</v>
      </c>
      <c r="BG43" s="20">
        <v>95361012</v>
      </c>
      <c r="BH43" s="20">
        <v>81217538</v>
      </c>
      <c r="BI43" s="44"/>
      <c r="BJ43" s="44">
        <v>4303101</v>
      </c>
      <c r="BK43" s="44"/>
      <c r="BL43" s="5">
        <v>1766845898</v>
      </c>
      <c r="BM43" s="5">
        <v>1399485254</v>
      </c>
      <c r="BN43" s="15">
        <v>4378644</v>
      </c>
      <c r="BO43" s="3"/>
      <c r="BP43" s="1"/>
      <c r="BQ43" s="1"/>
      <c r="BR43" s="5"/>
      <c r="BS43" s="5"/>
      <c r="BT43" s="5"/>
    </row>
    <row r="44" spans="1:72" x14ac:dyDescent="0.25">
      <c r="A44" s="6" t="s">
        <v>98</v>
      </c>
      <c r="B44" s="40">
        <v>616412299</v>
      </c>
      <c r="C44" s="40">
        <v>186472465</v>
      </c>
      <c r="D44" s="40">
        <v>160269860</v>
      </c>
      <c r="E44" s="40">
        <v>16600000</v>
      </c>
      <c r="F44" s="40">
        <v>49590379</v>
      </c>
      <c r="G44" s="40">
        <v>14076173</v>
      </c>
      <c r="H44" s="40">
        <v>19999950</v>
      </c>
      <c r="I44" s="40">
        <v>3175400</v>
      </c>
      <c r="J44" s="40">
        <v>201000</v>
      </c>
      <c r="K44" s="40">
        <v>0</v>
      </c>
      <c r="L44" s="40">
        <v>254569277</v>
      </c>
      <c r="M44" s="40">
        <v>114357231</v>
      </c>
      <c r="N44" s="40">
        <v>2198</v>
      </c>
      <c r="O44" s="40">
        <v>587</v>
      </c>
      <c r="P44" s="40">
        <v>13107682</v>
      </c>
      <c r="Q44" s="40">
        <v>2933300</v>
      </c>
      <c r="R44" s="40">
        <v>3249729</v>
      </c>
      <c r="S44" s="40">
        <v>6383314</v>
      </c>
      <c r="T44" s="40">
        <v>1874482</v>
      </c>
      <c r="U44" s="40">
        <v>3526816</v>
      </c>
      <c r="V44" s="40">
        <v>13107682</v>
      </c>
      <c r="W44" s="40">
        <v>3176450</v>
      </c>
      <c r="X44" s="40">
        <v>3249729</v>
      </c>
      <c r="Y44" s="40">
        <v>6383314</v>
      </c>
      <c r="Z44" s="40">
        <v>2457384</v>
      </c>
      <c r="AA44" s="40">
        <v>3526816</v>
      </c>
      <c r="AB44" s="40">
        <v>-3620584</v>
      </c>
      <c r="AC44" s="40">
        <v>-305902</v>
      </c>
      <c r="AD44" s="40">
        <v>127452</v>
      </c>
      <c r="AE44" s="40">
        <v>71661</v>
      </c>
      <c r="AF44" s="40">
        <v>78895147</v>
      </c>
      <c r="AG44" s="40">
        <v>269640</v>
      </c>
      <c r="AH44" s="40">
        <v>0</v>
      </c>
      <c r="AI44" s="40">
        <v>1039148</v>
      </c>
      <c r="AJ44" s="3"/>
      <c r="AK44" s="1">
        <v>132740717</v>
      </c>
      <c r="AL44" s="1">
        <v>14667874</v>
      </c>
      <c r="AM44" s="40">
        <v>214500</v>
      </c>
      <c r="AN44" s="40">
        <v>33606580</v>
      </c>
      <c r="AO44" s="40">
        <v>4012512</v>
      </c>
      <c r="AP44" s="40">
        <v>68350575</v>
      </c>
      <c r="AQ44" s="40">
        <v>44392218</v>
      </c>
      <c r="AR44" s="40">
        <v>36675286</v>
      </c>
      <c r="AS44" s="40">
        <v>3061681</v>
      </c>
      <c r="AT44" s="40">
        <v>101274</v>
      </c>
      <c r="AU44" s="40">
        <v>0</v>
      </c>
      <c r="AV44" s="40">
        <v>39369</v>
      </c>
      <c r="AW44" s="40">
        <v>83147</v>
      </c>
      <c r="AX44" s="40">
        <v>417339</v>
      </c>
      <c r="AY44" s="40">
        <v>456040</v>
      </c>
      <c r="AZ44" s="1">
        <v>8243979.1699999999</v>
      </c>
      <c r="BA44" s="1">
        <v>4204429</v>
      </c>
      <c r="BB44" s="1"/>
      <c r="BC44" s="15">
        <v>2265504</v>
      </c>
      <c r="BD44" s="15">
        <v>4442166</v>
      </c>
      <c r="BE44" s="20">
        <v>12233205</v>
      </c>
      <c r="BF44" s="20">
        <v>8246802</v>
      </c>
      <c r="BG44" s="20">
        <v>42386165</v>
      </c>
      <c r="BH44" s="20">
        <v>39739206</v>
      </c>
      <c r="BI44" s="44"/>
      <c r="BJ44" s="44"/>
      <c r="BK44" s="44"/>
      <c r="BL44" s="5">
        <v>1248069614</v>
      </c>
      <c r="BM44" s="5">
        <v>1046205082</v>
      </c>
      <c r="BN44" s="15">
        <v>1334270</v>
      </c>
      <c r="BO44" s="3"/>
      <c r="BP44" s="1"/>
      <c r="BQ44" s="1"/>
      <c r="BR44" s="5"/>
      <c r="BS44" s="5"/>
      <c r="BT44" s="5"/>
    </row>
    <row r="45" spans="1:72" x14ac:dyDescent="0.25">
      <c r="A45" s="6" t="s">
        <v>99</v>
      </c>
      <c r="B45" s="40">
        <v>164076843</v>
      </c>
      <c r="C45" s="40">
        <v>113274901</v>
      </c>
      <c r="D45" s="40">
        <v>33348897</v>
      </c>
      <c r="E45" s="40">
        <v>0</v>
      </c>
      <c r="F45" s="40">
        <v>23213380</v>
      </c>
      <c r="G45" s="40">
        <v>9029628</v>
      </c>
      <c r="H45" s="40">
        <v>11913750</v>
      </c>
      <c r="I45" s="40">
        <v>3150000</v>
      </c>
      <c r="J45" s="40">
        <v>64000</v>
      </c>
      <c r="K45" s="40">
        <v>0</v>
      </c>
      <c r="L45" s="40">
        <v>204272025</v>
      </c>
      <c r="M45" s="40">
        <v>61411449</v>
      </c>
      <c r="N45" s="40">
        <v>1094</v>
      </c>
      <c r="O45" s="40">
        <v>396</v>
      </c>
      <c r="P45" s="40">
        <v>1808000</v>
      </c>
      <c r="Q45" s="40">
        <v>1613400</v>
      </c>
      <c r="R45" s="40">
        <v>1983426</v>
      </c>
      <c r="S45" s="40">
        <v>282200</v>
      </c>
      <c r="T45" s="40">
        <v>25000</v>
      </c>
      <c r="U45" s="40">
        <v>52000</v>
      </c>
      <c r="V45" s="40">
        <v>1808000</v>
      </c>
      <c r="W45" s="40">
        <v>1908386</v>
      </c>
      <c r="X45" s="40">
        <v>1983426</v>
      </c>
      <c r="Y45" s="40">
        <v>282200</v>
      </c>
      <c r="Z45" s="40">
        <v>25000</v>
      </c>
      <c r="AA45" s="40">
        <v>52000</v>
      </c>
      <c r="AB45" s="40">
        <v>-2262018</v>
      </c>
      <c r="AC45" s="40">
        <v>-160242</v>
      </c>
      <c r="AD45" s="40">
        <v>3</v>
      </c>
      <c r="AE45" s="40">
        <v>0</v>
      </c>
      <c r="AF45" s="40">
        <v>0</v>
      </c>
      <c r="AG45" s="40">
        <v>121</v>
      </c>
      <c r="AH45" s="40">
        <v>3528270</v>
      </c>
      <c r="AI45" s="40">
        <v>204631</v>
      </c>
      <c r="AJ45" s="3"/>
      <c r="AK45" s="1">
        <v>53272197</v>
      </c>
      <c r="AL45" s="1">
        <v>1173784</v>
      </c>
      <c r="AM45" s="40">
        <v>0</v>
      </c>
      <c r="AN45" s="40">
        <v>6527571</v>
      </c>
      <c r="AO45" s="40">
        <v>100571</v>
      </c>
      <c r="AP45" s="40">
        <v>3775868</v>
      </c>
      <c r="AQ45" s="40">
        <v>5030981</v>
      </c>
      <c r="AR45" s="40">
        <v>1087141</v>
      </c>
      <c r="AS45" s="40">
        <v>0</v>
      </c>
      <c r="AT45" s="40">
        <v>97291</v>
      </c>
      <c r="AU45" s="40">
        <v>0</v>
      </c>
      <c r="AV45" s="40">
        <v>0</v>
      </c>
      <c r="AW45" s="40">
        <v>0</v>
      </c>
      <c r="AX45" s="40">
        <v>0</v>
      </c>
      <c r="AY45" s="40">
        <v>0</v>
      </c>
      <c r="AZ45" s="1">
        <v>3308516.72</v>
      </c>
      <c r="BA45" s="1">
        <v>1687344</v>
      </c>
      <c r="BB45" s="1"/>
      <c r="BC45" s="15">
        <v>0</v>
      </c>
      <c r="BD45" s="15">
        <v>0</v>
      </c>
      <c r="BE45" s="20">
        <v>9622781</v>
      </c>
      <c r="BF45" s="20">
        <v>9622781</v>
      </c>
      <c r="BG45" s="20">
        <v>28483728</v>
      </c>
      <c r="BH45" s="20">
        <v>28450256</v>
      </c>
      <c r="BI45" s="44"/>
      <c r="BJ45" s="44"/>
      <c r="BK45" s="44"/>
      <c r="BL45" s="5">
        <v>420299027</v>
      </c>
      <c r="BM45" s="5">
        <v>326092665</v>
      </c>
      <c r="BN45" s="15">
        <v>280762</v>
      </c>
      <c r="BO45" s="3"/>
      <c r="BP45" s="1"/>
      <c r="BQ45" s="1"/>
      <c r="BR45" s="5"/>
      <c r="BS45" s="5"/>
      <c r="BT45" s="5"/>
    </row>
    <row r="46" spans="1:72" x14ac:dyDescent="0.25">
      <c r="A46" s="6" t="s">
        <v>100</v>
      </c>
      <c r="B46" s="40">
        <v>878051052</v>
      </c>
      <c r="C46" s="40">
        <v>114578551</v>
      </c>
      <c r="D46" s="40">
        <v>268879539</v>
      </c>
      <c r="E46" s="40">
        <v>0</v>
      </c>
      <c r="F46" s="40">
        <v>107020388</v>
      </c>
      <c r="G46" s="40">
        <v>27835641</v>
      </c>
      <c r="H46" s="40">
        <v>15497637</v>
      </c>
      <c r="I46" s="40">
        <v>4805723</v>
      </c>
      <c r="J46" s="40">
        <v>102000</v>
      </c>
      <c r="K46" s="40">
        <v>34000</v>
      </c>
      <c r="L46" s="40">
        <v>103101958</v>
      </c>
      <c r="M46" s="40">
        <v>99060499</v>
      </c>
      <c r="N46" s="40">
        <v>3888</v>
      </c>
      <c r="O46" s="40">
        <v>1120</v>
      </c>
      <c r="P46" s="40">
        <v>4654465</v>
      </c>
      <c r="Q46" s="40">
        <v>1379428</v>
      </c>
      <c r="R46" s="40">
        <v>416716</v>
      </c>
      <c r="S46" s="40">
        <v>1072472</v>
      </c>
      <c r="T46" s="40">
        <v>369201</v>
      </c>
      <c r="U46" s="40">
        <v>276860</v>
      </c>
      <c r="V46" s="40">
        <v>4654465</v>
      </c>
      <c r="W46" s="40">
        <v>1414303</v>
      </c>
      <c r="X46" s="40">
        <v>416716</v>
      </c>
      <c r="Y46" s="40">
        <v>1072472</v>
      </c>
      <c r="Z46" s="40">
        <v>479931</v>
      </c>
      <c r="AA46" s="40">
        <v>276860</v>
      </c>
      <c r="AB46" s="40">
        <v>-15214681</v>
      </c>
      <c r="AC46" s="40">
        <v>-623345</v>
      </c>
      <c r="AD46" s="40">
        <v>148521</v>
      </c>
      <c r="AE46" s="40">
        <v>0</v>
      </c>
      <c r="AF46" s="40">
        <v>0</v>
      </c>
      <c r="AG46" s="40">
        <v>188233</v>
      </c>
      <c r="AH46" s="40">
        <v>491910</v>
      </c>
      <c r="AI46" s="40">
        <v>244582</v>
      </c>
      <c r="AJ46" s="3"/>
      <c r="AK46" s="1">
        <v>218901558</v>
      </c>
      <c r="AL46" s="1">
        <v>6356891</v>
      </c>
      <c r="AM46" s="40">
        <v>27500</v>
      </c>
      <c r="AN46" s="40">
        <v>43698295</v>
      </c>
      <c r="AO46" s="40">
        <v>1397482</v>
      </c>
      <c r="AP46" s="40">
        <v>104197313</v>
      </c>
      <c r="AQ46" s="40">
        <v>51103506</v>
      </c>
      <c r="AR46" s="40">
        <v>76906742</v>
      </c>
      <c r="AS46" s="40">
        <v>58756489</v>
      </c>
      <c r="AT46" s="40">
        <v>300456</v>
      </c>
      <c r="AU46" s="40">
        <v>0</v>
      </c>
      <c r="AV46" s="40">
        <v>0</v>
      </c>
      <c r="AW46" s="40">
        <v>0</v>
      </c>
      <c r="AX46" s="40">
        <v>15230</v>
      </c>
      <c r="AY46" s="40">
        <v>895612</v>
      </c>
      <c r="AZ46" s="1">
        <v>13595074.1</v>
      </c>
      <c r="BA46" s="1">
        <v>6933488</v>
      </c>
      <c r="BB46" s="1">
        <v>28538860</v>
      </c>
      <c r="BC46" s="15">
        <v>31043355</v>
      </c>
      <c r="BD46" s="15">
        <v>60869324</v>
      </c>
      <c r="BE46" s="20">
        <v>46449197</v>
      </c>
      <c r="BF46" s="20">
        <v>46449197</v>
      </c>
      <c r="BG46" s="20">
        <v>80566372</v>
      </c>
      <c r="BH46" s="20">
        <v>71437340</v>
      </c>
      <c r="BI46" s="44"/>
      <c r="BJ46" s="44"/>
      <c r="BK46" s="44"/>
      <c r="BL46" s="5">
        <v>1739566746</v>
      </c>
      <c r="BM46" s="5">
        <v>1358444917</v>
      </c>
      <c r="BN46" s="15">
        <v>1945430</v>
      </c>
      <c r="BO46" s="3"/>
      <c r="BP46" s="1"/>
      <c r="BQ46" s="1"/>
      <c r="BR46" s="5"/>
      <c r="BS46" s="5"/>
      <c r="BT46" s="5"/>
    </row>
    <row r="47" spans="1:72" x14ac:dyDescent="0.25">
      <c r="A47" s="6" t="s">
        <v>101</v>
      </c>
      <c r="B47" s="40">
        <v>146995400</v>
      </c>
      <c r="C47" s="40">
        <v>79624350</v>
      </c>
      <c r="D47" s="40">
        <v>114018708</v>
      </c>
      <c r="E47" s="40">
        <v>304666662</v>
      </c>
      <c r="F47" s="40">
        <v>16697500</v>
      </c>
      <c r="G47" s="40">
        <v>3190000</v>
      </c>
      <c r="H47" s="40">
        <v>8668700</v>
      </c>
      <c r="I47" s="40">
        <v>1139700</v>
      </c>
      <c r="J47" s="40">
        <v>0</v>
      </c>
      <c r="K47" s="40">
        <v>0</v>
      </c>
      <c r="L47" s="40">
        <v>150393650</v>
      </c>
      <c r="M47" s="40">
        <v>59710200</v>
      </c>
      <c r="N47" s="40">
        <v>791</v>
      </c>
      <c r="O47" s="40">
        <v>146</v>
      </c>
      <c r="P47" s="40">
        <v>2792200</v>
      </c>
      <c r="Q47" s="40">
        <v>1672800</v>
      </c>
      <c r="R47" s="40">
        <v>545000</v>
      </c>
      <c r="S47" s="40">
        <v>1870390</v>
      </c>
      <c r="T47" s="40">
        <v>1094600</v>
      </c>
      <c r="U47" s="40">
        <v>4064800</v>
      </c>
      <c r="V47" s="40">
        <v>2792200</v>
      </c>
      <c r="W47" s="40">
        <v>1829500</v>
      </c>
      <c r="X47" s="40">
        <v>545000</v>
      </c>
      <c r="Y47" s="40">
        <v>1870390</v>
      </c>
      <c r="Z47" s="40">
        <v>1209900</v>
      </c>
      <c r="AA47" s="40">
        <v>4064800</v>
      </c>
      <c r="AB47" s="40">
        <v>-1123400</v>
      </c>
      <c r="AC47" s="40">
        <v>0</v>
      </c>
      <c r="AD47" s="40">
        <v>87804</v>
      </c>
      <c r="AE47" s="40">
        <v>0</v>
      </c>
      <c r="AF47" s="40">
        <v>0</v>
      </c>
      <c r="AG47" s="40">
        <v>107336</v>
      </c>
      <c r="AH47" s="40">
        <v>583320</v>
      </c>
      <c r="AI47" s="40">
        <v>276246</v>
      </c>
      <c r="AJ47" s="40">
        <v>230000</v>
      </c>
      <c r="AK47" s="1">
        <v>51613349</v>
      </c>
      <c r="AL47" s="1">
        <v>1815710</v>
      </c>
      <c r="AM47" s="40">
        <v>0</v>
      </c>
      <c r="AN47" s="40">
        <v>22132053</v>
      </c>
      <c r="AO47" s="40">
        <v>32081622</v>
      </c>
      <c r="AP47" s="40">
        <v>461368191</v>
      </c>
      <c r="AQ47" s="40">
        <v>47394705</v>
      </c>
      <c r="AR47" s="40">
        <v>149711624</v>
      </c>
      <c r="AS47" s="40">
        <v>29336019</v>
      </c>
      <c r="AT47" s="40">
        <v>1038096</v>
      </c>
      <c r="AU47" s="40">
        <v>0</v>
      </c>
      <c r="AV47" s="40">
        <v>0</v>
      </c>
      <c r="AW47" s="40">
        <v>440275</v>
      </c>
      <c r="AX47" s="40">
        <v>64023</v>
      </c>
      <c r="AY47" s="40">
        <v>264500</v>
      </c>
      <c r="AZ47" s="1">
        <v>3205492.51</v>
      </c>
      <c r="BA47" s="1">
        <v>1634801</v>
      </c>
      <c r="BB47" s="1">
        <v>26336787.559999999</v>
      </c>
      <c r="BC47" s="15">
        <v>1684267</v>
      </c>
      <c r="BD47" s="15">
        <v>3302485</v>
      </c>
      <c r="BE47" s="20">
        <v>13229142</v>
      </c>
      <c r="BF47" s="20">
        <v>13229142</v>
      </c>
      <c r="BG47" s="20">
        <v>27897094</v>
      </c>
      <c r="BH47" s="20">
        <v>26293474</v>
      </c>
      <c r="BI47" s="44"/>
      <c r="BJ47" s="44"/>
      <c r="BK47" s="44"/>
      <c r="BL47" s="5">
        <v>539607147</v>
      </c>
      <c r="BM47" s="5">
        <v>443336404</v>
      </c>
      <c r="BN47" s="15">
        <v>489300</v>
      </c>
      <c r="BO47" s="3"/>
      <c r="BP47" s="1"/>
      <c r="BQ47" s="1"/>
      <c r="BR47" s="5"/>
      <c r="BS47" s="5"/>
      <c r="BT47" s="5"/>
    </row>
    <row r="48" spans="1:72" x14ac:dyDescent="0.25">
      <c r="A48" s="6" t="s">
        <v>102</v>
      </c>
      <c r="B48" s="40">
        <v>3641594673</v>
      </c>
      <c r="C48" s="40">
        <v>361819410</v>
      </c>
      <c r="D48" s="40">
        <v>1296202424</v>
      </c>
      <c r="E48" s="40">
        <v>7500000</v>
      </c>
      <c r="F48" s="40">
        <v>190423300</v>
      </c>
      <c r="G48" s="40">
        <v>22330900</v>
      </c>
      <c r="H48" s="40">
        <v>24845000</v>
      </c>
      <c r="I48" s="40">
        <v>1987200</v>
      </c>
      <c r="J48" s="40">
        <v>340000</v>
      </c>
      <c r="K48" s="40">
        <v>0</v>
      </c>
      <c r="L48" s="40">
        <v>523601250</v>
      </c>
      <c r="M48" s="40">
        <v>912252860</v>
      </c>
      <c r="N48" s="40">
        <v>6507</v>
      </c>
      <c r="O48" s="40">
        <v>775</v>
      </c>
      <c r="P48" s="40">
        <v>108499550</v>
      </c>
      <c r="Q48" s="40">
        <v>3944400</v>
      </c>
      <c r="R48" s="40">
        <v>14848800</v>
      </c>
      <c r="S48" s="40">
        <v>9572056</v>
      </c>
      <c r="T48" s="40">
        <v>1740200</v>
      </c>
      <c r="U48" s="40">
        <v>6380100</v>
      </c>
      <c r="V48" s="40">
        <v>108499550</v>
      </c>
      <c r="W48" s="40">
        <v>3944400</v>
      </c>
      <c r="X48" s="40">
        <v>14848800</v>
      </c>
      <c r="Y48" s="40">
        <v>9572056</v>
      </c>
      <c r="Z48" s="40">
        <v>1740200</v>
      </c>
      <c r="AA48" s="40">
        <v>6380100</v>
      </c>
      <c r="AB48" s="40">
        <v>-18313700</v>
      </c>
      <c r="AC48" s="40">
        <v>-1406528</v>
      </c>
      <c r="AD48" s="40">
        <v>87632</v>
      </c>
      <c r="AE48" s="40">
        <v>0</v>
      </c>
      <c r="AF48" s="40">
        <v>0</v>
      </c>
      <c r="AG48" s="40">
        <v>264261</v>
      </c>
      <c r="AH48" s="3"/>
      <c r="AI48" s="40">
        <v>772336</v>
      </c>
      <c r="AJ48" s="3"/>
      <c r="AK48" s="1">
        <v>569142091</v>
      </c>
      <c r="AL48" s="1">
        <v>15269414</v>
      </c>
      <c r="AM48" s="40">
        <v>0</v>
      </c>
      <c r="AN48" s="40">
        <v>160187364</v>
      </c>
      <c r="AO48" s="40">
        <v>14249332</v>
      </c>
      <c r="AP48" s="40">
        <v>439315910</v>
      </c>
      <c r="AQ48" s="40">
        <v>178980085</v>
      </c>
      <c r="AR48" s="40">
        <v>149154900</v>
      </c>
      <c r="AS48" s="40">
        <v>43778548</v>
      </c>
      <c r="AT48" s="40">
        <v>0</v>
      </c>
      <c r="AU48" s="40">
        <v>0</v>
      </c>
      <c r="AV48" s="40">
        <v>19595</v>
      </c>
      <c r="AW48" s="40">
        <v>460465</v>
      </c>
      <c r="AX48" s="40">
        <v>1633656</v>
      </c>
      <c r="AY48" s="40">
        <v>2817672</v>
      </c>
      <c r="AZ48" s="1">
        <v>35347070.939999998</v>
      </c>
      <c r="BA48" s="1">
        <v>18027006</v>
      </c>
      <c r="BB48" s="1">
        <v>2466321</v>
      </c>
      <c r="BC48" s="15">
        <v>5494674</v>
      </c>
      <c r="BD48" s="15">
        <v>10773870</v>
      </c>
      <c r="BE48" s="20">
        <v>36014338</v>
      </c>
      <c r="BF48" s="20">
        <v>30391232</v>
      </c>
      <c r="BG48" s="20">
        <v>174549608</v>
      </c>
      <c r="BH48" s="20">
        <v>166025626</v>
      </c>
      <c r="BI48" s="44"/>
      <c r="BJ48" s="44"/>
      <c r="BK48" s="44"/>
      <c r="BL48" s="5">
        <v>6458155667</v>
      </c>
      <c r="BM48" s="5">
        <v>5653805624</v>
      </c>
      <c r="BN48" s="15">
        <v>12150800</v>
      </c>
      <c r="BO48" s="3"/>
      <c r="BP48" s="1"/>
      <c r="BQ48" s="1"/>
      <c r="BR48" s="5"/>
      <c r="BS48" s="5"/>
      <c r="BT48" s="5"/>
    </row>
    <row r="49" spans="1:72" x14ac:dyDescent="0.25">
      <c r="A49" s="6" t="s">
        <v>103</v>
      </c>
      <c r="B49" s="40">
        <v>378552950</v>
      </c>
      <c r="C49" s="40">
        <v>38164803</v>
      </c>
      <c r="D49" s="40">
        <v>151567558</v>
      </c>
      <c r="E49" s="40">
        <v>0</v>
      </c>
      <c r="F49" s="40">
        <v>55897524</v>
      </c>
      <c r="G49" s="40">
        <v>67087818</v>
      </c>
      <c r="H49" s="40">
        <v>2488680</v>
      </c>
      <c r="I49" s="40">
        <v>1346460</v>
      </c>
      <c r="J49" s="40">
        <v>305700</v>
      </c>
      <c r="K49" s="40">
        <v>157450</v>
      </c>
      <c r="L49" s="40">
        <v>95834885</v>
      </c>
      <c r="M49" s="40">
        <v>12942090</v>
      </c>
      <c r="N49" s="40">
        <v>2039</v>
      </c>
      <c r="O49" s="40">
        <v>2503</v>
      </c>
      <c r="P49" s="40">
        <v>3230630</v>
      </c>
      <c r="Q49" s="40">
        <v>0</v>
      </c>
      <c r="R49" s="40">
        <v>1019900</v>
      </c>
      <c r="S49" s="40">
        <v>2230205</v>
      </c>
      <c r="T49" s="40">
        <v>10000</v>
      </c>
      <c r="U49" s="40">
        <v>640550</v>
      </c>
      <c r="V49" s="40">
        <v>3230630</v>
      </c>
      <c r="W49" s="40">
        <v>62000</v>
      </c>
      <c r="X49" s="40">
        <v>1019900</v>
      </c>
      <c r="Y49" s="40">
        <v>2230205</v>
      </c>
      <c r="Z49" s="40">
        <v>1100</v>
      </c>
      <c r="AA49" s="40">
        <v>640550</v>
      </c>
      <c r="AB49" s="40">
        <v>-3908485</v>
      </c>
      <c r="AC49" s="40">
        <v>-4788850</v>
      </c>
      <c r="AD49" s="40">
        <v>0</v>
      </c>
      <c r="AE49" s="40">
        <v>0</v>
      </c>
      <c r="AF49" s="40">
        <v>0</v>
      </c>
      <c r="AG49" s="40">
        <v>0</v>
      </c>
      <c r="AH49" s="40">
        <v>8717443</v>
      </c>
      <c r="AI49" s="40">
        <v>43805320</v>
      </c>
      <c r="AJ49" s="40">
        <v>235705082</v>
      </c>
      <c r="AK49" s="1">
        <v>157770740</v>
      </c>
      <c r="AL49" s="1">
        <v>1666415</v>
      </c>
      <c r="AM49" s="40">
        <v>0</v>
      </c>
      <c r="AN49" s="40">
        <v>224276669</v>
      </c>
      <c r="AO49" s="40">
        <v>7760583</v>
      </c>
      <c r="AP49" s="40">
        <v>83808627</v>
      </c>
      <c r="AQ49" s="40">
        <v>38625586</v>
      </c>
      <c r="AR49" s="40">
        <v>11069038</v>
      </c>
      <c r="AS49" s="40">
        <v>0</v>
      </c>
      <c r="AT49" s="40">
        <v>10563</v>
      </c>
      <c r="AU49" s="40">
        <v>0</v>
      </c>
      <c r="AV49" s="40">
        <v>0</v>
      </c>
      <c r="AW49" s="40">
        <v>0</v>
      </c>
      <c r="AX49" s="40">
        <v>0</v>
      </c>
      <c r="AY49" s="40">
        <v>310600</v>
      </c>
      <c r="AZ49" s="1">
        <v>9798490.7899999991</v>
      </c>
      <c r="BA49" s="1">
        <v>4997230</v>
      </c>
      <c r="BB49" s="1"/>
      <c r="BC49" s="15">
        <v>7787919</v>
      </c>
      <c r="BD49" s="15">
        <v>15270430</v>
      </c>
      <c r="BE49" s="20">
        <v>10488741</v>
      </c>
      <c r="BF49" s="20">
        <v>10488741</v>
      </c>
      <c r="BG49" s="20">
        <v>48695197</v>
      </c>
      <c r="BH49" s="20">
        <v>44189569</v>
      </c>
      <c r="BI49" s="44"/>
      <c r="BJ49" s="44"/>
      <c r="BK49" s="44"/>
      <c r="BL49" s="5">
        <v>1354076608</v>
      </c>
      <c r="BM49" s="5">
        <v>1127175994</v>
      </c>
      <c r="BN49" s="15">
        <v>654421</v>
      </c>
      <c r="BO49" s="3"/>
      <c r="BP49" s="1"/>
      <c r="BQ49" s="1"/>
      <c r="BR49" s="5"/>
      <c r="BS49" s="5"/>
      <c r="BT49" s="5"/>
    </row>
    <row r="50" spans="1:72" x14ac:dyDescent="0.25">
      <c r="A50" s="6" t="s">
        <v>104</v>
      </c>
      <c r="B50" s="40">
        <v>458081200</v>
      </c>
      <c r="C50" s="40">
        <v>218618470</v>
      </c>
      <c r="D50" s="40">
        <v>104779253</v>
      </c>
      <c r="E50" s="40">
        <v>0</v>
      </c>
      <c r="F50" s="40">
        <v>33302616</v>
      </c>
      <c r="G50" s="40">
        <v>4831100</v>
      </c>
      <c r="H50" s="40">
        <v>12646560</v>
      </c>
      <c r="I50" s="40">
        <v>1730922</v>
      </c>
      <c r="J50" s="40">
        <v>34000</v>
      </c>
      <c r="K50" s="40">
        <v>18000</v>
      </c>
      <c r="L50" s="40">
        <v>310028818</v>
      </c>
      <c r="M50" s="40">
        <v>151624788</v>
      </c>
      <c r="N50" s="40">
        <v>1368</v>
      </c>
      <c r="O50" s="40">
        <v>201</v>
      </c>
      <c r="P50" s="40">
        <v>1915195</v>
      </c>
      <c r="Q50" s="40">
        <v>2242147</v>
      </c>
      <c r="R50" s="40">
        <v>593100</v>
      </c>
      <c r="S50" s="40">
        <v>651111</v>
      </c>
      <c r="T50" s="40">
        <v>79250</v>
      </c>
      <c r="U50" s="40">
        <v>123035</v>
      </c>
      <c r="V50" s="40">
        <v>1915195</v>
      </c>
      <c r="W50" s="40">
        <v>2242147</v>
      </c>
      <c r="X50" s="40">
        <v>593100</v>
      </c>
      <c r="Y50" s="40">
        <v>651111</v>
      </c>
      <c r="Z50" s="40">
        <v>79250</v>
      </c>
      <c r="AA50" s="40">
        <v>123035</v>
      </c>
      <c r="AB50" s="40">
        <v>-1639448</v>
      </c>
      <c r="AC50" s="40">
        <v>0</v>
      </c>
      <c r="AD50" s="40">
        <v>0</v>
      </c>
      <c r="AE50" s="40">
        <v>0</v>
      </c>
      <c r="AF50" s="40">
        <v>0</v>
      </c>
      <c r="AG50" s="40">
        <v>195133</v>
      </c>
      <c r="AH50" s="3"/>
      <c r="AI50" s="3"/>
      <c r="AJ50" s="3"/>
      <c r="AK50" s="1">
        <v>110393840</v>
      </c>
      <c r="AL50" s="1">
        <v>2637350</v>
      </c>
      <c r="AM50" s="40">
        <v>0</v>
      </c>
      <c r="AN50" s="40">
        <v>21705898</v>
      </c>
      <c r="AO50" s="40">
        <v>3829060</v>
      </c>
      <c r="AP50" s="40">
        <v>83543653</v>
      </c>
      <c r="AQ50" s="40">
        <v>18530181</v>
      </c>
      <c r="AR50" s="40">
        <v>18303000</v>
      </c>
      <c r="AS50" s="40">
        <v>524290</v>
      </c>
      <c r="AT50" s="40">
        <v>470201</v>
      </c>
      <c r="AU50" s="40">
        <v>0</v>
      </c>
      <c r="AV50" s="40">
        <v>26052</v>
      </c>
      <c r="AW50" s="40">
        <v>13987573</v>
      </c>
      <c r="AX50" s="40">
        <v>0</v>
      </c>
      <c r="AY50" s="40">
        <v>243800</v>
      </c>
      <c r="AZ50" s="1">
        <v>6856106.6799999997</v>
      </c>
      <c r="BA50" s="1">
        <v>3496614</v>
      </c>
      <c r="BB50" s="1"/>
      <c r="BC50" s="15">
        <v>2241727</v>
      </c>
      <c r="BD50" s="15">
        <v>4395542</v>
      </c>
      <c r="BE50" s="20">
        <v>11420596</v>
      </c>
      <c r="BF50" s="20">
        <v>11420596</v>
      </c>
      <c r="BG50" s="20">
        <v>45150527</v>
      </c>
      <c r="BH50" s="20">
        <v>41333222</v>
      </c>
      <c r="BI50" s="44"/>
      <c r="BJ50" s="44"/>
      <c r="BK50" s="44"/>
      <c r="BL50" s="5">
        <v>997067411</v>
      </c>
      <c r="BM50" s="5">
        <v>825544062</v>
      </c>
      <c r="BN50" s="15">
        <v>1109334</v>
      </c>
      <c r="BO50" s="3"/>
      <c r="BP50" s="1"/>
      <c r="BQ50" s="1"/>
      <c r="BR50" s="5"/>
      <c r="BS50" s="5"/>
      <c r="BT50" s="5"/>
    </row>
    <row r="51" spans="1:72" x14ac:dyDescent="0.25">
      <c r="A51" s="6" t="s">
        <v>105</v>
      </c>
      <c r="B51" s="40">
        <v>282074238</v>
      </c>
      <c r="C51" s="40">
        <v>198231116</v>
      </c>
      <c r="D51" s="40">
        <v>128748358</v>
      </c>
      <c r="E51" s="40">
        <v>7813446</v>
      </c>
      <c r="F51" s="40">
        <v>36181000</v>
      </c>
      <c r="G51" s="40">
        <v>9908250</v>
      </c>
      <c r="H51" s="40">
        <v>17652200</v>
      </c>
      <c r="I51" s="40">
        <v>2745700</v>
      </c>
      <c r="J51" s="40">
        <v>140000</v>
      </c>
      <c r="K51" s="40">
        <v>34000</v>
      </c>
      <c r="L51" s="40">
        <v>279575222</v>
      </c>
      <c r="M51" s="40">
        <v>121586462</v>
      </c>
      <c r="N51" s="40">
        <v>1701</v>
      </c>
      <c r="O51" s="40">
        <v>442</v>
      </c>
      <c r="P51" s="40">
        <v>3577450</v>
      </c>
      <c r="Q51" s="40">
        <v>2257500</v>
      </c>
      <c r="R51" s="40">
        <v>1929800</v>
      </c>
      <c r="S51" s="40">
        <v>2117076</v>
      </c>
      <c r="T51" s="40">
        <v>262450</v>
      </c>
      <c r="U51" s="40">
        <v>436700</v>
      </c>
      <c r="V51" s="40">
        <v>3577450</v>
      </c>
      <c r="W51" s="40">
        <v>2246500</v>
      </c>
      <c r="X51" s="40">
        <v>1929800</v>
      </c>
      <c r="Y51" s="40">
        <v>2117076</v>
      </c>
      <c r="Z51" s="40">
        <v>452000</v>
      </c>
      <c r="AA51" s="40">
        <v>436700</v>
      </c>
      <c r="AB51" s="40">
        <v>-2375017</v>
      </c>
      <c r="AC51" s="40">
        <v>-81826</v>
      </c>
      <c r="AD51" s="40">
        <v>104338</v>
      </c>
      <c r="AE51" s="40">
        <v>0</v>
      </c>
      <c r="AF51" s="40">
        <v>0</v>
      </c>
      <c r="AG51" s="40">
        <v>234919</v>
      </c>
      <c r="AH51" s="40">
        <v>1907402</v>
      </c>
      <c r="AI51" s="40">
        <v>252369</v>
      </c>
      <c r="AJ51" s="3"/>
      <c r="AK51" s="1">
        <v>75706324</v>
      </c>
      <c r="AL51" s="1">
        <v>3389962</v>
      </c>
      <c r="AM51" s="40">
        <v>0</v>
      </c>
      <c r="AN51" s="40">
        <v>14165220</v>
      </c>
      <c r="AO51" s="40">
        <v>457560</v>
      </c>
      <c r="AP51" s="40">
        <v>184226181</v>
      </c>
      <c r="AQ51" s="40">
        <v>38420299</v>
      </c>
      <c r="AR51" s="40">
        <v>32205717</v>
      </c>
      <c r="AS51" s="40">
        <v>672394</v>
      </c>
      <c r="AT51" s="40">
        <v>43239</v>
      </c>
      <c r="AU51" s="40">
        <v>0</v>
      </c>
      <c r="AV51" s="40">
        <v>60616</v>
      </c>
      <c r="AW51" s="40">
        <v>3647209</v>
      </c>
      <c r="AX51" s="40">
        <v>254123</v>
      </c>
      <c r="AY51" s="40">
        <v>51010</v>
      </c>
      <c r="AZ51" s="1">
        <v>4701807.9400000004</v>
      </c>
      <c r="BA51" s="1">
        <v>2397922</v>
      </c>
      <c r="BB51" s="1"/>
      <c r="BC51" s="15">
        <v>1472248</v>
      </c>
      <c r="BD51" s="15">
        <v>2886760</v>
      </c>
      <c r="BE51" s="20">
        <v>10198325</v>
      </c>
      <c r="BF51" s="20">
        <v>10198325</v>
      </c>
      <c r="BG51" s="20">
        <v>55446232</v>
      </c>
      <c r="BH51" s="20">
        <v>52741146</v>
      </c>
      <c r="BI51" s="44"/>
      <c r="BJ51" s="44"/>
      <c r="BK51" s="44"/>
      <c r="BL51" s="5">
        <v>810162489</v>
      </c>
      <c r="BM51" s="5">
        <v>664256562</v>
      </c>
      <c r="BN51" s="15">
        <v>730475</v>
      </c>
      <c r="BO51" s="3"/>
      <c r="BP51" s="1"/>
      <c r="BQ51" s="1"/>
      <c r="BR51" s="5"/>
      <c r="BS51" s="5"/>
      <c r="BT51" s="5"/>
    </row>
    <row r="52" spans="1:72" x14ac:dyDescent="0.25">
      <c r="A52" s="6" t="s">
        <v>106</v>
      </c>
      <c r="B52" s="40">
        <v>1249153606</v>
      </c>
      <c r="C52" s="40">
        <v>239261224</v>
      </c>
      <c r="D52" s="40">
        <v>495911331</v>
      </c>
      <c r="E52" s="40">
        <v>122086715</v>
      </c>
      <c r="F52" s="40">
        <v>107842803</v>
      </c>
      <c r="G52" s="40">
        <v>15800749</v>
      </c>
      <c r="H52" s="40">
        <v>9716806</v>
      </c>
      <c r="I52" s="40">
        <v>634000</v>
      </c>
      <c r="J52" s="40">
        <v>238000</v>
      </c>
      <c r="K52" s="40">
        <v>34000</v>
      </c>
      <c r="L52" s="40">
        <v>423736658</v>
      </c>
      <c r="M52" s="40">
        <v>99550425</v>
      </c>
      <c r="N52" s="40">
        <v>3605</v>
      </c>
      <c r="O52" s="40">
        <v>542</v>
      </c>
      <c r="P52" s="40">
        <v>8573550</v>
      </c>
      <c r="Q52" s="40">
        <v>2969710</v>
      </c>
      <c r="R52" s="40">
        <v>11547940</v>
      </c>
      <c r="S52" s="40">
        <v>13212260</v>
      </c>
      <c r="T52" s="40">
        <v>2216065</v>
      </c>
      <c r="U52" s="40">
        <v>7519111</v>
      </c>
      <c r="V52" s="40">
        <v>8573550</v>
      </c>
      <c r="W52" s="40">
        <v>4329016</v>
      </c>
      <c r="X52" s="40">
        <v>11547940</v>
      </c>
      <c r="Y52" s="40">
        <v>13212260</v>
      </c>
      <c r="Z52" s="40">
        <v>3995391</v>
      </c>
      <c r="AA52" s="40">
        <v>7519111</v>
      </c>
      <c r="AB52" s="40">
        <v>-2998924</v>
      </c>
      <c r="AC52" s="40">
        <v>-2461259</v>
      </c>
      <c r="AD52" s="40">
        <v>36994</v>
      </c>
      <c r="AE52" s="40">
        <v>5131</v>
      </c>
      <c r="AF52" s="40">
        <v>18739110</v>
      </c>
      <c r="AG52" s="40">
        <v>244247</v>
      </c>
      <c r="AH52" s="40">
        <v>27676541</v>
      </c>
      <c r="AI52" s="40">
        <v>0</v>
      </c>
      <c r="AJ52" s="40">
        <v>48135377</v>
      </c>
      <c r="AK52" s="1">
        <v>273554775</v>
      </c>
      <c r="AL52" s="1">
        <v>13811102</v>
      </c>
      <c r="AM52" s="40">
        <v>117301</v>
      </c>
      <c r="AN52" s="40">
        <v>102726064</v>
      </c>
      <c r="AO52" s="40">
        <v>13126885</v>
      </c>
      <c r="AP52" s="40">
        <v>316069876</v>
      </c>
      <c r="AQ52" s="40">
        <v>110715708</v>
      </c>
      <c r="AR52" s="40">
        <v>169764178</v>
      </c>
      <c r="AS52" s="40">
        <v>89164888</v>
      </c>
      <c r="AT52" s="40">
        <v>3251368</v>
      </c>
      <c r="AU52" s="40">
        <v>0</v>
      </c>
      <c r="AV52" s="40">
        <v>15567329</v>
      </c>
      <c r="AW52" s="40">
        <v>36875621</v>
      </c>
      <c r="AX52" s="40">
        <v>2561644</v>
      </c>
      <c r="AY52" s="40">
        <v>6594762</v>
      </c>
      <c r="AZ52" s="1">
        <v>16989360.289999999</v>
      </c>
      <c r="BA52" s="1">
        <v>8664574</v>
      </c>
      <c r="BB52" s="1">
        <v>66326424.869999997</v>
      </c>
      <c r="BC52" s="15">
        <v>2842779</v>
      </c>
      <c r="BD52" s="15">
        <v>5574076</v>
      </c>
      <c r="BE52" s="20">
        <v>25209363</v>
      </c>
      <c r="BF52" s="20">
        <v>25209363</v>
      </c>
      <c r="BG52" s="20">
        <v>79522372</v>
      </c>
      <c r="BH52" s="20">
        <v>76309152</v>
      </c>
      <c r="BI52" s="44"/>
      <c r="BJ52" s="44"/>
      <c r="BK52" s="44"/>
      <c r="BL52" s="5">
        <v>2687098481</v>
      </c>
      <c r="BM52" s="5">
        <v>2286706736</v>
      </c>
      <c r="BN52" s="15">
        <v>4640451</v>
      </c>
      <c r="BO52" s="3"/>
      <c r="BP52" s="1"/>
      <c r="BQ52" s="1"/>
      <c r="BR52" s="5"/>
      <c r="BS52" s="5"/>
      <c r="BT52" s="5"/>
    </row>
    <row r="53" spans="1:72" x14ac:dyDescent="0.25">
      <c r="A53" s="6" t="s">
        <v>107</v>
      </c>
      <c r="B53" s="40">
        <v>424213100</v>
      </c>
      <c r="C53" s="40">
        <v>177817420</v>
      </c>
      <c r="D53" s="40">
        <v>67319900</v>
      </c>
      <c r="E53" s="40">
        <v>0</v>
      </c>
      <c r="F53" s="40">
        <v>31083300</v>
      </c>
      <c r="G53" s="40">
        <v>5246800</v>
      </c>
      <c r="H53" s="40">
        <v>10070800</v>
      </c>
      <c r="I53" s="40">
        <v>578000</v>
      </c>
      <c r="J53" s="40">
        <v>68000</v>
      </c>
      <c r="K53" s="40">
        <v>0</v>
      </c>
      <c r="L53" s="40">
        <v>299214414</v>
      </c>
      <c r="M53" s="40">
        <v>127126120</v>
      </c>
      <c r="N53" s="40">
        <v>1237</v>
      </c>
      <c r="O53" s="40">
        <v>179</v>
      </c>
      <c r="P53" s="40">
        <v>2931700</v>
      </c>
      <c r="Q53" s="40">
        <v>2046300</v>
      </c>
      <c r="R53" s="40">
        <v>467100</v>
      </c>
      <c r="S53" s="40">
        <v>4312900</v>
      </c>
      <c r="T53" s="40">
        <v>1445000</v>
      </c>
      <c r="U53" s="40">
        <v>1490000</v>
      </c>
      <c r="V53" s="40">
        <v>2931700</v>
      </c>
      <c r="W53" s="40">
        <v>2286300</v>
      </c>
      <c r="X53" s="40">
        <v>467100</v>
      </c>
      <c r="Y53" s="40">
        <v>4312900</v>
      </c>
      <c r="Z53" s="40">
        <v>6159700</v>
      </c>
      <c r="AA53" s="40">
        <v>1490000</v>
      </c>
      <c r="AB53" s="40">
        <v>-2458500</v>
      </c>
      <c r="AC53" s="40">
        <v>-1579772</v>
      </c>
      <c r="AD53" s="40">
        <v>31847</v>
      </c>
      <c r="AE53" s="40">
        <v>85003</v>
      </c>
      <c r="AF53" s="40">
        <v>145508300</v>
      </c>
      <c r="AG53" s="40">
        <v>168834</v>
      </c>
      <c r="AH53" s="3"/>
      <c r="AI53" s="40">
        <v>463500</v>
      </c>
      <c r="AJ53" s="3"/>
      <c r="AK53" s="1">
        <v>90664189</v>
      </c>
      <c r="AL53" s="1">
        <v>2341100</v>
      </c>
      <c r="AM53" s="40">
        <v>125000</v>
      </c>
      <c r="AN53" s="40">
        <v>12391995</v>
      </c>
      <c r="AO53" s="40">
        <v>1174628</v>
      </c>
      <c r="AP53" s="40">
        <v>28475720</v>
      </c>
      <c r="AQ53" s="40">
        <v>19740373</v>
      </c>
      <c r="AR53" s="40">
        <v>34506452</v>
      </c>
      <c r="AS53" s="40">
        <v>6903460</v>
      </c>
      <c r="AT53" s="40">
        <v>1732358</v>
      </c>
      <c r="AU53" s="40">
        <v>0</v>
      </c>
      <c r="AV53" s="40">
        <v>0</v>
      </c>
      <c r="AW53" s="40">
        <v>44119</v>
      </c>
      <c r="AX53" s="40">
        <v>161317</v>
      </c>
      <c r="AY53" s="40">
        <v>290300</v>
      </c>
      <c r="AZ53" s="1">
        <v>5630779.3300000001</v>
      </c>
      <c r="BA53" s="1">
        <v>2871697</v>
      </c>
      <c r="BB53" s="1">
        <v>4360103.63</v>
      </c>
      <c r="BC53" s="15">
        <v>990745</v>
      </c>
      <c r="BD53" s="15">
        <v>1942638</v>
      </c>
      <c r="BE53" s="20">
        <v>7666258</v>
      </c>
      <c r="BF53" s="20">
        <v>7666258</v>
      </c>
      <c r="BG53" s="20">
        <v>41831500</v>
      </c>
      <c r="BH53" s="20">
        <v>40476440</v>
      </c>
      <c r="BI53" s="44"/>
      <c r="BJ53" s="44"/>
      <c r="BK53" s="44"/>
      <c r="BL53" s="5">
        <v>848131345</v>
      </c>
      <c r="BM53" s="5">
        <v>703120916</v>
      </c>
      <c r="BN53" s="15">
        <v>440200</v>
      </c>
      <c r="BO53" s="3"/>
      <c r="BP53" s="1"/>
      <c r="BQ53" s="1"/>
      <c r="BR53" s="5"/>
      <c r="BS53" s="5"/>
      <c r="BT53" s="5"/>
    </row>
    <row r="54" spans="1:72" x14ac:dyDescent="0.25">
      <c r="A54" s="6" t="s">
        <v>108</v>
      </c>
      <c r="B54" s="40">
        <v>64470846</v>
      </c>
      <c r="C54" s="40">
        <v>79979225</v>
      </c>
      <c r="D54" s="40">
        <v>12305103</v>
      </c>
      <c r="E54" s="40">
        <v>0</v>
      </c>
      <c r="F54" s="40">
        <v>13057175</v>
      </c>
      <c r="G54" s="40">
        <v>2478400</v>
      </c>
      <c r="H54" s="40">
        <v>5522025</v>
      </c>
      <c r="I54" s="40">
        <v>306000</v>
      </c>
      <c r="J54" s="40">
        <v>10000</v>
      </c>
      <c r="K54" s="40">
        <v>0</v>
      </c>
      <c r="L54" s="40">
        <v>140602182</v>
      </c>
      <c r="M54" s="40">
        <v>24564950</v>
      </c>
      <c r="N54" s="40">
        <v>607</v>
      </c>
      <c r="O54" s="40">
        <v>105</v>
      </c>
      <c r="P54" s="40">
        <v>751000</v>
      </c>
      <c r="Q54" s="40">
        <v>305975</v>
      </c>
      <c r="R54" s="40">
        <v>0</v>
      </c>
      <c r="S54" s="40">
        <v>479050</v>
      </c>
      <c r="T54" s="40">
        <v>36025</v>
      </c>
      <c r="U54" s="40">
        <v>62500</v>
      </c>
      <c r="V54" s="40">
        <v>751000</v>
      </c>
      <c r="W54" s="40">
        <v>312500</v>
      </c>
      <c r="X54" s="40">
        <v>0</v>
      </c>
      <c r="Y54" s="40">
        <v>479050</v>
      </c>
      <c r="Z54" s="40">
        <v>86000</v>
      </c>
      <c r="AA54" s="40">
        <v>62500</v>
      </c>
      <c r="AB54" s="40">
        <v>-692805</v>
      </c>
      <c r="AC54" s="40">
        <v>-35302</v>
      </c>
      <c r="AD54" s="40">
        <v>27385</v>
      </c>
      <c r="AE54" s="40">
        <v>94720</v>
      </c>
      <c r="AF54" s="40">
        <v>83138550</v>
      </c>
      <c r="AG54" s="40">
        <v>145673</v>
      </c>
      <c r="AH54" s="3"/>
      <c r="AI54" s="40">
        <v>23713</v>
      </c>
      <c r="AJ54" s="3"/>
      <c r="AK54" s="1">
        <v>33981617</v>
      </c>
      <c r="AL54" s="1">
        <v>765095</v>
      </c>
      <c r="AM54" s="40">
        <v>0</v>
      </c>
      <c r="AN54" s="40">
        <v>8345565</v>
      </c>
      <c r="AO54" s="40">
        <v>60715</v>
      </c>
      <c r="AP54" s="40">
        <v>390008</v>
      </c>
      <c r="AQ54" s="40">
        <v>9001857</v>
      </c>
      <c r="AR54" s="40">
        <v>2415701</v>
      </c>
      <c r="AS54" s="40">
        <v>0</v>
      </c>
      <c r="AT54" s="40">
        <v>1517525</v>
      </c>
      <c r="AU54" s="40">
        <v>0</v>
      </c>
      <c r="AV54" s="40">
        <v>89830</v>
      </c>
      <c r="AW54" s="40">
        <v>3261815</v>
      </c>
      <c r="AX54" s="40">
        <v>0</v>
      </c>
      <c r="AY54" s="40">
        <v>0</v>
      </c>
      <c r="AZ54" s="1">
        <v>2110458.2599999998</v>
      </c>
      <c r="BA54" s="1">
        <v>1076334</v>
      </c>
      <c r="BB54" s="1">
        <v>8544041.4499999993</v>
      </c>
      <c r="BC54" s="15">
        <v>1578588</v>
      </c>
      <c r="BD54" s="15">
        <v>3095270</v>
      </c>
      <c r="BE54" s="20">
        <v>24980207</v>
      </c>
      <c r="BF54" s="20">
        <v>24980207</v>
      </c>
      <c r="BG54" s="20">
        <v>43543833</v>
      </c>
      <c r="BH54" s="20">
        <v>33555115</v>
      </c>
      <c r="BI54" s="44"/>
      <c r="BJ54" s="44"/>
      <c r="BK54" s="44"/>
      <c r="BL54" s="5">
        <v>270123980</v>
      </c>
      <c r="BM54" s="5">
        <v>174187024</v>
      </c>
      <c r="BN54" s="15">
        <v>335700</v>
      </c>
      <c r="BO54" s="3"/>
      <c r="BP54" s="1"/>
      <c r="BQ54" s="1"/>
      <c r="BR54" s="5"/>
      <c r="BS54" s="5"/>
      <c r="BT54" s="5"/>
    </row>
    <row r="55" spans="1:72" x14ac:dyDescent="0.25">
      <c r="A55" s="6" t="s">
        <v>109</v>
      </c>
      <c r="B55" s="40">
        <v>1057570806</v>
      </c>
      <c r="C55" s="40">
        <v>225655134</v>
      </c>
      <c r="D55" s="40">
        <v>393417442</v>
      </c>
      <c r="E55" s="40">
        <v>0</v>
      </c>
      <c r="F55" s="40">
        <v>101495935</v>
      </c>
      <c r="G55" s="40">
        <v>31422778</v>
      </c>
      <c r="H55" s="40">
        <v>13644640</v>
      </c>
      <c r="I55" s="40">
        <v>2840000</v>
      </c>
      <c r="J55" s="40">
        <v>224000</v>
      </c>
      <c r="K55" s="40">
        <v>0</v>
      </c>
      <c r="L55" s="40">
        <v>259412650</v>
      </c>
      <c r="M55" s="40">
        <v>137584814</v>
      </c>
      <c r="N55" s="40">
        <v>3665</v>
      </c>
      <c r="O55" s="40">
        <v>1171</v>
      </c>
      <c r="P55" s="40">
        <v>21056135</v>
      </c>
      <c r="Q55" s="40">
        <v>9279700</v>
      </c>
      <c r="R55" s="40">
        <v>3716300</v>
      </c>
      <c r="S55" s="40">
        <v>15131301</v>
      </c>
      <c r="T55" s="40">
        <v>3622796</v>
      </c>
      <c r="U55" s="40">
        <v>4197514</v>
      </c>
      <c r="V55" s="40">
        <v>21056135</v>
      </c>
      <c r="W55" s="40">
        <v>10194800</v>
      </c>
      <c r="X55" s="40">
        <v>3716300</v>
      </c>
      <c r="Y55" s="40">
        <v>15131301</v>
      </c>
      <c r="Z55" s="40">
        <v>6993545</v>
      </c>
      <c r="AA55" s="40">
        <v>4197514</v>
      </c>
      <c r="AB55" s="40">
        <v>-26016</v>
      </c>
      <c r="AC55" s="40">
        <v>-1264</v>
      </c>
      <c r="AD55" s="40">
        <v>101063</v>
      </c>
      <c r="AE55" s="40">
        <v>1114795</v>
      </c>
      <c r="AF55" s="40">
        <v>14228598</v>
      </c>
      <c r="AG55" s="40">
        <v>2412386</v>
      </c>
      <c r="AH55" s="40">
        <v>6949746</v>
      </c>
      <c r="AI55" s="40">
        <v>1593426</v>
      </c>
      <c r="AJ55" s="40">
        <v>50718107</v>
      </c>
      <c r="AK55" s="1">
        <v>284417260</v>
      </c>
      <c r="AL55" s="1">
        <v>8539721</v>
      </c>
      <c r="AM55" s="40">
        <v>5830</v>
      </c>
      <c r="AN55" s="40">
        <v>194494629</v>
      </c>
      <c r="AO55" s="40">
        <v>7813496</v>
      </c>
      <c r="AP55" s="40">
        <v>140937218</v>
      </c>
      <c r="AQ55" s="40">
        <v>93422393</v>
      </c>
      <c r="AR55" s="40">
        <v>66150067</v>
      </c>
      <c r="AS55" s="40">
        <v>83196594</v>
      </c>
      <c r="AT55" s="40">
        <v>2673366</v>
      </c>
      <c r="AU55" s="40">
        <v>0</v>
      </c>
      <c r="AV55" s="40">
        <v>7020117</v>
      </c>
      <c r="AW55" s="40">
        <v>3749623</v>
      </c>
      <c r="AX55" s="40">
        <v>2381562</v>
      </c>
      <c r="AY55" s="40">
        <v>2172340</v>
      </c>
      <c r="AZ55" s="1">
        <v>17663984.489999998</v>
      </c>
      <c r="BA55" s="1">
        <v>9008632</v>
      </c>
      <c r="BB55" s="1">
        <v>968911.92</v>
      </c>
      <c r="BC55" s="15">
        <v>10147214</v>
      </c>
      <c r="BD55" s="15">
        <v>19896498</v>
      </c>
      <c r="BE55" s="20">
        <v>61119303</v>
      </c>
      <c r="BF55" s="20">
        <v>56851857</v>
      </c>
      <c r="BG55" s="20">
        <v>149118456</v>
      </c>
      <c r="BH55" s="20">
        <v>139784956</v>
      </c>
      <c r="BI55" s="44"/>
      <c r="BJ55" s="44"/>
      <c r="BK55" s="44"/>
      <c r="BL55" s="5">
        <v>2540384819</v>
      </c>
      <c r="BM55" s="5">
        <v>2031635179</v>
      </c>
      <c r="BN55" s="15">
        <v>5203400</v>
      </c>
      <c r="BO55" s="3"/>
      <c r="BP55" s="1"/>
      <c r="BQ55" s="1"/>
      <c r="BR55" s="5"/>
      <c r="BS55" s="5"/>
      <c r="BT55" s="5"/>
    </row>
    <row r="56" spans="1:72" x14ac:dyDescent="0.25">
      <c r="A56" s="6" t="s">
        <v>110</v>
      </c>
      <c r="B56" s="40">
        <v>133908025</v>
      </c>
      <c r="C56" s="40">
        <v>67117290</v>
      </c>
      <c r="D56" s="40">
        <v>38750400</v>
      </c>
      <c r="E56" s="40">
        <v>0</v>
      </c>
      <c r="F56" s="40">
        <v>21302050</v>
      </c>
      <c r="G56" s="40">
        <v>15681500</v>
      </c>
      <c r="H56" s="40">
        <v>14350875</v>
      </c>
      <c r="I56" s="40">
        <v>3674175</v>
      </c>
      <c r="J56" s="40">
        <v>64000</v>
      </c>
      <c r="K56" s="40">
        <v>0</v>
      </c>
      <c r="L56" s="40">
        <v>102518795</v>
      </c>
      <c r="M56" s="40">
        <v>58640203</v>
      </c>
      <c r="N56" s="56">
        <v>1211</v>
      </c>
      <c r="O56" s="56">
        <v>695</v>
      </c>
      <c r="P56" s="40">
        <v>1104250</v>
      </c>
      <c r="Q56" s="40">
        <v>1123950</v>
      </c>
      <c r="R56" s="40">
        <v>223600</v>
      </c>
      <c r="S56" s="40">
        <v>2478950</v>
      </c>
      <c r="T56" s="40">
        <v>664050</v>
      </c>
      <c r="U56" s="40">
        <v>130820</v>
      </c>
      <c r="V56" s="40">
        <v>1104250</v>
      </c>
      <c r="W56" s="40">
        <v>1217500</v>
      </c>
      <c r="X56" s="40">
        <v>223600</v>
      </c>
      <c r="Y56" s="40">
        <v>2478950</v>
      </c>
      <c r="Z56" s="40">
        <v>1015950</v>
      </c>
      <c r="AA56" s="40">
        <v>130820</v>
      </c>
      <c r="AB56" s="40">
        <v>-1897094</v>
      </c>
      <c r="AC56" s="40">
        <v>-144467</v>
      </c>
      <c r="AD56" s="40">
        <v>75634</v>
      </c>
      <c r="AE56" s="40">
        <v>3311</v>
      </c>
      <c r="AF56" s="40">
        <v>3145275</v>
      </c>
      <c r="AG56" s="40">
        <v>143460</v>
      </c>
      <c r="AH56" s="40">
        <v>0</v>
      </c>
      <c r="AI56" s="40">
        <v>494598</v>
      </c>
      <c r="AJ56" s="40">
        <v>40820</v>
      </c>
      <c r="AK56" s="1">
        <v>62597000</v>
      </c>
      <c r="AL56" s="1">
        <v>1092259</v>
      </c>
      <c r="AM56" s="40">
        <v>0</v>
      </c>
      <c r="AN56" s="40">
        <v>4310267</v>
      </c>
      <c r="AO56" s="40">
        <v>684525</v>
      </c>
      <c r="AP56" s="40">
        <v>3338776</v>
      </c>
      <c r="AQ56" s="40">
        <v>5095553</v>
      </c>
      <c r="AR56" s="40">
        <v>173743</v>
      </c>
      <c r="AS56" s="40">
        <v>0</v>
      </c>
      <c r="AT56" s="40">
        <v>286617</v>
      </c>
      <c r="AU56" s="40">
        <v>0</v>
      </c>
      <c r="AV56" s="40">
        <v>106650</v>
      </c>
      <c r="AW56" s="40">
        <v>0</v>
      </c>
      <c r="AX56" s="40">
        <v>0</v>
      </c>
      <c r="AY56" s="40">
        <v>0</v>
      </c>
      <c r="AZ56" s="1">
        <v>3887641.83</v>
      </c>
      <c r="BA56" s="1">
        <v>1982697</v>
      </c>
      <c r="BB56" s="1"/>
      <c r="BC56" s="15">
        <v>0</v>
      </c>
      <c r="BD56" s="15">
        <v>0</v>
      </c>
      <c r="BE56" s="20">
        <v>7133864</v>
      </c>
      <c r="BF56" s="20">
        <v>7133864</v>
      </c>
      <c r="BG56" s="20">
        <v>44461657</v>
      </c>
      <c r="BH56" s="20">
        <v>44390148</v>
      </c>
      <c r="BI56" s="44"/>
      <c r="BJ56" s="44"/>
      <c r="BK56" s="44"/>
      <c r="BL56" s="5">
        <v>367597446</v>
      </c>
      <c r="BM56" s="5">
        <v>250401478</v>
      </c>
      <c r="BN56" s="15">
        <v>3760000</v>
      </c>
      <c r="BO56" s="3"/>
      <c r="BP56" s="1"/>
      <c r="BQ56" s="1"/>
      <c r="BR56" s="5"/>
      <c r="BS56" s="5"/>
      <c r="BT56" s="5"/>
    </row>
    <row r="57" spans="1:72" x14ac:dyDescent="0.25">
      <c r="A57" s="6" t="s">
        <v>111</v>
      </c>
      <c r="B57" s="40">
        <v>36051596412</v>
      </c>
      <c r="C57" s="40">
        <v>131502240</v>
      </c>
      <c r="D57" s="40">
        <v>15029530755</v>
      </c>
      <c r="E57" s="40">
        <v>149173410</v>
      </c>
      <c r="F57" s="40">
        <v>1804203530</v>
      </c>
      <c r="G57" s="40">
        <v>161053120</v>
      </c>
      <c r="H57" s="40">
        <v>5777080</v>
      </c>
      <c r="I57" s="40">
        <v>238000</v>
      </c>
      <c r="J57" s="40">
        <v>4692000</v>
      </c>
      <c r="K57" s="40">
        <v>450780</v>
      </c>
      <c r="L57" s="40">
        <v>585247460</v>
      </c>
      <c r="M57" s="40">
        <v>722764780</v>
      </c>
      <c r="N57" s="40">
        <v>53853</v>
      </c>
      <c r="O57" s="40">
        <v>4919</v>
      </c>
      <c r="P57" s="40">
        <v>213806610</v>
      </c>
      <c r="Q57" s="40">
        <v>8047560</v>
      </c>
      <c r="R57" s="40">
        <v>238252090</v>
      </c>
      <c r="S57" s="40">
        <v>603769970</v>
      </c>
      <c r="T57" s="40">
        <v>5822740</v>
      </c>
      <c r="U57" s="40">
        <v>147188600</v>
      </c>
      <c r="V57" s="40">
        <v>213806610</v>
      </c>
      <c r="W57" s="40">
        <v>23966270</v>
      </c>
      <c r="X57" s="40">
        <v>238252180</v>
      </c>
      <c r="Y57" s="40">
        <v>603769970</v>
      </c>
      <c r="Z57" s="40">
        <v>11042290</v>
      </c>
      <c r="AA57" s="40">
        <v>147188600</v>
      </c>
      <c r="AB57" s="40">
        <v>45132280</v>
      </c>
      <c r="AC57" s="40">
        <v>-28448427</v>
      </c>
      <c r="AD57" s="40">
        <v>0</v>
      </c>
      <c r="AE57" s="40">
        <v>0</v>
      </c>
      <c r="AF57" s="40">
        <v>0</v>
      </c>
      <c r="AG57" s="40">
        <v>0</v>
      </c>
      <c r="AH57" s="3"/>
      <c r="AI57" s="40">
        <v>254557</v>
      </c>
      <c r="AJ57" s="3"/>
      <c r="AK57" s="1">
        <v>4098796533</v>
      </c>
      <c r="AL57" s="1">
        <v>72370282</v>
      </c>
      <c r="AM57" s="40">
        <v>4386082</v>
      </c>
      <c r="AN57" s="40">
        <v>2112322036</v>
      </c>
      <c r="AO57" s="40">
        <v>107151985</v>
      </c>
      <c r="AP57" s="40">
        <v>2230979128</v>
      </c>
      <c r="AQ57" s="40">
        <v>2049303053</v>
      </c>
      <c r="AR57" s="40">
        <v>1056168044</v>
      </c>
      <c r="AS57" s="40">
        <v>935635782</v>
      </c>
      <c r="AT57" s="40">
        <v>1825380236</v>
      </c>
      <c r="AU57" s="40">
        <v>0</v>
      </c>
      <c r="AV57" s="40">
        <v>321410</v>
      </c>
      <c r="AW57" s="40">
        <v>21443717</v>
      </c>
      <c r="AX57" s="40">
        <v>25120298</v>
      </c>
      <c r="AY57" s="40">
        <v>137528873</v>
      </c>
      <c r="AZ57" s="1">
        <v>254559369.46000001</v>
      </c>
      <c r="BA57" s="1">
        <v>129825278</v>
      </c>
      <c r="BB57" s="1">
        <v>32943005</v>
      </c>
      <c r="BC57" s="15">
        <v>21218464</v>
      </c>
      <c r="BD57" s="15">
        <v>41604830</v>
      </c>
      <c r="BE57" s="20">
        <v>533323180</v>
      </c>
      <c r="BF57" s="20">
        <v>529235896</v>
      </c>
      <c r="BG57" s="20">
        <v>1389021795</v>
      </c>
      <c r="BH57" s="20">
        <v>1294494722</v>
      </c>
      <c r="BI57" s="44">
        <v>232266030</v>
      </c>
      <c r="BJ57" s="44"/>
      <c r="BK57" s="44"/>
      <c r="BL57" s="5">
        <v>61859868243</v>
      </c>
      <c r="BM57" s="5">
        <v>55481661038</v>
      </c>
      <c r="BN57" s="15">
        <v>156853450</v>
      </c>
      <c r="BO57" s="3"/>
      <c r="BP57" s="1"/>
      <c r="BQ57" s="1"/>
      <c r="BR57" s="5"/>
      <c r="BS57" s="5"/>
      <c r="BT57" s="5"/>
    </row>
    <row r="58" spans="1:72" x14ac:dyDescent="0.25">
      <c r="A58" s="6" t="s">
        <v>112</v>
      </c>
      <c r="B58" s="40">
        <v>2437393400</v>
      </c>
      <c r="C58" s="40">
        <v>230466149</v>
      </c>
      <c r="D58" s="40">
        <v>624831851</v>
      </c>
      <c r="E58" s="40">
        <v>0</v>
      </c>
      <c r="F58" s="40">
        <v>80406234</v>
      </c>
      <c r="G58" s="40">
        <v>12645195</v>
      </c>
      <c r="H58" s="40">
        <v>8691702</v>
      </c>
      <c r="I58" s="40">
        <v>638013</v>
      </c>
      <c r="J58" s="40">
        <v>68000</v>
      </c>
      <c r="K58" s="40">
        <v>0</v>
      </c>
      <c r="L58" s="40">
        <v>564040490</v>
      </c>
      <c r="M58" s="40">
        <v>803836354</v>
      </c>
      <c r="N58" s="40">
        <v>2663</v>
      </c>
      <c r="O58" s="40">
        <v>407</v>
      </c>
      <c r="P58" s="40">
        <v>32255948</v>
      </c>
      <c r="Q58" s="40">
        <v>3257111</v>
      </c>
      <c r="R58" s="40">
        <v>9352700</v>
      </c>
      <c r="S58" s="40">
        <v>75911092</v>
      </c>
      <c r="T58" s="40">
        <v>3908456</v>
      </c>
      <c r="U58" s="40">
        <v>17924866</v>
      </c>
      <c r="V58" s="40">
        <v>32255948</v>
      </c>
      <c r="W58" s="40">
        <v>4062606</v>
      </c>
      <c r="X58" s="40">
        <v>9352700</v>
      </c>
      <c r="Y58" s="40">
        <v>75911092</v>
      </c>
      <c r="Z58" s="40">
        <v>9437105</v>
      </c>
      <c r="AA58" s="40">
        <v>17924866</v>
      </c>
      <c r="AB58" s="40">
        <v>-4600423</v>
      </c>
      <c r="AC58" s="40">
        <v>-168281</v>
      </c>
      <c r="AD58" s="40">
        <v>0</v>
      </c>
      <c r="AE58" s="40">
        <v>0</v>
      </c>
      <c r="AF58" s="40">
        <v>0</v>
      </c>
      <c r="AG58" s="40">
        <v>88971</v>
      </c>
      <c r="AH58" s="3"/>
      <c r="AI58" s="40">
        <v>361828</v>
      </c>
      <c r="AJ58" s="3"/>
      <c r="AK58" s="1">
        <v>294271627</v>
      </c>
      <c r="AL58" s="1">
        <v>8102675</v>
      </c>
      <c r="AM58" s="40">
        <v>0</v>
      </c>
      <c r="AN58" s="40">
        <v>82678814</v>
      </c>
      <c r="AO58" s="40">
        <v>1382662</v>
      </c>
      <c r="AP58" s="40">
        <v>90171326</v>
      </c>
      <c r="AQ58" s="40">
        <v>73795767</v>
      </c>
      <c r="AR58" s="40">
        <v>80238761</v>
      </c>
      <c r="AS58" s="40">
        <v>4019671</v>
      </c>
      <c r="AT58" s="40">
        <v>1437476</v>
      </c>
      <c r="AU58" s="40">
        <v>0</v>
      </c>
      <c r="AV58" s="40">
        <v>0</v>
      </c>
      <c r="AW58" s="40">
        <v>59936</v>
      </c>
      <c r="AX58" s="40">
        <v>2067</v>
      </c>
      <c r="AY58" s="40">
        <v>23158816</v>
      </c>
      <c r="AZ58" s="1">
        <v>18275998.629999999</v>
      </c>
      <c r="BA58" s="1">
        <v>9320759</v>
      </c>
      <c r="BB58" s="1"/>
      <c r="BC58" s="15">
        <v>1589156</v>
      </c>
      <c r="BD58" s="15">
        <v>3115991</v>
      </c>
      <c r="BE58" s="20">
        <v>33757262</v>
      </c>
      <c r="BF58" s="20">
        <v>33757262</v>
      </c>
      <c r="BG58" s="20">
        <v>54170262</v>
      </c>
      <c r="BH58" s="20">
        <v>49995782</v>
      </c>
      <c r="BI58" s="20">
        <v>16906871</v>
      </c>
      <c r="BJ58" s="44"/>
      <c r="BK58" s="44"/>
      <c r="BL58" s="5">
        <v>3864854603</v>
      </c>
      <c r="BM58" s="5">
        <v>3450910471</v>
      </c>
      <c r="BN58" s="15">
        <v>1986250</v>
      </c>
      <c r="BO58" s="3"/>
      <c r="BP58" s="1"/>
      <c r="BQ58" s="1"/>
      <c r="BR58" s="5"/>
      <c r="BS58" s="5"/>
      <c r="BT58" s="5"/>
    </row>
    <row r="59" spans="1:72" x14ac:dyDescent="0.25">
      <c r="A59" s="6" t="s">
        <v>113</v>
      </c>
      <c r="B59" s="40">
        <v>409760778</v>
      </c>
      <c r="C59" s="40">
        <v>92119408</v>
      </c>
      <c r="D59" s="40">
        <v>178586050</v>
      </c>
      <c r="E59" s="40">
        <v>0</v>
      </c>
      <c r="F59" s="40">
        <v>43812050</v>
      </c>
      <c r="G59" s="40">
        <v>31313550</v>
      </c>
      <c r="H59" s="40">
        <v>15152037</v>
      </c>
      <c r="I59" s="40">
        <v>6364950</v>
      </c>
      <c r="J59" s="40">
        <v>136000</v>
      </c>
      <c r="K59" s="40">
        <v>68000</v>
      </c>
      <c r="L59" s="40">
        <v>95169126</v>
      </c>
      <c r="M59" s="40">
        <v>80367840</v>
      </c>
      <c r="N59" s="40">
        <v>1924</v>
      </c>
      <c r="O59" s="40">
        <v>1341</v>
      </c>
      <c r="P59" s="40">
        <v>727900</v>
      </c>
      <c r="Q59" s="40">
        <v>0</v>
      </c>
      <c r="R59" s="40">
        <v>0</v>
      </c>
      <c r="S59" s="40">
        <v>3630800</v>
      </c>
      <c r="T59" s="40">
        <v>329065</v>
      </c>
      <c r="U59" s="40">
        <v>388100</v>
      </c>
      <c r="V59" s="40">
        <v>727900</v>
      </c>
      <c r="W59" s="40">
        <v>0</v>
      </c>
      <c r="X59" s="40">
        <v>0</v>
      </c>
      <c r="Y59" s="40">
        <v>3630800</v>
      </c>
      <c r="Z59" s="40">
        <v>557150</v>
      </c>
      <c r="AA59" s="40">
        <v>388100</v>
      </c>
      <c r="AB59" s="56">
        <v>-5741830</v>
      </c>
      <c r="AC59" s="56">
        <v>-1722369</v>
      </c>
      <c r="AD59" s="40">
        <v>129203</v>
      </c>
      <c r="AE59" s="40">
        <v>1</v>
      </c>
      <c r="AF59" s="40">
        <v>0</v>
      </c>
      <c r="AG59" s="40">
        <v>133904</v>
      </c>
      <c r="AH59" s="40">
        <v>575992</v>
      </c>
      <c r="AI59" s="40">
        <v>12302754</v>
      </c>
      <c r="AJ59" s="40">
        <v>6057213</v>
      </c>
      <c r="AK59" s="1">
        <v>136949219</v>
      </c>
      <c r="AL59" s="1">
        <v>4904384</v>
      </c>
      <c r="AM59" s="40">
        <v>0</v>
      </c>
      <c r="AN59" s="40">
        <v>42465167</v>
      </c>
      <c r="AO59" s="40">
        <v>1680587</v>
      </c>
      <c r="AP59" s="40">
        <v>1875145</v>
      </c>
      <c r="AQ59" s="40">
        <v>28809021</v>
      </c>
      <c r="AR59" s="40">
        <v>6010369</v>
      </c>
      <c r="AS59" s="40">
        <v>410895</v>
      </c>
      <c r="AT59" s="40">
        <v>0</v>
      </c>
      <c r="AU59" s="40">
        <v>0</v>
      </c>
      <c r="AV59" s="40">
        <v>0</v>
      </c>
      <c r="AW59" s="40">
        <v>0</v>
      </c>
      <c r="AX59" s="40">
        <v>14073</v>
      </c>
      <c r="AY59" s="40">
        <v>98000</v>
      </c>
      <c r="AZ59" s="1">
        <v>8505351.8900000006</v>
      </c>
      <c r="BA59" s="1">
        <v>4337729</v>
      </c>
      <c r="BB59" s="1"/>
      <c r="BC59" s="15">
        <v>2684259</v>
      </c>
      <c r="BD59" s="15">
        <v>5263254</v>
      </c>
      <c r="BE59" s="20">
        <v>42477404</v>
      </c>
      <c r="BF59" s="20">
        <v>42457215</v>
      </c>
      <c r="BG59" s="20">
        <v>74130256</v>
      </c>
      <c r="BH59" s="20">
        <v>72477812</v>
      </c>
      <c r="BI59" s="44"/>
      <c r="BJ59" s="44"/>
      <c r="BK59" s="44"/>
      <c r="BL59" s="5">
        <v>1036167588</v>
      </c>
      <c r="BM59" s="5">
        <v>772356970</v>
      </c>
      <c r="BN59" s="15">
        <v>9358195</v>
      </c>
      <c r="BO59" s="3"/>
      <c r="BP59" s="1"/>
      <c r="BQ59" s="1"/>
      <c r="BR59" s="5"/>
      <c r="BS59" s="5"/>
      <c r="BT59" s="5"/>
    </row>
    <row r="60" spans="1:72" x14ac:dyDescent="0.25">
      <c r="A60" s="6" t="s">
        <v>114</v>
      </c>
      <c r="B60" s="40">
        <v>7318707122</v>
      </c>
      <c r="C60" s="40">
        <v>102879430</v>
      </c>
      <c r="D60" s="40">
        <v>2249105830</v>
      </c>
      <c r="E60" s="40">
        <v>0</v>
      </c>
      <c r="F60" s="40">
        <v>310778900</v>
      </c>
      <c r="G60" s="40">
        <v>26535000</v>
      </c>
      <c r="H60" s="40">
        <v>6188000</v>
      </c>
      <c r="I60" s="40">
        <v>434600</v>
      </c>
      <c r="J60" s="40">
        <v>1292000</v>
      </c>
      <c r="K60" s="40">
        <v>136000</v>
      </c>
      <c r="L60" s="40">
        <v>209299570</v>
      </c>
      <c r="M60" s="40">
        <v>0</v>
      </c>
      <c r="N60" s="40">
        <v>9164</v>
      </c>
      <c r="O60" s="40">
        <v>813</v>
      </c>
      <c r="P60" s="40">
        <v>56866200</v>
      </c>
      <c r="Q60" s="40">
        <v>1805000</v>
      </c>
      <c r="R60" s="40">
        <v>22655400</v>
      </c>
      <c r="S60" s="40">
        <v>47745100</v>
      </c>
      <c r="T60" s="40">
        <v>2632400</v>
      </c>
      <c r="U60" s="40">
        <v>18855400</v>
      </c>
      <c r="V60" s="40">
        <v>56866200</v>
      </c>
      <c r="W60" s="40">
        <v>1805000</v>
      </c>
      <c r="X60" s="40">
        <v>22655400</v>
      </c>
      <c r="Y60" s="40">
        <v>47745100</v>
      </c>
      <c r="Z60" s="40">
        <v>2632400</v>
      </c>
      <c r="AA60" s="40">
        <v>18855400</v>
      </c>
      <c r="AB60" s="40">
        <v>-15074800</v>
      </c>
      <c r="AC60" s="40">
        <v>-45086736</v>
      </c>
      <c r="AD60" s="40">
        <v>0</v>
      </c>
      <c r="AE60" s="40">
        <v>0</v>
      </c>
      <c r="AF60" s="40">
        <v>0</v>
      </c>
      <c r="AG60" s="40">
        <v>0</v>
      </c>
      <c r="AH60" s="3"/>
      <c r="AI60" s="3"/>
      <c r="AJ60" s="3"/>
      <c r="AK60" s="1">
        <v>872663891</v>
      </c>
      <c r="AL60" s="1">
        <v>17784966</v>
      </c>
      <c r="AM60" s="40">
        <v>0</v>
      </c>
      <c r="AN60" s="40">
        <v>264150878</v>
      </c>
      <c r="AO60" s="40">
        <v>8630378</v>
      </c>
      <c r="AP60" s="40">
        <v>244907166</v>
      </c>
      <c r="AQ60" s="40">
        <v>219877853</v>
      </c>
      <c r="AR60" s="40">
        <v>157681238</v>
      </c>
      <c r="AS60" s="40">
        <v>87117529</v>
      </c>
      <c r="AT60" s="40">
        <v>0</v>
      </c>
      <c r="AU60" s="40">
        <v>0</v>
      </c>
      <c r="AV60" s="40">
        <v>0</v>
      </c>
      <c r="AW60" s="40">
        <v>19642</v>
      </c>
      <c r="AX60" s="40">
        <v>112711</v>
      </c>
      <c r="AY60" s="40">
        <v>0</v>
      </c>
      <c r="AZ60" s="1">
        <v>54197559.710000001</v>
      </c>
      <c r="BA60" s="1">
        <v>27640755</v>
      </c>
      <c r="BB60" s="1">
        <v>9424870</v>
      </c>
      <c r="BC60" s="15">
        <v>12886295</v>
      </c>
      <c r="BD60" s="15">
        <v>25267245</v>
      </c>
      <c r="BE60" s="20">
        <v>137894252</v>
      </c>
      <c r="BF60" s="20">
        <v>137894252</v>
      </c>
      <c r="BG60" s="20">
        <v>232782585</v>
      </c>
      <c r="BH60" s="20">
        <v>223010344</v>
      </c>
      <c r="BI60" s="44"/>
      <c r="BJ60" s="44"/>
      <c r="BK60" s="44"/>
      <c r="BL60" s="5">
        <v>11455231994</v>
      </c>
      <c r="BM60" s="5">
        <v>10163351491</v>
      </c>
      <c r="BN60" s="15">
        <v>4860700</v>
      </c>
      <c r="BO60" s="3"/>
      <c r="BP60" s="1"/>
      <c r="BQ60" s="1"/>
      <c r="BR60" s="5"/>
      <c r="BS60" s="5"/>
      <c r="BT60" s="5"/>
    </row>
    <row r="61" spans="1:72" x14ac:dyDescent="0.25">
      <c r="A61" s="6" t="s">
        <v>115</v>
      </c>
      <c r="B61" s="40">
        <v>155479786</v>
      </c>
      <c r="C61" s="40">
        <v>48403644</v>
      </c>
      <c r="D61" s="40">
        <v>80341498</v>
      </c>
      <c r="E61" s="40">
        <v>0</v>
      </c>
      <c r="F61" s="40">
        <v>29315633</v>
      </c>
      <c r="G61" s="40">
        <v>21790300</v>
      </c>
      <c r="H61" s="40">
        <v>14138104</v>
      </c>
      <c r="I61" s="40">
        <v>5188000</v>
      </c>
      <c r="J61" s="40">
        <v>102000</v>
      </c>
      <c r="K61" s="40">
        <v>34000</v>
      </c>
      <c r="L61" s="40">
        <v>58962698</v>
      </c>
      <c r="M61" s="40">
        <v>54597241</v>
      </c>
      <c r="N61" s="40">
        <v>1456</v>
      </c>
      <c r="O61" s="40">
        <v>989</v>
      </c>
      <c r="P61" s="40">
        <v>5916000</v>
      </c>
      <c r="Q61" s="40">
        <v>772850</v>
      </c>
      <c r="R61" s="40">
        <v>397000</v>
      </c>
      <c r="S61" s="40">
        <v>2082200</v>
      </c>
      <c r="T61" s="40">
        <v>672400</v>
      </c>
      <c r="U61" s="40">
        <v>331500</v>
      </c>
      <c r="V61" s="40">
        <v>5916000</v>
      </c>
      <c r="W61" s="40">
        <v>906500</v>
      </c>
      <c r="X61" s="40">
        <v>397000</v>
      </c>
      <c r="Y61" s="40">
        <v>2082200</v>
      </c>
      <c r="Z61" s="40">
        <v>858500</v>
      </c>
      <c r="AA61" s="40">
        <v>331500</v>
      </c>
      <c r="AB61" s="40">
        <v>-2950933</v>
      </c>
      <c r="AC61" s="40">
        <v>0</v>
      </c>
      <c r="AD61" s="40">
        <v>186279</v>
      </c>
      <c r="AE61" s="40">
        <v>0</v>
      </c>
      <c r="AF61" s="40">
        <v>0</v>
      </c>
      <c r="AG61" s="40">
        <v>121524</v>
      </c>
      <c r="AH61" s="40">
        <v>5016746</v>
      </c>
      <c r="AI61" s="40">
        <v>144616508</v>
      </c>
      <c r="AJ61" s="40">
        <v>300328115</v>
      </c>
      <c r="AK61" s="1">
        <v>94239393</v>
      </c>
      <c r="AL61" s="1">
        <v>1760911</v>
      </c>
      <c r="AM61" s="40">
        <v>108650</v>
      </c>
      <c r="AN61" s="40">
        <v>122815107</v>
      </c>
      <c r="AO61" s="40">
        <v>3314295</v>
      </c>
      <c r="AP61" s="40">
        <v>19967932</v>
      </c>
      <c r="AQ61" s="40">
        <v>5078299</v>
      </c>
      <c r="AR61" s="40">
        <v>8981778</v>
      </c>
      <c r="AS61" s="40">
        <v>0</v>
      </c>
      <c r="AT61" s="40">
        <v>8786</v>
      </c>
      <c r="AU61" s="40">
        <v>0</v>
      </c>
      <c r="AV61" s="40">
        <v>0</v>
      </c>
      <c r="AW61" s="40">
        <v>0</v>
      </c>
      <c r="AX61" s="40">
        <v>0</v>
      </c>
      <c r="AY61" s="40">
        <v>0</v>
      </c>
      <c r="AZ61" s="1">
        <v>5852820.5199999996</v>
      </c>
      <c r="BA61" s="1">
        <v>2984938</v>
      </c>
      <c r="BB61" s="1"/>
      <c r="BC61" s="15">
        <v>1201444</v>
      </c>
      <c r="BD61" s="15">
        <v>2355772</v>
      </c>
      <c r="BE61" s="20">
        <v>6455149</v>
      </c>
      <c r="BF61" s="20">
        <v>6455149</v>
      </c>
      <c r="BG61" s="20">
        <v>93133416</v>
      </c>
      <c r="BH61" s="20">
        <v>92467530</v>
      </c>
      <c r="BI61" s="44"/>
      <c r="BJ61" s="44"/>
      <c r="BK61" s="44"/>
      <c r="BL61" s="5">
        <v>1064503363</v>
      </c>
      <c r="BM61" s="5">
        <v>865393998</v>
      </c>
      <c r="BN61" s="15">
        <v>2290650</v>
      </c>
      <c r="BO61" s="3"/>
      <c r="BP61" s="1"/>
      <c r="BQ61" s="1"/>
      <c r="BR61" s="5"/>
      <c r="BS61" s="5"/>
      <c r="BT61" s="5"/>
    </row>
    <row r="62" spans="1:72" x14ac:dyDescent="0.25">
      <c r="A62" s="6" t="s">
        <v>116</v>
      </c>
      <c r="B62" s="40">
        <v>504749693</v>
      </c>
      <c r="C62" s="40">
        <v>90714793</v>
      </c>
      <c r="D62" s="40">
        <v>222214920</v>
      </c>
      <c r="E62" s="56">
        <v>0</v>
      </c>
      <c r="F62" s="40">
        <v>62807242</v>
      </c>
      <c r="G62" s="40">
        <v>33010049</v>
      </c>
      <c r="H62" s="40">
        <v>15589308</v>
      </c>
      <c r="I62" s="40">
        <v>4694839</v>
      </c>
      <c r="J62" s="40">
        <v>306000</v>
      </c>
      <c r="K62" s="40">
        <v>34000</v>
      </c>
      <c r="L62" s="40">
        <v>147910919</v>
      </c>
      <c r="M62" s="40">
        <v>78853843</v>
      </c>
      <c r="N62" s="40">
        <v>2678</v>
      </c>
      <c r="O62" s="40">
        <v>1476</v>
      </c>
      <c r="P62" s="40">
        <v>6009235</v>
      </c>
      <c r="Q62" s="40">
        <v>1065035</v>
      </c>
      <c r="R62" s="40">
        <v>5797421</v>
      </c>
      <c r="S62" s="40">
        <v>3456094</v>
      </c>
      <c r="T62" s="40">
        <v>1192900</v>
      </c>
      <c r="U62" s="40">
        <v>464350</v>
      </c>
      <c r="V62" s="40">
        <v>6009235</v>
      </c>
      <c r="W62" s="40">
        <v>1013415</v>
      </c>
      <c r="X62" s="40">
        <v>5797421</v>
      </c>
      <c r="Y62" s="40">
        <v>3456094</v>
      </c>
      <c r="Z62" s="40">
        <v>1188735</v>
      </c>
      <c r="AA62" s="40">
        <v>464350</v>
      </c>
      <c r="AB62" s="40">
        <v>-6389715</v>
      </c>
      <c r="AC62" s="40">
        <v>-724059</v>
      </c>
      <c r="AD62" s="40">
        <v>0</v>
      </c>
      <c r="AE62" s="40">
        <v>0</v>
      </c>
      <c r="AF62" s="40">
        <v>0</v>
      </c>
      <c r="AG62" s="40">
        <v>0</v>
      </c>
      <c r="AH62" s="40">
        <v>7297098</v>
      </c>
      <c r="AI62" s="40">
        <v>42580385</v>
      </c>
      <c r="AJ62" s="40">
        <v>6490401</v>
      </c>
      <c r="AK62" s="1">
        <v>139815383</v>
      </c>
      <c r="AL62" s="1">
        <v>3152721</v>
      </c>
      <c r="AM62" s="40">
        <v>0</v>
      </c>
      <c r="AN62" s="40">
        <v>35428247</v>
      </c>
      <c r="AO62" s="40">
        <v>2660865</v>
      </c>
      <c r="AP62" s="40">
        <v>53882976</v>
      </c>
      <c r="AQ62" s="40">
        <v>27962284</v>
      </c>
      <c r="AR62" s="40">
        <v>24490581</v>
      </c>
      <c r="AS62" s="40">
        <v>5399988</v>
      </c>
      <c r="AT62" s="40">
        <v>361311</v>
      </c>
      <c r="AU62" s="40">
        <v>0</v>
      </c>
      <c r="AV62" s="40">
        <v>0</v>
      </c>
      <c r="AW62" s="40">
        <v>0</v>
      </c>
      <c r="AX62" s="40">
        <v>0</v>
      </c>
      <c r="AY62" s="40">
        <v>0</v>
      </c>
      <c r="AZ62" s="1">
        <v>8683357.5299999993</v>
      </c>
      <c r="BA62" s="1">
        <v>4428512</v>
      </c>
      <c r="BB62" s="1"/>
      <c r="BC62" s="15">
        <v>2984786</v>
      </c>
      <c r="BD62" s="15">
        <v>5852521</v>
      </c>
      <c r="BE62" s="20">
        <v>20020277</v>
      </c>
      <c r="BF62" s="20">
        <v>20020277</v>
      </c>
      <c r="BG62" s="20">
        <v>45940531</v>
      </c>
      <c r="BH62" s="20">
        <v>43278313</v>
      </c>
      <c r="BI62" s="44"/>
      <c r="BJ62" s="44"/>
      <c r="BK62" s="44"/>
      <c r="BL62" s="5">
        <v>1153778678</v>
      </c>
      <c r="BM62" s="5">
        <v>940098686</v>
      </c>
      <c r="BN62" s="15">
        <v>193400</v>
      </c>
      <c r="BO62" s="3"/>
      <c r="BP62" s="1"/>
      <c r="BQ62" s="1"/>
      <c r="BR62" s="5"/>
      <c r="BS62" s="5"/>
      <c r="BT62" s="5"/>
    </row>
    <row r="63" spans="1:72" x14ac:dyDescent="0.25">
      <c r="A63" s="6" t="s">
        <v>117</v>
      </c>
      <c r="B63" s="40">
        <v>313859223</v>
      </c>
      <c r="C63" s="40">
        <v>140225080</v>
      </c>
      <c r="D63" s="40">
        <v>61408166</v>
      </c>
      <c r="E63" s="40">
        <v>0</v>
      </c>
      <c r="F63" s="40">
        <v>31236700</v>
      </c>
      <c r="G63" s="40">
        <v>8017600</v>
      </c>
      <c r="H63" s="40">
        <v>12603690</v>
      </c>
      <c r="I63" s="40">
        <v>1360600</v>
      </c>
      <c r="J63" s="40">
        <v>102000</v>
      </c>
      <c r="K63" s="40">
        <v>0</v>
      </c>
      <c r="L63" s="40">
        <v>208654249</v>
      </c>
      <c r="M63" s="40">
        <v>101192736</v>
      </c>
      <c r="N63" s="40">
        <v>1332</v>
      </c>
      <c r="O63" s="40">
        <v>293</v>
      </c>
      <c r="P63" s="40">
        <v>3567960</v>
      </c>
      <c r="Q63" s="40">
        <v>2247565</v>
      </c>
      <c r="R63" s="40">
        <v>1998000</v>
      </c>
      <c r="S63" s="40">
        <v>2679145</v>
      </c>
      <c r="T63" s="40">
        <v>1085972</v>
      </c>
      <c r="U63" s="40">
        <v>1429320</v>
      </c>
      <c r="V63" s="40">
        <v>3567960</v>
      </c>
      <c r="W63" s="40">
        <v>4755493</v>
      </c>
      <c r="X63" s="40">
        <v>1998000</v>
      </c>
      <c r="Y63" s="40">
        <v>2679145</v>
      </c>
      <c r="Z63" s="40">
        <v>2454809</v>
      </c>
      <c r="AA63" s="40">
        <v>1429320</v>
      </c>
      <c r="AB63" s="40">
        <v>-2058346</v>
      </c>
      <c r="AC63" s="40">
        <v>0</v>
      </c>
      <c r="AD63" s="40">
        <v>50599</v>
      </c>
      <c r="AE63" s="40">
        <v>0</v>
      </c>
      <c r="AF63" s="40">
        <v>0</v>
      </c>
      <c r="AG63" s="40">
        <v>151706</v>
      </c>
      <c r="AH63" s="3"/>
      <c r="AI63" s="3"/>
      <c r="AJ63" s="3"/>
      <c r="AK63" s="1">
        <v>75939586</v>
      </c>
      <c r="AL63" s="1">
        <v>1955503</v>
      </c>
      <c r="AM63" s="40">
        <v>0</v>
      </c>
      <c r="AN63" s="40">
        <v>10336845</v>
      </c>
      <c r="AO63" s="40">
        <v>42560</v>
      </c>
      <c r="AP63" s="40">
        <v>9054134</v>
      </c>
      <c r="AQ63" s="40">
        <v>13102560</v>
      </c>
      <c r="AR63" s="40">
        <v>8336163</v>
      </c>
      <c r="AS63" s="40">
        <v>0</v>
      </c>
      <c r="AT63" s="40">
        <v>934524</v>
      </c>
      <c r="AU63" s="40">
        <v>0</v>
      </c>
      <c r="AV63" s="40">
        <v>24459</v>
      </c>
      <c r="AW63" s="40">
        <v>0</v>
      </c>
      <c r="AX63" s="40">
        <v>10519</v>
      </c>
      <c r="AY63" s="40">
        <v>23400</v>
      </c>
      <c r="AZ63" s="1">
        <v>4716294.8899999997</v>
      </c>
      <c r="BA63" s="1">
        <v>2405310</v>
      </c>
      <c r="BB63" s="1"/>
      <c r="BC63" s="15">
        <v>80581</v>
      </c>
      <c r="BD63" s="15">
        <v>158001</v>
      </c>
      <c r="BE63" s="20">
        <v>5623838</v>
      </c>
      <c r="BF63" s="20">
        <v>5623838</v>
      </c>
      <c r="BG63" s="20">
        <v>32434937</v>
      </c>
      <c r="BH63" s="20">
        <v>32275624</v>
      </c>
      <c r="BI63" s="44"/>
      <c r="BJ63" s="44"/>
      <c r="BK63" s="44"/>
      <c r="BL63" s="5">
        <v>657254876</v>
      </c>
      <c r="BM63" s="5">
        <v>538974434</v>
      </c>
      <c r="BN63" s="15">
        <v>1120087</v>
      </c>
      <c r="BO63" s="3"/>
      <c r="BP63" s="1"/>
      <c r="BQ63" s="1"/>
      <c r="BR63" s="5"/>
      <c r="BS63" s="5"/>
      <c r="BT63" s="5"/>
    </row>
    <row r="64" spans="1:72" x14ac:dyDescent="0.25">
      <c r="A64" s="6" t="s">
        <v>118</v>
      </c>
      <c r="B64" s="40">
        <v>1350589794</v>
      </c>
      <c r="C64" s="40">
        <v>187338344</v>
      </c>
      <c r="D64" s="40">
        <v>669426167</v>
      </c>
      <c r="E64" s="40">
        <v>20973538</v>
      </c>
      <c r="F64" s="40">
        <v>117226649</v>
      </c>
      <c r="G64" s="40">
        <v>48511690</v>
      </c>
      <c r="H64" s="40">
        <v>25459100</v>
      </c>
      <c r="I64" s="40">
        <v>5107176</v>
      </c>
      <c r="J64" s="40">
        <v>272000</v>
      </c>
      <c r="K64" s="40">
        <v>68000</v>
      </c>
      <c r="L64" s="40">
        <v>398994180</v>
      </c>
      <c r="M64" s="40">
        <v>167782800</v>
      </c>
      <c r="N64" s="40">
        <v>4437</v>
      </c>
      <c r="O64" s="40">
        <v>1775</v>
      </c>
      <c r="P64" s="40">
        <v>2437800</v>
      </c>
      <c r="Q64" s="40">
        <v>1807300</v>
      </c>
      <c r="R64" s="40">
        <v>4452000</v>
      </c>
      <c r="S64" s="40">
        <v>10761400</v>
      </c>
      <c r="T64" s="40">
        <v>1455900</v>
      </c>
      <c r="U64" s="40">
        <v>3632500</v>
      </c>
      <c r="V64" s="40">
        <v>2437800</v>
      </c>
      <c r="W64" s="40">
        <v>3108300</v>
      </c>
      <c r="X64" s="40">
        <v>4452000</v>
      </c>
      <c r="Y64" s="40">
        <v>10761400</v>
      </c>
      <c r="Z64" s="40">
        <v>1724300</v>
      </c>
      <c r="AA64" s="40">
        <v>3632500</v>
      </c>
      <c r="AB64" s="40">
        <v>-9709140</v>
      </c>
      <c r="AC64" s="40">
        <v>-8344951</v>
      </c>
      <c r="AD64" s="40">
        <v>84092</v>
      </c>
      <c r="AE64" s="40">
        <v>0</v>
      </c>
      <c r="AF64" s="40">
        <v>0</v>
      </c>
      <c r="AG64" s="40">
        <v>285896</v>
      </c>
      <c r="AH64" s="40">
        <v>9910</v>
      </c>
      <c r="AI64" s="40">
        <v>157393</v>
      </c>
      <c r="AJ64" s="40">
        <v>21484</v>
      </c>
      <c r="AK64" s="1">
        <v>337023793</v>
      </c>
      <c r="AL64" s="1">
        <v>16543920</v>
      </c>
      <c r="AM64" s="40">
        <v>1007591</v>
      </c>
      <c r="AN64" s="40">
        <v>152941248</v>
      </c>
      <c r="AO64" s="40">
        <v>23089950</v>
      </c>
      <c r="AP64" s="40">
        <v>144840024</v>
      </c>
      <c r="AQ64" s="40">
        <v>125123786</v>
      </c>
      <c r="AR64" s="40">
        <v>56768615</v>
      </c>
      <c r="AS64" s="40">
        <v>31548814</v>
      </c>
      <c r="AT64" s="40">
        <v>4480368</v>
      </c>
      <c r="AU64" s="40">
        <v>0</v>
      </c>
      <c r="AV64" s="40">
        <v>37183</v>
      </c>
      <c r="AW64" s="40">
        <v>11826869</v>
      </c>
      <c r="AX64" s="40">
        <v>1153492</v>
      </c>
      <c r="AY64" s="40">
        <v>1625451</v>
      </c>
      <c r="AZ64" s="1">
        <v>20931159.559999999</v>
      </c>
      <c r="BA64" s="1">
        <v>10674891</v>
      </c>
      <c r="BB64" s="1"/>
      <c r="BC64" s="15">
        <v>2487431</v>
      </c>
      <c r="BD64" s="15">
        <v>4877316</v>
      </c>
      <c r="BE64" s="20">
        <v>35423936</v>
      </c>
      <c r="BF64" s="20">
        <v>35423936</v>
      </c>
      <c r="BG64" s="20">
        <v>95628937</v>
      </c>
      <c r="BH64" s="20">
        <v>90311805</v>
      </c>
      <c r="BI64" s="44"/>
      <c r="BJ64" s="44"/>
      <c r="BK64" s="44"/>
      <c r="BL64" s="5">
        <v>3001163852</v>
      </c>
      <c r="BM64" s="5">
        <v>2508698076</v>
      </c>
      <c r="BN64" s="15">
        <v>2375600</v>
      </c>
      <c r="BO64" s="3"/>
      <c r="BP64" s="1"/>
      <c r="BQ64" s="1"/>
      <c r="BR64" s="5"/>
      <c r="BS64" s="5"/>
      <c r="BT64" s="5"/>
    </row>
    <row r="65" spans="1:72" x14ac:dyDescent="0.25">
      <c r="A65" s="6" t="s">
        <v>119</v>
      </c>
      <c r="B65" s="40">
        <v>230548168</v>
      </c>
      <c r="C65" s="40">
        <v>97774648</v>
      </c>
      <c r="D65" s="40">
        <v>89631094</v>
      </c>
      <c r="E65" s="40">
        <v>0</v>
      </c>
      <c r="F65" s="40">
        <v>25184547</v>
      </c>
      <c r="G65" s="40">
        <v>13741690</v>
      </c>
      <c r="H65" s="40">
        <v>14766270</v>
      </c>
      <c r="I65" s="40">
        <v>5155651</v>
      </c>
      <c r="J65" s="40">
        <v>272000</v>
      </c>
      <c r="K65" s="40">
        <v>34000</v>
      </c>
      <c r="L65" s="40">
        <v>115880076</v>
      </c>
      <c r="M65" s="40">
        <v>75886300</v>
      </c>
      <c r="N65" s="40">
        <v>1363</v>
      </c>
      <c r="O65" s="40">
        <v>669</v>
      </c>
      <c r="P65" s="40">
        <v>5326460</v>
      </c>
      <c r="Q65" s="40">
        <v>1855000</v>
      </c>
      <c r="R65" s="40">
        <v>1651000</v>
      </c>
      <c r="S65" s="40">
        <v>682900</v>
      </c>
      <c r="T65" s="40">
        <v>330900</v>
      </c>
      <c r="U65" s="40">
        <v>222000</v>
      </c>
      <c r="V65" s="40">
        <v>5326460</v>
      </c>
      <c r="W65" s="40">
        <v>1986000</v>
      </c>
      <c r="X65" s="40">
        <v>1651000</v>
      </c>
      <c r="Y65" s="40">
        <v>682900</v>
      </c>
      <c r="Z65" s="40">
        <v>424000</v>
      </c>
      <c r="AA65" s="40">
        <v>222000</v>
      </c>
      <c r="AB65" s="40">
        <v>-5666350</v>
      </c>
      <c r="AC65" s="40">
        <v>-1793340</v>
      </c>
      <c r="AD65" s="40">
        <v>189218</v>
      </c>
      <c r="AE65" s="40">
        <v>0</v>
      </c>
      <c r="AF65" s="40">
        <v>0</v>
      </c>
      <c r="AG65" s="40">
        <v>222973</v>
      </c>
      <c r="AH65" s="40">
        <v>4929459</v>
      </c>
      <c r="AI65" s="40">
        <v>14150902</v>
      </c>
      <c r="AJ65" s="40">
        <v>5164082</v>
      </c>
      <c r="AK65" s="1">
        <v>86089185</v>
      </c>
      <c r="AL65" s="1">
        <v>3971248</v>
      </c>
      <c r="AM65" s="40">
        <v>132500</v>
      </c>
      <c r="AN65" s="40">
        <v>30507900</v>
      </c>
      <c r="AO65" s="40">
        <v>268042</v>
      </c>
      <c r="AP65" s="40">
        <v>3194990</v>
      </c>
      <c r="AQ65" s="40">
        <v>16156206</v>
      </c>
      <c r="AR65" s="40">
        <v>691045</v>
      </c>
      <c r="AS65" s="40">
        <v>0</v>
      </c>
      <c r="AT65" s="40">
        <v>307139</v>
      </c>
      <c r="AU65" s="40">
        <v>0</v>
      </c>
      <c r="AV65" s="40">
        <v>0</v>
      </c>
      <c r="AW65" s="40">
        <v>0</v>
      </c>
      <c r="AX65" s="40">
        <v>0</v>
      </c>
      <c r="AY65" s="40">
        <v>11500</v>
      </c>
      <c r="AZ65" s="1">
        <v>5346644.67</v>
      </c>
      <c r="BA65" s="1">
        <v>2726789</v>
      </c>
      <c r="BB65" s="1"/>
      <c r="BC65" s="15">
        <v>3074613</v>
      </c>
      <c r="BD65" s="15">
        <v>6028653</v>
      </c>
      <c r="BE65" s="20">
        <v>56130671</v>
      </c>
      <c r="BF65" s="20">
        <v>56130671</v>
      </c>
      <c r="BG65" s="20">
        <v>85347915</v>
      </c>
      <c r="BH65" s="20">
        <v>82384631</v>
      </c>
      <c r="BI65" s="44"/>
      <c r="BJ65" s="44"/>
      <c r="BK65" s="44"/>
      <c r="BL65" s="5">
        <v>723507638</v>
      </c>
      <c r="BM65" s="5">
        <v>489130501</v>
      </c>
      <c r="BN65" s="15">
        <v>513500</v>
      </c>
      <c r="BO65" s="3"/>
      <c r="BP65" s="1"/>
      <c r="BQ65" s="1"/>
      <c r="BR65" s="5"/>
      <c r="BS65" s="5"/>
      <c r="BT65" s="5"/>
    </row>
    <row r="66" spans="1:72" x14ac:dyDescent="0.25">
      <c r="A66" s="6" t="s">
        <v>120</v>
      </c>
      <c r="B66" s="40">
        <v>82678171</v>
      </c>
      <c r="C66" s="40">
        <v>40065752</v>
      </c>
      <c r="D66" s="40">
        <v>51712376</v>
      </c>
      <c r="E66" s="40">
        <v>0</v>
      </c>
      <c r="F66" s="40">
        <v>11836170</v>
      </c>
      <c r="G66" s="40">
        <v>9657650</v>
      </c>
      <c r="H66" s="40">
        <v>5956550</v>
      </c>
      <c r="I66" s="40">
        <v>2812240</v>
      </c>
      <c r="J66" s="40">
        <v>0</v>
      </c>
      <c r="K66" s="40">
        <v>0</v>
      </c>
      <c r="L66" s="40">
        <v>55277847</v>
      </c>
      <c r="M66" s="40">
        <v>29124614</v>
      </c>
      <c r="N66" s="40">
        <v>618</v>
      </c>
      <c r="O66" s="40">
        <v>506</v>
      </c>
      <c r="P66" s="40">
        <v>1225119</v>
      </c>
      <c r="Q66" s="40">
        <v>420650</v>
      </c>
      <c r="R66" s="40">
        <v>663565</v>
      </c>
      <c r="S66" s="40">
        <v>1783815</v>
      </c>
      <c r="T66" s="40">
        <v>350600</v>
      </c>
      <c r="U66" s="40">
        <v>416050</v>
      </c>
      <c r="V66" s="40">
        <v>1225119</v>
      </c>
      <c r="W66" s="40">
        <v>626000</v>
      </c>
      <c r="X66" s="40">
        <v>663565</v>
      </c>
      <c r="Y66" s="40">
        <v>1783815</v>
      </c>
      <c r="Z66" s="40">
        <v>397175</v>
      </c>
      <c r="AA66" s="40">
        <v>416050</v>
      </c>
      <c r="AB66" s="40">
        <v>-2666448</v>
      </c>
      <c r="AC66" s="40">
        <v>0</v>
      </c>
      <c r="AD66" s="40">
        <v>91220</v>
      </c>
      <c r="AE66" s="40">
        <v>0</v>
      </c>
      <c r="AF66" s="40">
        <v>0</v>
      </c>
      <c r="AG66" s="40">
        <v>106540</v>
      </c>
      <c r="AH66" s="40">
        <v>20986664</v>
      </c>
      <c r="AI66" s="3"/>
      <c r="AJ66" s="40">
        <v>0</v>
      </c>
      <c r="AK66" s="1">
        <v>32258643</v>
      </c>
      <c r="AL66" s="1">
        <v>698679</v>
      </c>
      <c r="AM66" s="40">
        <v>0</v>
      </c>
      <c r="AN66" s="40">
        <v>7108473</v>
      </c>
      <c r="AO66" s="40">
        <v>36933</v>
      </c>
      <c r="AP66" s="40">
        <v>1184123</v>
      </c>
      <c r="AQ66" s="40">
        <v>4190066</v>
      </c>
      <c r="AR66" s="40">
        <v>3670558</v>
      </c>
      <c r="AS66" s="40">
        <v>5500</v>
      </c>
      <c r="AT66" s="40">
        <v>78329</v>
      </c>
      <c r="AU66" s="40">
        <v>0</v>
      </c>
      <c r="AV66" s="40">
        <v>0</v>
      </c>
      <c r="AW66" s="40">
        <v>0</v>
      </c>
      <c r="AX66" s="40">
        <v>0</v>
      </c>
      <c r="AY66" s="40">
        <v>60000</v>
      </c>
      <c r="AZ66" s="1">
        <v>2003451.44</v>
      </c>
      <c r="BA66" s="1">
        <v>1021760</v>
      </c>
      <c r="BB66" s="1"/>
      <c r="BC66" s="15">
        <v>2208041</v>
      </c>
      <c r="BD66" s="15">
        <v>4329493</v>
      </c>
      <c r="BE66" s="20">
        <v>6981476</v>
      </c>
      <c r="BF66" s="20">
        <v>6981476</v>
      </c>
      <c r="BG66" s="20">
        <v>26601004</v>
      </c>
      <c r="BH66" s="20">
        <v>21815060</v>
      </c>
      <c r="BI66" s="44"/>
      <c r="BJ66" s="44"/>
      <c r="BK66" s="44"/>
      <c r="BL66" s="5">
        <v>271762094</v>
      </c>
      <c r="BM66" s="5">
        <v>206778435</v>
      </c>
      <c r="BN66" s="15">
        <v>160000</v>
      </c>
      <c r="BO66" s="3"/>
      <c r="BP66" s="1"/>
      <c r="BQ66" s="1"/>
      <c r="BR66" s="5"/>
      <c r="BS66" s="5"/>
      <c r="BT66" s="5"/>
    </row>
    <row r="67" spans="1:72" x14ac:dyDescent="0.25">
      <c r="A67" s="6" t="s">
        <v>121</v>
      </c>
      <c r="B67" s="40">
        <v>110153453</v>
      </c>
      <c r="C67" s="40">
        <v>50680973</v>
      </c>
      <c r="D67" s="40">
        <v>30240980</v>
      </c>
      <c r="E67" s="40">
        <v>0</v>
      </c>
      <c r="F67" s="40">
        <v>18977290</v>
      </c>
      <c r="G67" s="40">
        <v>25647132</v>
      </c>
      <c r="H67" s="40">
        <v>7348500</v>
      </c>
      <c r="I67" s="40">
        <v>3863878</v>
      </c>
      <c r="J67" s="40">
        <v>99500</v>
      </c>
      <c r="K67" s="40">
        <v>34000</v>
      </c>
      <c r="L67" s="40">
        <v>39215089</v>
      </c>
      <c r="M67" s="40">
        <v>39215089</v>
      </c>
      <c r="N67" s="40">
        <v>931</v>
      </c>
      <c r="O67" s="40">
        <v>1128</v>
      </c>
      <c r="P67" s="40">
        <v>2087975</v>
      </c>
      <c r="Q67" s="40">
        <v>613350</v>
      </c>
      <c r="R67" s="40">
        <v>0</v>
      </c>
      <c r="S67" s="40">
        <v>1867000</v>
      </c>
      <c r="T67" s="40">
        <v>202125</v>
      </c>
      <c r="U67" s="40">
        <v>120630</v>
      </c>
      <c r="V67" s="40">
        <v>2087975</v>
      </c>
      <c r="W67" s="40">
        <v>616050</v>
      </c>
      <c r="X67" s="40">
        <v>0</v>
      </c>
      <c r="Y67" s="40">
        <v>1867000</v>
      </c>
      <c r="Z67" s="40">
        <v>204725</v>
      </c>
      <c r="AA67" s="40">
        <v>120630</v>
      </c>
      <c r="AB67" s="40">
        <v>-2076427</v>
      </c>
      <c r="AC67" s="40">
        <v>0</v>
      </c>
      <c r="AD67" s="40">
        <v>178575</v>
      </c>
      <c r="AE67" s="40">
        <v>0</v>
      </c>
      <c r="AF67" s="40">
        <v>0</v>
      </c>
      <c r="AG67" s="40">
        <v>188847</v>
      </c>
      <c r="AH67" s="40">
        <v>16890951</v>
      </c>
      <c r="AI67" s="40">
        <v>43394459</v>
      </c>
      <c r="AJ67" s="40">
        <v>149450156</v>
      </c>
      <c r="AK67" s="1">
        <v>64226191</v>
      </c>
      <c r="AL67" s="1">
        <v>2538061</v>
      </c>
      <c r="AM67" s="40">
        <v>0</v>
      </c>
      <c r="AN67" s="40">
        <v>65233749</v>
      </c>
      <c r="AO67" s="40">
        <v>4817400</v>
      </c>
      <c r="AP67" s="40">
        <v>14826572</v>
      </c>
      <c r="AQ67" s="40">
        <v>3245052</v>
      </c>
      <c r="AR67" s="40">
        <v>2445628</v>
      </c>
      <c r="AS67" s="40">
        <v>0</v>
      </c>
      <c r="AT67" s="40">
        <v>0</v>
      </c>
      <c r="AU67" s="40">
        <v>0</v>
      </c>
      <c r="AV67" s="40">
        <v>0</v>
      </c>
      <c r="AW67" s="40">
        <v>0</v>
      </c>
      <c r="AX67" s="40">
        <v>0</v>
      </c>
      <c r="AY67" s="40">
        <v>0</v>
      </c>
      <c r="AZ67" s="1">
        <v>3988824.17</v>
      </c>
      <c r="BA67" s="1">
        <v>2034300</v>
      </c>
      <c r="BB67" s="1"/>
      <c r="BC67" s="15">
        <v>0</v>
      </c>
      <c r="BD67" s="15">
        <v>0</v>
      </c>
      <c r="BE67" s="20">
        <v>733543</v>
      </c>
      <c r="BF67" s="20">
        <v>733543</v>
      </c>
      <c r="BG67" s="20">
        <v>30077835</v>
      </c>
      <c r="BH67" s="20">
        <v>30009369</v>
      </c>
      <c r="BI67" s="44"/>
      <c r="BJ67" s="44"/>
      <c r="BK67" s="44"/>
      <c r="BL67" s="5">
        <v>573648637</v>
      </c>
      <c r="BM67" s="5">
        <v>474107173</v>
      </c>
      <c r="BN67" s="15">
        <v>542535</v>
      </c>
      <c r="BO67" s="3"/>
      <c r="BP67" s="1"/>
      <c r="BQ67" s="1"/>
      <c r="BR67" s="5"/>
      <c r="BS67" s="5"/>
      <c r="BT67" s="5"/>
    </row>
    <row r="68" spans="1:72" x14ac:dyDescent="0.25">
      <c r="A68" s="6" t="s">
        <v>122</v>
      </c>
      <c r="B68" s="40">
        <v>210613347</v>
      </c>
      <c r="C68" s="40">
        <v>46066386</v>
      </c>
      <c r="D68" s="40">
        <v>114228658</v>
      </c>
      <c r="E68" s="56">
        <v>0</v>
      </c>
      <c r="F68" s="40">
        <v>47273850</v>
      </c>
      <c r="G68" s="40">
        <v>28015369</v>
      </c>
      <c r="H68" s="40">
        <v>13444400</v>
      </c>
      <c r="I68" s="40">
        <v>4874750</v>
      </c>
      <c r="J68" s="40">
        <v>0</v>
      </c>
      <c r="K68" s="40">
        <v>0</v>
      </c>
      <c r="L68" s="40">
        <v>71860914</v>
      </c>
      <c r="M68" s="40">
        <v>56916</v>
      </c>
      <c r="N68" s="40">
        <v>2390</v>
      </c>
      <c r="O68" s="40">
        <v>1345</v>
      </c>
      <c r="P68" s="40">
        <v>854500</v>
      </c>
      <c r="Q68" s="40">
        <v>751500</v>
      </c>
      <c r="R68" s="40">
        <v>2460000</v>
      </c>
      <c r="S68" s="40">
        <v>822500</v>
      </c>
      <c r="T68" s="40">
        <v>424400</v>
      </c>
      <c r="U68" s="40">
        <v>0</v>
      </c>
      <c r="V68" s="40">
        <v>854500</v>
      </c>
      <c r="W68" s="40">
        <v>1286000</v>
      </c>
      <c r="X68" s="40">
        <v>2460000</v>
      </c>
      <c r="Y68" s="40">
        <v>822500</v>
      </c>
      <c r="Z68" s="40">
        <v>411000</v>
      </c>
      <c r="AA68" s="40">
        <v>0</v>
      </c>
      <c r="AB68" s="40">
        <v>-3995151</v>
      </c>
      <c r="AC68" s="40">
        <v>-86437</v>
      </c>
      <c r="AD68" s="40">
        <v>0</v>
      </c>
      <c r="AE68" s="40">
        <v>0</v>
      </c>
      <c r="AF68" s="40">
        <v>0</v>
      </c>
      <c r="AG68" s="40">
        <v>0</v>
      </c>
      <c r="AH68" s="40">
        <v>12042205</v>
      </c>
      <c r="AI68" s="40">
        <v>147392927</v>
      </c>
      <c r="AJ68" s="40">
        <v>170150934</v>
      </c>
      <c r="AK68" s="1">
        <v>135954179</v>
      </c>
      <c r="AL68" s="1">
        <v>3395747</v>
      </c>
      <c r="AM68" s="40">
        <v>0</v>
      </c>
      <c r="AN68" s="40">
        <v>118368131</v>
      </c>
      <c r="AO68" s="40">
        <v>6536983</v>
      </c>
      <c r="AP68" s="40">
        <v>30045050</v>
      </c>
      <c r="AQ68" s="40">
        <v>19388233</v>
      </c>
      <c r="AR68" s="40">
        <v>4256074</v>
      </c>
      <c r="AS68" s="40">
        <v>0</v>
      </c>
      <c r="AT68" s="40">
        <v>102301</v>
      </c>
      <c r="AU68" s="40">
        <v>0</v>
      </c>
      <c r="AV68" s="40">
        <v>0</v>
      </c>
      <c r="AW68" s="40">
        <v>0</v>
      </c>
      <c r="AX68" s="40">
        <v>0</v>
      </c>
      <c r="AY68" s="40">
        <v>0</v>
      </c>
      <c r="AZ68" s="1">
        <v>8443554.0500000007</v>
      </c>
      <c r="BA68" s="1">
        <v>4306213</v>
      </c>
      <c r="BB68" s="1"/>
      <c r="BC68" s="15">
        <v>2696809</v>
      </c>
      <c r="BD68" s="15">
        <v>5287861</v>
      </c>
      <c r="BE68" s="20">
        <v>10021850</v>
      </c>
      <c r="BF68" s="20">
        <v>10021850</v>
      </c>
      <c r="BG68" s="20">
        <v>74929135</v>
      </c>
      <c r="BH68" s="20">
        <v>72409729</v>
      </c>
      <c r="BI68" s="44"/>
      <c r="BJ68" s="44"/>
      <c r="BK68" s="44"/>
      <c r="BL68" s="5">
        <v>1073572331</v>
      </c>
      <c r="BM68" s="5">
        <v>844787804</v>
      </c>
      <c r="BN68" s="15">
        <v>151750</v>
      </c>
      <c r="BO68" s="3"/>
      <c r="BP68" s="1"/>
      <c r="BQ68" s="1"/>
      <c r="BR68" s="5"/>
      <c r="BS68" s="5"/>
      <c r="BT68" s="5"/>
    </row>
    <row r="69" spans="1:72" x14ac:dyDescent="0.25">
      <c r="A69" s="6" t="s">
        <v>123</v>
      </c>
      <c r="B69" s="40">
        <v>177432929</v>
      </c>
      <c r="C69" s="40">
        <v>104436215</v>
      </c>
      <c r="D69" s="40">
        <v>32110100</v>
      </c>
      <c r="E69" s="40">
        <v>0</v>
      </c>
      <c r="F69" s="40">
        <v>24923300</v>
      </c>
      <c r="G69" s="40">
        <v>9115800</v>
      </c>
      <c r="H69" s="40">
        <v>9955500</v>
      </c>
      <c r="I69" s="40">
        <v>1509900</v>
      </c>
      <c r="J69" s="40">
        <v>29400</v>
      </c>
      <c r="K69" s="40">
        <v>0</v>
      </c>
      <c r="L69" s="40">
        <v>101837380</v>
      </c>
      <c r="M69" s="40">
        <v>20797095</v>
      </c>
      <c r="N69" s="40">
        <v>1195</v>
      </c>
      <c r="O69" s="40">
        <v>380</v>
      </c>
      <c r="P69" s="40">
        <v>4743400</v>
      </c>
      <c r="Q69" s="40">
        <v>1540500</v>
      </c>
      <c r="R69" s="40">
        <v>612200</v>
      </c>
      <c r="S69" s="40">
        <v>2440900</v>
      </c>
      <c r="T69" s="40">
        <v>928100</v>
      </c>
      <c r="U69" s="40">
        <v>674100</v>
      </c>
      <c r="V69" s="40">
        <v>4743400</v>
      </c>
      <c r="W69" s="40">
        <v>1787000</v>
      </c>
      <c r="X69" s="40">
        <v>612200</v>
      </c>
      <c r="Y69" s="40">
        <v>2440900</v>
      </c>
      <c r="Z69" s="40">
        <v>1193900</v>
      </c>
      <c r="AA69" s="40">
        <v>674100</v>
      </c>
      <c r="AB69" s="40">
        <v>-1415550</v>
      </c>
      <c r="AC69" s="40">
        <v>-992347</v>
      </c>
      <c r="AD69" s="40">
        <v>181584</v>
      </c>
      <c r="AE69" s="40">
        <v>0</v>
      </c>
      <c r="AF69" s="40">
        <v>0</v>
      </c>
      <c r="AG69" s="40">
        <v>290609</v>
      </c>
      <c r="AH69" s="3"/>
      <c r="AI69" s="40">
        <v>85828</v>
      </c>
      <c r="AJ69" s="3"/>
      <c r="AK69" s="1">
        <v>66067280</v>
      </c>
      <c r="AL69" s="1">
        <v>1101978</v>
      </c>
      <c r="AM69" s="40">
        <v>0</v>
      </c>
      <c r="AN69" s="40">
        <v>6476370</v>
      </c>
      <c r="AO69" s="40">
        <v>348743</v>
      </c>
      <c r="AP69" s="40">
        <v>17550208</v>
      </c>
      <c r="AQ69" s="40">
        <v>7123142</v>
      </c>
      <c r="AR69" s="40">
        <v>4936197</v>
      </c>
      <c r="AS69" s="40">
        <v>0</v>
      </c>
      <c r="AT69" s="40">
        <v>16459</v>
      </c>
      <c r="AU69" s="40">
        <v>0</v>
      </c>
      <c r="AV69" s="40">
        <v>0</v>
      </c>
      <c r="AW69" s="40">
        <v>0</v>
      </c>
      <c r="AX69" s="40">
        <v>0</v>
      </c>
      <c r="AY69" s="40">
        <v>56600</v>
      </c>
      <c r="AZ69" s="1">
        <v>4103166.63</v>
      </c>
      <c r="BA69" s="1">
        <v>2092615</v>
      </c>
      <c r="BB69" s="1">
        <v>38756476.68</v>
      </c>
      <c r="BC69" s="15">
        <v>2745686</v>
      </c>
      <c r="BD69" s="15">
        <v>5383697</v>
      </c>
      <c r="BE69" s="20">
        <v>34498994</v>
      </c>
      <c r="BF69" s="20">
        <v>34498994</v>
      </c>
      <c r="BG69" s="20">
        <v>56713530</v>
      </c>
      <c r="BH69" s="20">
        <v>48215644</v>
      </c>
      <c r="BI69" s="44"/>
      <c r="BJ69" s="44"/>
      <c r="BK69" s="44"/>
      <c r="BL69" s="5">
        <v>482735524</v>
      </c>
      <c r="BM69" s="5">
        <v>328013327</v>
      </c>
      <c r="BN69" s="15">
        <v>1339000</v>
      </c>
      <c r="BO69" s="3"/>
      <c r="BP69" s="1"/>
      <c r="BQ69" s="1"/>
      <c r="BR69" s="5"/>
      <c r="BS69" s="5"/>
      <c r="BT69" s="5"/>
    </row>
    <row r="70" spans="1:72" x14ac:dyDescent="0.25">
      <c r="A70" s="6" t="s">
        <v>124</v>
      </c>
      <c r="B70" s="40">
        <v>485693536</v>
      </c>
      <c r="C70" s="40">
        <v>166018148</v>
      </c>
      <c r="D70" s="40">
        <v>115981934</v>
      </c>
      <c r="E70" s="40">
        <v>0</v>
      </c>
      <c r="F70" s="40">
        <v>54691667</v>
      </c>
      <c r="G70" s="40">
        <v>17083338</v>
      </c>
      <c r="H70" s="40">
        <v>19381304</v>
      </c>
      <c r="I70" s="40">
        <v>2040450</v>
      </c>
      <c r="J70" s="40">
        <v>306000</v>
      </c>
      <c r="K70" s="40">
        <v>0</v>
      </c>
      <c r="L70" s="40">
        <v>292775259</v>
      </c>
      <c r="M70" s="40">
        <v>106014125</v>
      </c>
      <c r="N70" s="40">
        <v>2406</v>
      </c>
      <c r="O70" s="40">
        <v>709</v>
      </c>
      <c r="P70" s="40">
        <v>6330317</v>
      </c>
      <c r="Q70" s="40">
        <v>2392250</v>
      </c>
      <c r="R70" s="40">
        <v>260000</v>
      </c>
      <c r="S70" s="40">
        <v>4164720</v>
      </c>
      <c r="T70" s="40">
        <v>1156125</v>
      </c>
      <c r="U70" s="40">
        <v>673700</v>
      </c>
      <c r="V70" s="40">
        <v>6330317</v>
      </c>
      <c r="W70" s="40">
        <v>2408450</v>
      </c>
      <c r="X70" s="40">
        <v>260000</v>
      </c>
      <c r="Y70" s="40">
        <v>4164720</v>
      </c>
      <c r="Z70" s="40">
        <v>1499470</v>
      </c>
      <c r="AA70" s="40">
        <v>673700</v>
      </c>
      <c r="AB70" s="40">
        <v>-2851547</v>
      </c>
      <c r="AC70" s="40">
        <v>-48937</v>
      </c>
      <c r="AD70" s="40">
        <v>59227</v>
      </c>
      <c r="AE70" s="40">
        <v>7</v>
      </c>
      <c r="AF70" s="40">
        <v>0</v>
      </c>
      <c r="AG70" s="40">
        <v>177882</v>
      </c>
      <c r="AH70" s="40">
        <v>46664</v>
      </c>
      <c r="AI70" s="3"/>
      <c r="AJ70" s="3"/>
      <c r="AK70" s="1">
        <v>121558324</v>
      </c>
      <c r="AL70" s="1">
        <v>3247955</v>
      </c>
      <c r="AM70" s="40">
        <v>0</v>
      </c>
      <c r="AN70" s="40">
        <v>12895320</v>
      </c>
      <c r="AO70" s="40">
        <v>1896879</v>
      </c>
      <c r="AP70" s="40">
        <v>17878867</v>
      </c>
      <c r="AQ70" s="40">
        <v>18004260</v>
      </c>
      <c r="AR70" s="40">
        <v>9429837</v>
      </c>
      <c r="AS70" s="40">
        <v>0</v>
      </c>
      <c r="AT70" s="40">
        <v>4122703</v>
      </c>
      <c r="AU70" s="40">
        <v>0</v>
      </c>
      <c r="AV70" s="40">
        <v>0</v>
      </c>
      <c r="AW70" s="40">
        <v>37575</v>
      </c>
      <c r="AX70" s="40">
        <v>877434</v>
      </c>
      <c r="AY70" s="40">
        <v>0</v>
      </c>
      <c r="AZ70" s="1">
        <v>7549486.7999999998</v>
      </c>
      <c r="BA70" s="1">
        <v>3850238</v>
      </c>
      <c r="BB70" s="1"/>
      <c r="BC70" s="15">
        <v>2369863</v>
      </c>
      <c r="BD70" s="15">
        <v>4646790</v>
      </c>
      <c r="BE70" s="20">
        <v>47296984</v>
      </c>
      <c r="BF70" s="20">
        <v>47296984</v>
      </c>
      <c r="BG70" s="20">
        <v>45544810</v>
      </c>
      <c r="BH70" s="20">
        <v>39332066</v>
      </c>
      <c r="BI70" s="44"/>
      <c r="BJ70" s="44"/>
      <c r="BK70" s="44"/>
      <c r="BL70" s="5">
        <v>1018192171</v>
      </c>
      <c r="BM70" s="5">
        <v>800536741</v>
      </c>
      <c r="BN70" s="15">
        <v>475000</v>
      </c>
      <c r="BO70" s="3"/>
      <c r="BP70" s="1"/>
      <c r="BQ70" s="1"/>
      <c r="BR70" s="5"/>
      <c r="BS70" s="5"/>
      <c r="BT70" s="5"/>
    </row>
    <row r="71" spans="1:72" x14ac:dyDescent="0.25">
      <c r="A71" s="6" t="s">
        <v>125</v>
      </c>
      <c r="B71" s="40">
        <v>230142287</v>
      </c>
      <c r="C71" s="40">
        <v>102979512</v>
      </c>
      <c r="D71" s="40">
        <v>83850774</v>
      </c>
      <c r="E71" s="40">
        <v>0</v>
      </c>
      <c r="F71" s="40">
        <v>25463700</v>
      </c>
      <c r="G71" s="40">
        <v>6617250</v>
      </c>
      <c r="H71" s="40">
        <v>7422200</v>
      </c>
      <c r="I71" s="40">
        <v>1259900</v>
      </c>
      <c r="J71" s="40">
        <v>68000</v>
      </c>
      <c r="K71" s="40">
        <v>0</v>
      </c>
      <c r="L71" s="40">
        <v>185549053</v>
      </c>
      <c r="M71" s="40">
        <v>61664400</v>
      </c>
      <c r="N71" s="40">
        <v>1056</v>
      </c>
      <c r="O71" s="40">
        <v>264</v>
      </c>
      <c r="P71" s="40">
        <v>4166800</v>
      </c>
      <c r="Q71" s="40">
        <v>1720400</v>
      </c>
      <c r="R71" s="40">
        <v>3030728</v>
      </c>
      <c r="S71" s="40">
        <v>2461399</v>
      </c>
      <c r="T71" s="40">
        <v>756000</v>
      </c>
      <c r="U71" s="40">
        <v>446756</v>
      </c>
      <c r="V71" s="40">
        <v>4166800</v>
      </c>
      <c r="W71" s="40">
        <v>2042900</v>
      </c>
      <c r="X71" s="40">
        <v>3030728</v>
      </c>
      <c r="Y71" s="40">
        <v>2461399</v>
      </c>
      <c r="Z71" s="40">
        <v>1779100</v>
      </c>
      <c r="AA71" s="40">
        <v>446756</v>
      </c>
      <c r="AB71" s="40">
        <v>-1662233</v>
      </c>
      <c r="AC71" s="40">
        <v>-55777</v>
      </c>
      <c r="AD71" s="40">
        <v>89205</v>
      </c>
      <c r="AE71" s="40">
        <v>0</v>
      </c>
      <c r="AF71" s="40">
        <v>0</v>
      </c>
      <c r="AG71" s="40">
        <v>177246</v>
      </c>
      <c r="AH71" s="3"/>
      <c r="AI71" s="40">
        <v>12572016</v>
      </c>
      <c r="AJ71" s="3"/>
      <c r="AK71" s="1">
        <v>63887062</v>
      </c>
      <c r="AL71" s="1">
        <v>4881903</v>
      </c>
      <c r="AM71" s="40">
        <v>4986073</v>
      </c>
      <c r="AN71" s="40">
        <v>43647096</v>
      </c>
      <c r="AO71" s="40">
        <v>2322482</v>
      </c>
      <c r="AP71" s="40">
        <v>68451563</v>
      </c>
      <c r="AQ71" s="40">
        <v>29677520</v>
      </c>
      <c r="AR71" s="40">
        <v>780014</v>
      </c>
      <c r="AS71" s="40">
        <v>5310802</v>
      </c>
      <c r="AT71" s="40">
        <v>104321</v>
      </c>
      <c r="AU71" s="40">
        <v>0</v>
      </c>
      <c r="AV71" s="40">
        <v>0</v>
      </c>
      <c r="AW71" s="40">
        <v>0</v>
      </c>
      <c r="AX71" s="40">
        <v>0</v>
      </c>
      <c r="AY71" s="40">
        <v>0</v>
      </c>
      <c r="AZ71" s="1">
        <v>3967762.27</v>
      </c>
      <c r="BA71" s="1">
        <v>2023559</v>
      </c>
      <c r="BB71" s="1">
        <v>69541450.780000001</v>
      </c>
      <c r="BC71" s="15">
        <v>377144</v>
      </c>
      <c r="BD71" s="15">
        <v>739498</v>
      </c>
      <c r="BE71" s="20">
        <v>7871871</v>
      </c>
      <c r="BF71" s="20">
        <v>7550842</v>
      </c>
      <c r="BG71" s="20">
        <v>21887747</v>
      </c>
      <c r="BH71" s="20">
        <v>21447577</v>
      </c>
      <c r="BI71" s="44"/>
      <c r="BJ71" s="44"/>
      <c r="BK71" s="44"/>
      <c r="BL71" s="5">
        <v>605359774</v>
      </c>
      <c r="BM71" s="5">
        <v>505191687</v>
      </c>
      <c r="BN71" s="15">
        <v>374489</v>
      </c>
      <c r="BO71" s="3"/>
      <c r="BP71" s="1"/>
      <c r="BQ71" s="1"/>
      <c r="BR71" s="5"/>
      <c r="BS71" s="5"/>
      <c r="BT71" s="5"/>
    </row>
    <row r="72" spans="1:72" x14ac:dyDescent="0.25">
      <c r="A72" s="6" t="s">
        <v>126</v>
      </c>
      <c r="B72" s="40">
        <v>557282591</v>
      </c>
      <c r="C72" s="40">
        <v>233177045</v>
      </c>
      <c r="D72" s="40">
        <v>182716045</v>
      </c>
      <c r="E72" s="40">
        <v>0</v>
      </c>
      <c r="F72" s="40">
        <v>58620650</v>
      </c>
      <c r="G72" s="40">
        <v>10184150</v>
      </c>
      <c r="H72" s="40">
        <v>14739900</v>
      </c>
      <c r="I72" s="40">
        <v>801685</v>
      </c>
      <c r="J72" s="40">
        <v>34000</v>
      </c>
      <c r="K72" s="40">
        <v>26000</v>
      </c>
      <c r="L72" s="40">
        <v>587966742</v>
      </c>
      <c r="M72" s="40">
        <v>0</v>
      </c>
      <c r="N72" s="40">
        <v>2298</v>
      </c>
      <c r="O72" s="40">
        <v>364</v>
      </c>
      <c r="P72" s="40">
        <v>7793995</v>
      </c>
      <c r="Q72" s="40">
        <v>3698395</v>
      </c>
      <c r="R72" s="40">
        <v>2283500</v>
      </c>
      <c r="S72" s="40">
        <v>5565894</v>
      </c>
      <c r="T72" s="40">
        <v>2271649</v>
      </c>
      <c r="U72" s="40">
        <v>852035</v>
      </c>
      <c r="V72" s="40">
        <v>7793995</v>
      </c>
      <c r="W72" s="40">
        <v>5715961</v>
      </c>
      <c r="X72" s="40">
        <v>2283500</v>
      </c>
      <c r="Y72" s="40">
        <v>5565894</v>
      </c>
      <c r="Z72" s="40">
        <v>3940858</v>
      </c>
      <c r="AA72" s="40">
        <v>852035</v>
      </c>
      <c r="AB72" s="40">
        <v>-2491725</v>
      </c>
      <c r="AC72" s="40">
        <v>-562995</v>
      </c>
      <c r="AD72" s="40">
        <v>104836</v>
      </c>
      <c r="AE72" s="40">
        <v>0</v>
      </c>
      <c r="AF72" s="40">
        <v>576392776</v>
      </c>
      <c r="AG72" s="40">
        <v>0</v>
      </c>
      <c r="AH72" s="40">
        <v>59631</v>
      </c>
      <c r="AI72" s="40">
        <v>233525</v>
      </c>
      <c r="AJ72" s="3"/>
      <c r="AK72" s="1">
        <v>146462903</v>
      </c>
      <c r="AL72" s="1">
        <v>4756225</v>
      </c>
      <c r="AM72" s="40">
        <v>0</v>
      </c>
      <c r="AN72" s="40">
        <v>31153422</v>
      </c>
      <c r="AO72" s="40">
        <v>13240164</v>
      </c>
      <c r="AP72" s="40">
        <v>405873427</v>
      </c>
      <c r="AQ72" s="40">
        <v>93761946</v>
      </c>
      <c r="AR72" s="40">
        <v>191781910</v>
      </c>
      <c r="AS72" s="40">
        <v>25872772</v>
      </c>
      <c r="AT72" s="40">
        <v>9472678</v>
      </c>
      <c r="AU72" s="40">
        <v>0</v>
      </c>
      <c r="AV72" s="40">
        <v>27020</v>
      </c>
      <c r="AW72" s="40">
        <v>3631134</v>
      </c>
      <c r="AX72" s="40">
        <v>5089665</v>
      </c>
      <c r="AY72" s="40">
        <v>216924</v>
      </c>
      <c r="AZ72" s="1">
        <v>9096207.6199999992</v>
      </c>
      <c r="BA72" s="1">
        <v>4639066</v>
      </c>
      <c r="BB72" s="1"/>
      <c r="BC72" s="15">
        <v>2427326</v>
      </c>
      <c r="BD72" s="15">
        <v>4759463</v>
      </c>
      <c r="BE72" s="20">
        <v>14718238</v>
      </c>
      <c r="BF72" s="20">
        <v>14718238</v>
      </c>
      <c r="BG72" s="20">
        <v>48295805</v>
      </c>
      <c r="BH72" s="20">
        <v>47359385</v>
      </c>
      <c r="BI72" s="44"/>
      <c r="BJ72" s="44">
        <v>2440966</v>
      </c>
      <c r="BK72" s="44"/>
      <c r="BL72" s="5">
        <v>1334428478</v>
      </c>
      <c r="BM72" s="5">
        <v>1111624369</v>
      </c>
      <c r="BN72" s="15">
        <v>3581324</v>
      </c>
      <c r="BO72" s="3"/>
      <c r="BP72" s="1"/>
      <c r="BQ72" s="1"/>
      <c r="BR72" s="5"/>
      <c r="BS72" s="5"/>
      <c r="BT72" s="5"/>
    </row>
    <row r="73" spans="1:72" x14ac:dyDescent="0.25">
      <c r="A73" s="6" t="s">
        <v>127</v>
      </c>
      <c r="B73" s="40">
        <v>427698207</v>
      </c>
      <c r="C73" s="40">
        <v>58281353</v>
      </c>
      <c r="D73" s="40">
        <v>78766990</v>
      </c>
      <c r="E73" s="40">
        <v>0</v>
      </c>
      <c r="F73" s="40">
        <v>26431835</v>
      </c>
      <c r="G73" s="40">
        <v>4485019</v>
      </c>
      <c r="H73" s="40">
        <v>5526810</v>
      </c>
      <c r="I73" s="40">
        <v>513700</v>
      </c>
      <c r="J73" s="40">
        <v>34000</v>
      </c>
      <c r="K73" s="40">
        <v>0</v>
      </c>
      <c r="L73" s="40">
        <v>139908213</v>
      </c>
      <c r="M73" s="40">
        <v>35172225</v>
      </c>
      <c r="N73" s="40">
        <v>997</v>
      </c>
      <c r="O73" s="40">
        <v>160</v>
      </c>
      <c r="P73" s="40">
        <v>3475700</v>
      </c>
      <c r="Q73" s="40">
        <v>843900</v>
      </c>
      <c r="R73" s="40">
        <v>210000</v>
      </c>
      <c r="S73" s="40">
        <v>3035126</v>
      </c>
      <c r="T73" s="40">
        <v>133598</v>
      </c>
      <c r="U73" s="40">
        <v>1268750</v>
      </c>
      <c r="V73" s="40">
        <v>3475700</v>
      </c>
      <c r="W73" s="40">
        <v>1100110</v>
      </c>
      <c r="X73" s="40">
        <v>210000</v>
      </c>
      <c r="Y73" s="40">
        <v>3035126</v>
      </c>
      <c r="Z73" s="40">
        <v>416735</v>
      </c>
      <c r="AA73" s="40">
        <v>1268750</v>
      </c>
      <c r="AB73" s="40">
        <v>-3057850</v>
      </c>
      <c r="AC73" s="40">
        <v>146223</v>
      </c>
      <c r="AD73" s="40">
        <v>0</v>
      </c>
      <c r="AE73" s="40">
        <v>0</v>
      </c>
      <c r="AF73" s="40">
        <v>0</v>
      </c>
      <c r="AG73" s="40">
        <v>6206</v>
      </c>
      <c r="AH73" s="3"/>
      <c r="AI73" s="3"/>
      <c r="AJ73" s="3"/>
      <c r="AK73" s="1">
        <v>53410861</v>
      </c>
      <c r="AL73" s="1">
        <v>11575393</v>
      </c>
      <c r="AM73" s="40">
        <v>1424407</v>
      </c>
      <c r="AN73" s="40">
        <v>9660992</v>
      </c>
      <c r="AO73" s="40">
        <v>50777</v>
      </c>
      <c r="AP73" s="40">
        <v>5012306</v>
      </c>
      <c r="AQ73" s="40">
        <v>13476984</v>
      </c>
      <c r="AR73" s="40">
        <v>5567099</v>
      </c>
      <c r="AS73" s="40">
        <v>17521046</v>
      </c>
      <c r="AT73" s="40">
        <v>2111</v>
      </c>
      <c r="AU73" s="40">
        <v>0</v>
      </c>
      <c r="AV73" s="40">
        <v>1243070</v>
      </c>
      <c r="AW73" s="40">
        <v>0</v>
      </c>
      <c r="AX73" s="40">
        <v>0</v>
      </c>
      <c r="AY73" s="40">
        <v>0</v>
      </c>
      <c r="AZ73" s="1">
        <v>3317128.57</v>
      </c>
      <c r="BA73" s="1">
        <v>1691736</v>
      </c>
      <c r="BB73" s="1">
        <v>29287564.77</v>
      </c>
      <c r="BC73" s="15">
        <v>988103</v>
      </c>
      <c r="BD73" s="15">
        <v>1937458</v>
      </c>
      <c r="BE73" s="20">
        <v>10178392</v>
      </c>
      <c r="BF73" s="20">
        <v>8514117</v>
      </c>
      <c r="BG73" s="20">
        <v>17599629</v>
      </c>
      <c r="BH73" s="20">
        <v>16544704</v>
      </c>
      <c r="BI73" s="44"/>
      <c r="BJ73" s="44"/>
      <c r="BK73" s="44"/>
      <c r="BL73" s="5">
        <v>680660217</v>
      </c>
      <c r="BM73" s="5">
        <v>587935303</v>
      </c>
      <c r="BN73" s="15">
        <v>662507</v>
      </c>
      <c r="BO73" s="3"/>
      <c r="BP73" s="1"/>
      <c r="BQ73" s="1"/>
      <c r="BR73" s="5"/>
      <c r="BS73" s="5"/>
      <c r="BT73" s="5"/>
    </row>
    <row r="74" spans="1:72" x14ac:dyDescent="0.25">
      <c r="A74" s="6" t="s">
        <v>128</v>
      </c>
      <c r="B74" s="40">
        <v>2115159451</v>
      </c>
      <c r="C74" s="40">
        <v>124124918</v>
      </c>
      <c r="D74" s="40">
        <v>979506100</v>
      </c>
      <c r="E74" s="40">
        <v>1196900</v>
      </c>
      <c r="F74" s="40">
        <v>165553190</v>
      </c>
      <c r="G74" s="40">
        <v>21887820</v>
      </c>
      <c r="H74" s="40">
        <v>10026309</v>
      </c>
      <c r="I74" s="40">
        <v>853813</v>
      </c>
      <c r="J74" s="40">
        <v>340900</v>
      </c>
      <c r="K74" s="40">
        <v>0</v>
      </c>
      <c r="L74" s="40">
        <v>169471692</v>
      </c>
      <c r="M74" s="40">
        <v>0</v>
      </c>
      <c r="N74" s="40">
        <v>5569</v>
      </c>
      <c r="O74" s="40">
        <v>795</v>
      </c>
      <c r="P74" s="40">
        <v>20229767</v>
      </c>
      <c r="Q74" s="40">
        <v>4508162</v>
      </c>
      <c r="R74" s="40">
        <v>5792347</v>
      </c>
      <c r="S74" s="40">
        <v>14829337</v>
      </c>
      <c r="T74" s="40">
        <v>314218</v>
      </c>
      <c r="U74" s="40">
        <v>8946423</v>
      </c>
      <c r="V74" s="40">
        <v>20229767</v>
      </c>
      <c r="W74" s="40">
        <v>6446006</v>
      </c>
      <c r="X74" s="40">
        <v>5792347</v>
      </c>
      <c r="Y74" s="40">
        <v>14829337</v>
      </c>
      <c r="Z74" s="40">
        <v>604410</v>
      </c>
      <c r="AA74" s="40">
        <v>8946423</v>
      </c>
      <c r="AB74" s="40">
        <v>-9325022</v>
      </c>
      <c r="AC74" s="40">
        <v>-313154</v>
      </c>
      <c r="AD74" s="40">
        <v>0</v>
      </c>
      <c r="AE74" s="40">
        <v>0</v>
      </c>
      <c r="AF74" s="40">
        <v>0</v>
      </c>
      <c r="AG74" s="40">
        <v>0</v>
      </c>
      <c r="AH74" s="3"/>
      <c r="AI74" s="40">
        <v>209631</v>
      </c>
      <c r="AJ74" s="3"/>
      <c r="AK74" s="1">
        <v>442272474</v>
      </c>
      <c r="AL74" s="1">
        <v>13876005</v>
      </c>
      <c r="AM74" s="40">
        <v>40000</v>
      </c>
      <c r="AN74" s="40">
        <v>205188542</v>
      </c>
      <c r="AO74" s="40">
        <v>23966538</v>
      </c>
      <c r="AP74" s="40">
        <v>66812062</v>
      </c>
      <c r="AQ74" s="40">
        <v>453829388</v>
      </c>
      <c r="AR74" s="40">
        <v>2194908914</v>
      </c>
      <c r="AS74" s="40">
        <v>549300733</v>
      </c>
      <c r="AT74" s="40">
        <v>2020446</v>
      </c>
      <c r="AU74" s="40">
        <v>0</v>
      </c>
      <c r="AV74" s="40">
        <v>0</v>
      </c>
      <c r="AW74" s="40">
        <v>0</v>
      </c>
      <c r="AX74" s="40">
        <v>735185</v>
      </c>
      <c r="AY74" s="40">
        <v>15224097</v>
      </c>
      <c r="AZ74" s="1">
        <v>27467721.609999999</v>
      </c>
      <c r="BA74" s="1">
        <v>14008538</v>
      </c>
      <c r="BB74" s="1">
        <v>28274611</v>
      </c>
      <c r="BC74" s="15">
        <v>5409470</v>
      </c>
      <c r="BD74" s="15">
        <v>10606803</v>
      </c>
      <c r="BE74" s="20">
        <v>56301591</v>
      </c>
      <c r="BF74" s="20">
        <v>48629550</v>
      </c>
      <c r="BG74" s="20">
        <v>132771462</v>
      </c>
      <c r="BH74" s="20">
        <v>110881228</v>
      </c>
      <c r="BI74" s="44"/>
      <c r="BJ74" s="44">
        <v>34134924</v>
      </c>
      <c r="BK74" s="44"/>
      <c r="BL74" s="5">
        <v>4571196757</v>
      </c>
      <c r="BM74" s="5">
        <v>3901984568</v>
      </c>
      <c r="BN74" s="15">
        <v>7895409</v>
      </c>
      <c r="BO74" s="3"/>
      <c r="BP74" s="1"/>
      <c r="BQ74" s="1"/>
      <c r="BR74" s="5"/>
      <c r="BS74" s="5"/>
      <c r="BT74" s="5"/>
    </row>
    <row r="75" spans="1:72" x14ac:dyDescent="0.25">
      <c r="A75" s="6" t="s">
        <v>129</v>
      </c>
      <c r="B75" s="40">
        <v>203083044</v>
      </c>
      <c r="C75" s="40">
        <v>63090503</v>
      </c>
      <c r="D75" s="40">
        <v>91261746</v>
      </c>
      <c r="E75" s="40">
        <v>0</v>
      </c>
      <c r="F75" s="40">
        <v>35394950</v>
      </c>
      <c r="G75" s="40">
        <v>22247100</v>
      </c>
      <c r="H75" s="40">
        <v>6937350</v>
      </c>
      <c r="I75" s="40">
        <v>2669750</v>
      </c>
      <c r="J75" s="40">
        <v>140000</v>
      </c>
      <c r="K75" s="40">
        <v>0</v>
      </c>
      <c r="L75" s="40">
        <v>34640731</v>
      </c>
      <c r="M75" s="40">
        <v>0</v>
      </c>
      <c r="N75" s="40">
        <v>1402</v>
      </c>
      <c r="O75" s="40">
        <v>867</v>
      </c>
      <c r="P75" s="40">
        <v>1531100</v>
      </c>
      <c r="Q75" s="40">
        <v>1888000</v>
      </c>
      <c r="R75" s="40">
        <v>3132000</v>
      </c>
      <c r="S75" s="40">
        <v>3831300</v>
      </c>
      <c r="T75" s="40">
        <v>1208100</v>
      </c>
      <c r="U75" s="40">
        <v>673400</v>
      </c>
      <c r="V75" s="40">
        <v>1531100</v>
      </c>
      <c r="W75" s="40">
        <v>2158000</v>
      </c>
      <c r="X75" s="40">
        <v>3132000</v>
      </c>
      <c r="Y75" s="40">
        <v>3831300</v>
      </c>
      <c r="Z75" s="40">
        <v>1182100</v>
      </c>
      <c r="AA75" s="40">
        <v>673400</v>
      </c>
      <c r="AB75" s="40">
        <v>-2874425</v>
      </c>
      <c r="AC75" s="40">
        <v>0</v>
      </c>
      <c r="AD75" s="40">
        <v>34840</v>
      </c>
      <c r="AE75" s="40">
        <v>0</v>
      </c>
      <c r="AF75" s="40">
        <v>0</v>
      </c>
      <c r="AG75" s="40">
        <v>72989</v>
      </c>
      <c r="AH75" s="40">
        <v>42574</v>
      </c>
      <c r="AI75" s="40">
        <v>2434705</v>
      </c>
      <c r="AJ75" s="40">
        <v>69279</v>
      </c>
      <c r="AK75" s="1">
        <v>59309269</v>
      </c>
      <c r="AL75" s="1">
        <v>2118099</v>
      </c>
      <c r="AM75" s="40">
        <v>0</v>
      </c>
      <c r="AN75" s="40">
        <v>7645599</v>
      </c>
      <c r="AO75" s="40">
        <v>110902</v>
      </c>
      <c r="AP75" s="40">
        <v>4838126</v>
      </c>
      <c r="AQ75" s="40">
        <v>6596422</v>
      </c>
      <c r="AR75" s="40">
        <v>5786911</v>
      </c>
      <c r="AS75" s="40">
        <v>3125</v>
      </c>
      <c r="AT75" s="40">
        <v>144323</v>
      </c>
      <c r="AU75" s="40">
        <v>0</v>
      </c>
      <c r="AV75" s="40">
        <v>0</v>
      </c>
      <c r="AW75" s="40">
        <v>0</v>
      </c>
      <c r="AX75" s="40">
        <v>45470</v>
      </c>
      <c r="AY75" s="40">
        <v>15500</v>
      </c>
      <c r="AZ75" s="1">
        <v>3683454.4</v>
      </c>
      <c r="BA75" s="1">
        <v>1878562</v>
      </c>
      <c r="BB75" s="1"/>
      <c r="BC75" s="15">
        <v>3554794</v>
      </c>
      <c r="BD75" s="15">
        <v>6970185</v>
      </c>
      <c r="BE75" s="20">
        <v>26940752</v>
      </c>
      <c r="BF75" s="20">
        <v>26940752</v>
      </c>
      <c r="BG75" s="20">
        <v>38984541</v>
      </c>
      <c r="BH75" s="20">
        <v>31482450</v>
      </c>
      <c r="BI75" s="44"/>
      <c r="BJ75" s="44"/>
      <c r="BK75" s="44"/>
      <c r="BL75" s="5">
        <v>499618700</v>
      </c>
      <c r="BM75" s="5">
        <v>374334774</v>
      </c>
      <c r="BN75" s="15">
        <v>612100</v>
      </c>
      <c r="BO75" s="3"/>
      <c r="BP75" s="1"/>
      <c r="BQ75" s="1"/>
      <c r="BR75" s="5"/>
      <c r="BS75" s="5"/>
      <c r="BT75" s="5"/>
    </row>
    <row r="76" spans="1:72" x14ac:dyDescent="0.25">
      <c r="A76" s="6" t="s">
        <v>130</v>
      </c>
      <c r="B76" s="40">
        <v>168744218</v>
      </c>
      <c r="C76" s="40">
        <v>138687699</v>
      </c>
      <c r="D76" s="40">
        <v>47008838</v>
      </c>
      <c r="E76" s="40">
        <v>0</v>
      </c>
      <c r="F76" s="40">
        <v>22438140</v>
      </c>
      <c r="G76" s="40">
        <v>6389724</v>
      </c>
      <c r="H76" s="40">
        <v>5563150</v>
      </c>
      <c r="I76" s="40">
        <v>485320</v>
      </c>
      <c r="J76" s="40">
        <v>0</v>
      </c>
      <c r="K76" s="40">
        <v>0</v>
      </c>
      <c r="L76" s="40">
        <v>229806424</v>
      </c>
      <c r="M76" s="40">
        <v>0</v>
      </c>
      <c r="N76" s="40">
        <v>912</v>
      </c>
      <c r="O76" s="40">
        <v>247</v>
      </c>
      <c r="P76" s="40">
        <v>1881240</v>
      </c>
      <c r="Q76" s="40">
        <v>1058800</v>
      </c>
      <c r="R76" s="40">
        <v>203330</v>
      </c>
      <c r="S76" s="40">
        <v>1390879</v>
      </c>
      <c r="T76" s="40">
        <v>179240</v>
      </c>
      <c r="U76" s="40">
        <v>542200</v>
      </c>
      <c r="V76" s="40">
        <v>1881240</v>
      </c>
      <c r="W76" s="40">
        <v>1058800</v>
      </c>
      <c r="X76" s="40">
        <v>203330</v>
      </c>
      <c r="Y76" s="40">
        <v>1390879</v>
      </c>
      <c r="Z76" s="40">
        <v>546140</v>
      </c>
      <c r="AA76" s="40">
        <v>542200</v>
      </c>
      <c r="AB76" s="40">
        <v>-1680080</v>
      </c>
      <c r="AC76" s="40">
        <v>-25892</v>
      </c>
      <c r="AD76" s="40">
        <v>16378</v>
      </c>
      <c r="AE76" s="40">
        <v>23023</v>
      </c>
      <c r="AF76" s="40">
        <v>9259971</v>
      </c>
      <c r="AG76" s="40">
        <v>151305</v>
      </c>
      <c r="AH76" s="40">
        <v>4883139</v>
      </c>
      <c r="AI76" s="40">
        <v>36377</v>
      </c>
      <c r="AJ76" s="40">
        <v>437377</v>
      </c>
      <c r="AK76" s="1">
        <v>60800293</v>
      </c>
      <c r="AL76" s="1">
        <v>2124986</v>
      </c>
      <c r="AM76" s="40">
        <v>28500</v>
      </c>
      <c r="AN76" s="40">
        <v>7985303</v>
      </c>
      <c r="AO76" s="40">
        <v>1072353</v>
      </c>
      <c r="AP76" s="40">
        <v>5134913</v>
      </c>
      <c r="AQ76" s="40">
        <v>9429406</v>
      </c>
      <c r="AR76" s="40">
        <v>14893679</v>
      </c>
      <c r="AS76" s="40">
        <v>0</v>
      </c>
      <c r="AT76" s="40">
        <v>3482242</v>
      </c>
      <c r="AU76" s="40">
        <v>0</v>
      </c>
      <c r="AV76" s="40">
        <v>0</v>
      </c>
      <c r="AW76" s="40">
        <v>15165145</v>
      </c>
      <c r="AX76" s="40">
        <v>0</v>
      </c>
      <c r="AY76" s="40">
        <v>120600</v>
      </c>
      <c r="AZ76" s="1">
        <v>3776055.76</v>
      </c>
      <c r="BA76" s="1">
        <v>1925788</v>
      </c>
      <c r="BB76" s="1">
        <v>12595854.92</v>
      </c>
      <c r="BC76" s="15">
        <v>0</v>
      </c>
      <c r="BD76" s="15">
        <v>0</v>
      </c>
      <c r="BE76" s="20">
        <v>6287712</v>
      </c>
      <c r="BF76" s="20">
        <v>6287712</v>
      </c>
      <c r="BG76" s="20">
        <v>20339415</v>
      </c>
      <c r="BH76" s="20">
        <v>20339415</v>
      </c>
      <c r="BI76" s="44"/>
      <c r="BJ76" s="44"/>
      <c r="BK76" s="44"/>
      <c r="BL76" s="5">
        <v>469762904</v>
      </c>
      <c r="BM76" s="5">
        <v>378284710</v>
      </c>
      <c r="BN76" s="15">
        <v>558226</v>
      </c>
      <c r="BO76" s="3"/>
      <c r="BP76" s="1"/>
      <c r="BQ76" s="1"/>
      <c r="BR76" s="5"/>
      <c r="BS76" s="5"/>
      <c r="BT76" s="5"/>
    </row>
    <row r="77" spans="1:72" x14ac:dyDescent="0.25">
      <c r="A77" s="6" t="s">
        <v>131</v>
      </c>
      <c r="B77" s="40">
        <v>2839518000</v>
      </c>
      <c r="C77" s="40">
        <v>240369436</v>
      </c>
      <c r="D77" s="40">
        <v>857687496</v>
      </c>
      <c r="E77" s="40">
        <v>0</v>
      </c>
      <c r="F77" s="40">
        <v>162255987</v>
      </c>
      <c r="G77" s="40">
        <v>28572879</v>
      </c>
      <c r="H77" s="40">
        <v>17451838</v>
      </c>
      <c r="I77" s="40">
        <v>1858710</v>
      </c>
      <c r="J77" s="40">
        <v>340000</v>
      </c>
      <c r="K77" s="40">
        <v>0</v>
      </c>
      <c r="L77" s="40">
        <v>330593180</v>
      </c>
      <c r="M77" s="40">
        <v>159795763</v>
      </c>
      <c r="N77" s="40">
        <v>5515</v>
      </c>
      <c r="O77" s="40">
        <v>970</v>
      </c>
      <c r="P77" s="40">
        <v>47585710</v>
      </c>
      <c r="Q77" s="40">
        <v>7034971</v>
      </c>
      <c r="R77" s="40">
        <v>52662747</v>
      </c>
      <c r="S77" s="40">
        <v>54256387</v>
      </c>
      <c r="T77" s="40">
        <v>7401700</v>
      </c>
      <c r="U77" s="40">
        <v>13676833</v>
      </c>
      <c r="V77" s="40">
        <v>47585710</v>
      </c>
      <c r="W77" s="40">
        <v>5896055</v>
      </c>
      <c r="X77" s="40">
        <v>52662747</v>
      </c>
      <c r="Y77" s="40">
        <v>54256387</v>
      </c>
      <c r="Z77" s="40">
        <v>5080881</v>
      </c>
      <c r="AA77" s="40">
        <v>13676833</v>
      </c>
      <c r="AB77" s="40">
        <v>-10657673</v>
      </c>
      <c r="AC77" s="40">
        <v>-856217</v>
      </c>
      <c r="AD77" s="40">
        <v>2207</v>
      </c>
      <c r="AE77" s="40">
        <v>12186</v>
      </c>
      <c r="AF77" s="40">
        <v>82119248</v>
      </c>
      <c r="AG77" s="40">
        <v>241841</v>
      </c>
      <c r="AH77" s="3"/>
      <c r="AI77" s="40">
        <v>1200885</v>
      </c>
      <c r="AJ77" s="3"/>
      <c r="AK77" s="1">
        <v>440921712</v>
      </c>
      <c r="AL77" s="1">
        <v>11609614</v>
      </c>
      <c r="AM77" s="40">
        <v>79875</v>
      </c>
      <c r="AN77" s="40">
        <v>117317768</v>
      </c>
      <c r="AO77" s="40">
        <v>13738936</v>
      </c>
      <c r="AP77" s="40">
        <v>405978041</v>
      </c>
      <c r="AQ77" s="40">
        <v>120225290</v>
      </c>
      <c r="AR77" s="40">
        <v>196399261</v>
      </c>
      <c r="AS77" s="40">
        <v>63112577</v>
      </c>
      <c r="AT77" s="40">
        <v>988151</v>
      </c>
      <c r="AU77" s="40">
        <v>0</v>
      </c>
      <c r="AV77" s="40">
        <v>0</v>
      </c>
      <c r="AW77" s="40">
        <v>1162242</v>
      </c>
      <c r="AX77" s="40">
        <v>82584</v>
      </c>
      <c r="AY77" s="40">
        <v>999700</v>
      </c>
      <c r="AZ77" s="1">
        <v>27383831.350000001</v>
      </c>
      <c r="BA77" s="1">
        <v>13965754</v>
      </c>
      <c r="BB77" s="1"/>
      <c r="BC77" s="15">
        <v>1943842</v>
      </c>
      <c r="BD77" s="15">
        <v>3811456</v>
      </c>
      <c r="BE77" s="20">
        <v>37959913</v>
      </c>
      <c r="BF77" s="20">
        <v>37959913</v>
      </c>
      <c r="BG77" s="20">
        <v>97698199</v>
      </c>
      <c r="BH77" s="20">
        <v>93963362</v>
      </c>
      <c r="BI77" s="44"/>
      <c r="BJ77" s="44"/>
      <c r="BK77" s="44"/>
      <c r="BL77" s="5">
        <v>4790422008</v>
      </c>
      <c r="BM77" s="5">
        <v>4190057811</v>
      </c>
      <c r="BN77" s="15">
        <v>3077810</v>
      </c>
      <c r="BO77" s="3"/>
      <c r="BP77" s="1"/>
      <c r="BQ77" s="1"/>
      <c r="BR77" s="5"/>
      <c r="BS77" s="5"/>
      <c r="BT77" s="5"/>
    </row>
    <row r="78" spans="1:72" x14ac:dyDescent="0.25">
      <c r="A78" s="6" t="s">
        <v>132</v>
      </c>
      <c r="B78" s="40">
        <v>105773660</v>
      </c>
      <c r="C78" s="40">
        <v>46580914</v>
      </c>
      <c r="D78" s="40">
        <v>34567754</v>
      </c>
      <c r="E78" s="40">
        <v>0</v>
      </c>
      <c r="F78" s="40">
        <v>17234900</v>
      </c>
      <c r="G78" s="40">
        <v>22238160</v>
      </c>
      <c r="H78" s="40">
        <v>8792792</v>
      </c>
      <c r="I78" s="40">
        <v>6344190</v>
      </c>
      <c r="J78" s="40">
        <v>15000</v>
      </c>
      <c r="K78" s="40">
        <v>0</v>
      </c>
      <c r="L78" s="40">
        <v>74467618</v>
      </c>
      <c r="M78" s="40">
        <v>34985348</v>
      </c>
      <c r="N78" s="40">
        <v>877</v>
      </c>
      <c r="O78" s="40">
        <v>1069</v>
      </c>
      <c r="P78" s="40">
        <v>2196900</v>
      </c>
      <c r="Q78" s="40">
        <v>658100</v>
      </c>
      <c r="R78" s="40">
        <v>238000</v>
      </c>
      <c r="S78" s="40">
        <v>1856250</v>
      </c>
      <c r="T78" s="40">
        <v>361600</v>
      </c>
      <c r="U78" s="40">
        <v>398800</v>
      </c>
      <c r="V78" s="40">
        <v>2196900</v>
      </c>
      <c r="W78" s="40">
        <v>920500</v>
      </c>
      <c r="X78" s="40">
        <v>238000</v>
      </c>
      <c r="Y78" s="40">
        <v>1856250</v>
      </c>
      <c r="Z78" s="40">
        <v>675900</v>
      </c>
      <c r="AA78" s="40">
        <v>398800</v>
      </c>
      <c r="AB78" s="40">
        <v>-1937133</v>
      </c>
      <c r="AC78" s="40">
        <v>0</v>
      </c>
      <c r="AD78" s="40">
        <v>148022</v>
      </c>
      <c r="AE78" s="40">
        <v>0</v>
      </c>
      <c r="AF78" s="40">
        <v>0</v>
      </c>
      <c r="AG78" s="40">
        <v>191711</v>
      </c>
      <c r="AH78" s="40">
        <v>4954336</v>
      </c>
      <c r="AI78" s="40">
        <v>12582213</v>
      </c>
      <c r="AJ78" s="40">
        <v>27085926</v>
      </c>
      <c r="AK78" s="1">
        <v>65649936</v>
      </c>
      <c r="AL78" s="1">
        <v>1711250</v>
      </c>
      <c r="AM78" s="40">
        <v>0</v>
      </c>
      <c r="AN78" s="40">
        <v>61962219</v>
      </c>
      <c r="AO78" s="40">
        <v>291220</v>
      </c>
      <c r="AP78" s="40">
        <v>4450202</v>
      </c>
      <c r="AQ78" s="40">
        <v>6942088</v>
      </c>
      <c r="AR78" s="40">
        <v>5856036</v>
      </c>
      <c r="AS78" s="40">
        <v>0</v>
      </c>
      <c r="AT78" s="40">
        <v>65288</v>
      </c>
      <c r="AU78" s="40">
        <v>0</v>
      </c>
      <c r="AV78" s="40">
        <v>0</v>
      </c>
      <c r="AW78" s="40">
        <v>0</v>
      </c>
      <c r="AX78" s="40">
        <v>0</v>
      </c>
      <c r="AY78" s="40">
        <v>0</v>
      </c>
      <c r="AZ78" s="1">
        <v>4077247.11</v>
      </c>
      <c r="BA78" s="1">
        <v>2079396</v>
      </c>
      <c r="BB78" s="1"/>
      <c r="BC78" s="15">
        <v>0</v>
      </c>
      <c r="BD78" s="15">
        <v>0</v>
      </c>
      <c r="BE78" s="20">
        <v>1550418</v>
      </c>
      <c r="BF78" s="20">
        <v>1527170</v>
      </c>
      <c r="BG78" s="20">
        <v>38264304</v>
      </c>
      <c r="BH78" s="20">
        <v>38206043</v>
      </c>
      <c r="BI78" s="44"/>
      <c r="BJ78" s="44"/>
      <c r="BK78" s="44"/>
      <c r="BL78" s="5">
        <v>409914125</v>
      </c>
      <c r="BM78" s="5">
        <v>300740330</v>
      </c>
      <c r="BN78" s="15">
        <v>273314</v>
      </c>
      <c r="BO78" s="3"/>
      <c r="BP78" s="1"/>
      <c r="BQ78" s="1"/>
      <c r="BR78" s="5"/>
      <c r="BS78" s="5"/>
      <c r="BT78" s="5"/>
    </row>
    <row r="79" spans="1:72" x14ac:dyDescent="0.25">
      <c r="A79" s="6" t="s">
        <v>133</v>
      </c>
      <c r="B79" s="40">
        <v>415807300</v>
      </c>
      <c r="C79" s="40">
        <v>176900731</v>
      </c>
      <c r="D79" s="40">
        <v>240749573</v>
      </c>
      <c r="E79" s="40">
        <v>3500000</v>
      </c>
      <c r="F79" s="40">
        <v>39119850</v>
      </c>
      <c r="G79" s="40">
        <v>10681260</v>
      </c>
      <c r="H79" s="40">
        <v>12697300</v>
      </c>
      <c r="I79" s="40">
        <v>2198500</v>
      </c>
      <c r="J79" s="40">
        <v>132000</v>
      </c>
      <c r="K79" s="40">
        <v>34000</v>
      </c>
      <c r="L79" s="40">
        <v>298557001</v>
      </c>
      <c r="M79" s="40">
        <v>106603132</v>
      </c>
      <c r="N79" s="40">
        <v>1572</v>
      </c>
      <c r="O79" s="40">
        <v>422</v>
      </c>
      <c r="P79" s="40">
        <v>4267325</v>
      </c>
      <c r="Q79" s="40">
        <v>1611500</v>
      </c>
      <c r="R79" s="40">
        <v>533000</v>
      </c>
      <c r="S79" s="40">
        <v>4658136</v>
      </c>
      <c r="T79" s="40">
        <v>1791103</v>
      </c>
      <c r="U79" s="40">
        <v>1477324</v>
      </c>
      <c r="V79" s="40">
        <v>4267325</v>
      </c>
      <c r="W79" s="40">
        <v>1750448</v>
      </c>
      <c r="X79" s="40">
        <v>533000</v>
      </c>
      <c r="Y79" s="40">
        <v>4658136</v>
      </c>
      <c r="Z79" s="40">
        <v>4245314</v>
      </c>
      <c r="AA79" s="40">
        <v>1477324</v>
      </c>
      <c r="AB79" s="40">
        <v>-956200</v>
      </c>
      <c r="AC79" s="40">
        <v>-111682</v>
      </c>
      <c r="AD79" s="40">
        <v>54165</v>
      </c>
      <c r="AE79" s="40">
        <v>0</v>
      </c>
      <c r="AF79" s="40">
        <v>0</v>
      </c>
      <c r="AG79" s="40">
        <v>203910</v>
      </c>
      <c r="AH79" s="3"/>
      <c r="AI79" s="40">
        <v>309066</v>
      </c>
      <c r="AJ79" s="3"/>
      <c r="AK79" s="1">
        <v>95957339</v>
      </c>
      <c r="AL79" s="1">
        <v>1956096</v>
      </c>
      <c r="AM79" s="40">
        <v>0</v>
      </c>
      <c r="AN79" s="40">
        <v>32990817</v>
      </c>
      <c r="AO79" s="40">
        <v>6599057</v>
      </c>
      <c r="AP79" s="40">
        <v>199925104</v>
      </c>
      <c r="AQ79" s="40">
        <v>28585107</v>
      </c>
      <c r="AR79" s="40">
        <v>54815649</v>
      </c>
      <c r="AS79" s="40">
        <v>1639315</v>
      </c>
      <c r="AT79" s="40">
        <v>427567</v>
      </c>
      <c r="AU79" s="40">
        <v>0</v>
      </c>
      <c r="AV79" s="40">
        <v>0</v>
      </c>
      <c r="AW79" s="40">
        <v>63958</v>
      </c>
      <c r="AX79" s="40">
        <v>0</v>
      </c>
      <c r="AY79" s="40">
        <v>13000</v>
      </c>
      <c r="AZ79" s="1">
        <v>5959515.0700000003</v>
      </c>
      <c r="BA79" s="1">
        <v>3039353</v>
      </c>
      <c r="BB79" s="1"/>
      <c r="BC79" s="15">
        <v>0</v>
      </c>
      <c r="BD79" s="15">
        <v>0</v>
      </c>
      <c r="BE79" s="20">
        <v>10797867</v>
      </c>
      <c r="BF79" s="20">
        <v>10797867</v>
      </c>
      <c r="BG79" s="20">
        <v>29158519</v>
      </c>
      <c r="BH79" s="20">
        <v>29082446</v>
      </c>
      <c r="BI79" s="44">
        <v>53648632</v>
      </c>
      <c r="BJ79" s="44"/>
      <c r="BK79" s="44"/>
      <c r="BL79" s="5">
        <v>1096423384</v>
      </c>
      <c r="BM79" s="5">
        <v>901941651</v>
      </c>
      <c r="BN79" s="15">
        <v>600000</v>
      </c>
      <c r="BO79" s="3"/>
      <c r="BP79" s="1"/>
      <c r="BQ79" s="1"/>
      <c r="BR79" s="5"/>
      <c r="BS79" s="5"/>
      <c r="BT79" s="5"/>
    </row>
    <row r="80" spans="1:72" x14ac:dyDescent="0.25">
      <c r="A80" s="6" t="s">
        <v>134</v>
      </c>
      <c r="B80" s="40">
        <v>1111635783</v>
      </c>
      <c r="C80" s="40">
        <v>177117813</v>
      </c>
      <c r="D80" s="40">
        <v>303164218</v>
      </c>
      <c r="E80" s="40">
        <v>0</v>
      </c>
      <c r="F80" s="40">
        <v>95620403</v>
      </c>
      <c r="G80" s="40">
        <v>17860070</v>
      </c>
      <c r="H80" s="40">
        <v>18423118</v>
      </c>
      <c r="I80" s="40">
        <v>1949956</v>
      </c>
      <c r="J80" s="40">
        <v>431100</v>
      </c>
      <c r="K80" s="40">
        <v>34000</v>
      </c>
      <c r="L80" s="40">
        <v>189225654</v>
      </c>
      <c r="M80" s="40">
        <v>148894298</v>
      </c>
      <c r="N80" s="40">
        <v>3514</v>
      </c>
      <c r="O80" s="40">
        <v>640</v>
      </c>
      <c r="P80" s="40">
        <v>20553430</v>
      </c>
      <c r="Q80" s="40">
        <v>3438737</v>
      </c>
      <c r="R80" s="40">
        <v>1277000</v>
      </c>
      <c r="S80" s="40">
        <v>2927966</v>
      </c>
      <c r="T80" s="40">
        <v>308240</v>
      </c>
      <c r="U80" s="40">
        <v>204660</v>
      </c>
      <c r="V80" s="40">
        <v>20553430</v>
      </c>
      <c r="W80" s="40">
        <v>3438737</v>
      </c>
      <c r="X80" s="40">
        <v>1277000</v>
      </c>
      <c r="Y80" s="40">
        <v>2927966</v>
      </c>
      <c r="Z80" s="40">
        <v>308240</v>
      </c>
      <c r="AA80" s="40">
        <v>204660</v>
      </c>
      <c r="AB80" s="40">
        <v>-10270445</v>
      </c>
      <c r="AC80" s="40">
        <v>-2623994</v>
      </c>
      <c r="AD80" s="40">
        <v>0</v>
      </c>
      <c r="AE80" s="40">
        <v>0</v>
      </c>
      <c r="AF80" s="40">
        <v>0</v>
      </c>
      <c r="AG80" s="40">
        <v>19212</v>
      </c>
      <c r="AH80" s="3"/>
      <c r="AI80" s="40">
        <v>38082</v>
      </c>
      <c r="AJ80" s="3"/>
      <c r="AK80" s="1">
        <v>224209682</v>
      </c>
      <c r="AL80" s="1">
        <v>22957013</v>
      </c>
      <c r="AM80" s="40">
        <v>5671687</v>
      </c>
      <c r="AN80" s="40">
        <v>63810604</v>
      </c>
      <c r="AO80" s="40">
        <v>40153841</v>
      </c>
      <c r="AP80" s="40">
        <v>770328057</v>
      </c>
      <c r="AQ80" s="40">
        <v>58879189</v>
      </c>
      <c r="AR80" s="40">
        <v>145240652</v>
      </c>
      <c r="AS80" s="40">
        <v>92643875</v>
      </c>
      <c r="AT80" s="40">
        <v>440320</v>
      </c>
      <c r="AU80" s="40">
        <v>0</v>
      </c>
      <c r="AV80" s="40">
        <v>0</v>
      </c>
      <c r="AW80" s="40">
        <v>231280</v>
      </c>
      <c r="AX80" s="40">
        <v>0</v>
      </c>
      <c r="AY80" s="40">
        <v>36019</v>
      </c>
      <c r="AZ80" s="1">
        <v>13924739.82</v>
      </c>
      <c r="BA80" s="1">
        <v>7101617</v>
      </c>
      <c r="BB80" s="1">
        <v>15546632.119999999</v>
      </c>
      <c r="BC80" s="15">
        <v>1175024</v>
      </c>
      <c r="BD80" s="15">
        <v>2303969</v>
      </c>
      <c r="BE80" s="20">
        <v>18473538</v>
      </c>
      <c r="BF80" s="20">
        <v>15404838</v>
      </c>
      <c r="BG80" s="20">
        <v>61769121</v>
      </c>
      <c r="BH80" s="20">
        <v>60472084</v>
      </c>
      <c r="BI80" s="44"/>
      <c r="BJ80" s="44">
        <v>3016165</v>
      </c>
      <c r="BK80" s="44"/>
      <c r="BL80" s="5">
        <v>2089135953</v>
      </c>
      <c r="BM80" s="5">
        <v>1754799530</v>
      </c>
      <c r="BN80" s="15">
        <v>2351998</v>
      </c>
      <c r="BO80" s="3"/>
      <c r="BP80" s="1"/>
      <c r="BQ80" s="1"/>
      <c r="BR80" s="5"/>
      <c r="BS80" s="5"/>
      <c r="BT80" s="5"/>
    </row>
    <row r="81" spans="1:72" x14ac:dyDescent="0.25">
      <c r="A81" s="6" t="s">
        <v>135</v>
      </c>
      <c r="B81" s="40">
        <v>91776485</v>
      </c>
      <c r="C81" s="40">
        <v>26952421</v>
      </c>
      <c r="D81" s="40">
        <v>72652712</v>
      </c>
      <c r="E81" s="40">
        <v>0</v>
      </c>
      <c r="F81" s="40">
        <v>12483225</v>
      </c>
      <c r="G81" s="40">
        <v>25415900</v>
      </c>
      <c r="H81" s="40">
        <v>5904537</v>
      </c>
      <c r="I81" s="40">
        <v>5253000</v>
      </c>
      <c r="J81" s="40">
        <v>68000</v>
      </c>
      <c r="K81" s="40">
        <v>0</v>
      </c>
      <c r="L81" s="40">
        <v>14909152</v>
      </c>
      <c r="M81" s="40">
        <v>56450</v>
      </c>
      <c r="N81" s="40">
        <v>699</v>
      </c>
      <c r="O81" s="40">
        <v>1236</v>
      </c>
      <c r="P81" s="40">
        <v>1398200</v>
      </c>
      <c r="Q81" s="40">
        <v>260875</v>
      </c>
      <c r="R81" s="40">
        <v>9129783</v>
      </c>
      <c r="S81" s="40">
        <v>1338574</v>
      </c>
      <c r="T81" s="40">
        <v>9522458</v>
      </c>
      <c r="U81" s="40">
        <v>586300</v>
      </c>
      <c r="V81" s="40">
        <v>1398200</v>
      </c>
      <c r="W81" s="40">
        <v>287600</v>
      </c>
      <c r="X81" s="40">
        <v>9129783</v>
      </c>
      <c r="Y81" s="40">
        <v>1338574</v>
      </c>
      <c r="Z81" s="40">
        <v>9590683</v>
      </c>
      <c r="AA81" s="40">
        <v>586300</v>
      </c>
      <c r="AB81" s="40">
        <v>-2107225</v>
      </c>
      <c r="AC81" s="40">
        <v>-12814</v>
      </c>
      <c r="AD81" s="40">
        <v>0</v>
      </c>
      <c r="AE81" s="40">
        <v>0</v>
      </c>
      <c r="AF81" s="40">
        <v>0</v>
      </c>
      <c r="AG81" s="40">
        <v>0</v>
      </c>
      <c r="AH81" s="40">
        <v>1139820</v>
      </c>
      <c r="AI81" s="40">
        <v>100654820</v>
      </c>
      <c r="AJ81" s="40">
        <v>87011057</v>
      </c>
      <c r="AK81" s="1">
        <v>72267340</v>
      </c>
      <c r="AL81" s="1">
        <v>2452139</v>
      </c>
      <c r="AM81" s="40">
        <v>0</v>
      </c>
      <c r="AN81" s="40">
        <v>110867785</v>
      </c>
      <c r="AO81" s="40">
        <v>2096450</v>
      </c>
      <c r="AP81" s="40">
        <v>30833067</v>
      </c>
      <c r="AQ81" s="40">
        <v>11649317</v>
      </c>
      <c r="AR81" s="40">
        <v>5236335</v>
      </c>
      <c r="AS81" s="40">
        <v>1711157</v>
      </c>
      <c r="AT81" s="40">
        <v>0</v>
      </c>
      <c r="AU81" s="40">
        <v>0</v>
      </c>
      <c r="AV81" s="40">
        <v>0</v>
      </c>
      <c r="AW81" s="40">
        <v>0</v>
      </c>
      <c r="AX81" s="40">
        <v>0</v>
      </c>
      <c r="AY81" s="40">
        <v>14282000</v>
      </c>
      <c r="AZ81" s="1">
        <v>4488226.8099999996</v>
      </c>
      <c r="BA81" s="1">
        <v>2288996</v>
      </c>
      <c r="BB81" s="1"/>
      <c r="BC81" s="15">
        <v>2747667</v>
      </c>
      <c r="BD81" s="15">
        <v>5387583</v>
      </c>
      <c r="BE81" s="20">
        <v>16942048</v>
      </c>
      <c r="BF81" s="20">
        <v>16942048</v>
      </c>
      <c r="BG81" s="20">
        <v>45102939</v>
      </c>
      <c r="BH81" s="20">
        <v>39934138</v>
      </c>
      <c r="BI81" s="44"/>
      <c r="BJ81" s="44"/>
      <c r="BK81" s="44"/>
      <c r="BL81" s="5">
        <v>641433195</v>
      </c>
      <c r="BM81" s="5">
        <v>504800867</v>
      </c>
      <c r="BN81" s="15">
        <v>1282530</v>
      </c>
      <c r="BO81" s="3"/>
      <c r="BP81" s="1"/>
      <c r="BQ81" s="1"/>
      <c r="BR81" s="5"/>
      <c r="BS81" s="5"/>
      <c r="BT81" s="5"/>
    </row>
    <row r="82" spans="1:72" x14ac:dyDescent="0.25">
      <c r="A82" s="6" t="s">
        <v>136</v>
      </c>
      <c r="B82" s="40">
        <v>390203490</v>
      </c>
      <c r="C82" s="40">
        <v>102592429</v>
      </c>
      <c r="D82" s="40">
        <v>235938449</v>
      </c>
      <c r="E82" s="40">
        <v>22849573</v>
      </c>
      <c r="F82" s="40">
        <v>38972718</v>
      </c>
      <c r="G82" s="40">
        <v>5680978</v>
      </c>
      <c r="H82" s="40">
        <v>5735025</v>
      </c>
      <c r="I82" s="40">
        <v>791907</v>
      </c>
      <c r="J82" s="40">
        <v>34000</v>
      </c>
      <c r="K82" s="40">
        <v>0</v>
      </c>
      <c r="L82" s="40">
        <v>280221230</v>
      </c>
      <c r="M82" s="40">
        <v>64702687</v>
      </c>
      <c r="N82" s="40">
        <v>1405</v>
      </c>
      <c r="O82" s="40">
        <v>215</v>
      </c>
      <c r="P82" s="40">
        <v>1419321</v>
      </c>
      <c r="Q82" s="40">
        <v>1148181</v>
      </c>
      <c r="R82" s="40">
        <v>300750</v>
      </c>
      <c r="S82" s="40">
        <v>2434858</v>
      </c>
      <c r="T82" s="40">
        <v>146537</v>
      </c>
      <c r="U82" s="40">
        <v>418652</v>
      </c>
      <c r="V82" s="40">
        <v>1419321</v>
      </c>
      <c r="W82" s="40">
        <v>1175091</v>
      </c>
      <c r="X82" s="40">
        <v>300750</v>
      </c>
      <c r="Y82" s="40">
        <v>2434858</v>
      </c>
      <c r="Z82" s="40">
        <v>151537</v>
      </c>
      <c r="AA82" s="40">
        <v>418652</v>
      </c>
      <c r="AB82" s="40">
        <v>-3241722</v>
      </c>
      <c r="AC82" s="40">
        <v>-234177</v>
      </c>
      <c r="AD82" s="40">
        <v>0</v>
      </c>
      <c r="AE82" s="40">
        <v>0</v>
      </c>
      <c r="AF82" s="40">
        <v>0</v>
      </c>
      <c r="AG82" s="40">
        <v>136726</v>
      </c>
      <c r="AH82" s="40">
        <v>2197</v>
      </c>
      <c r="AI82" s="40">
        <v>2233770</v>
      </c>
      <c r="AJ82" s="3"/>
      <c r="AK82" s="1">
        <v>96800687</v>
      </c>
      <c r="AL82" s="1">
        <v>1997374</v>
      </c>
      <c r="AM82" s="40">
        <v>0</v>
      </c>
      <c r="AN82" s="40">
        <v>67408968</v>
      </c>
      <c r="AO82" s="40">
        <v>10677429</v>
      </c>
      <c r="AP82" s="40">
        <v>180881656</v>
      </c>
      <c r="AQ82" s="40">
        <v>37546007</v>
      </c>
      <c r="AR82" s="40">
        <v>39289946</v>
      </c>
      <c r="AS82" s="40">
        <v>55382380</v>
      </c>
      <c r="AT82" s="40">
        <v>0</v>
      </c>
      <c r="AU82" s="40">
        <v>17497</v>
      </c>
      <c r="AV82" s="40">
        <v>0</v>
      </c>
      <c r="AW82" s="40">
        <v>30192738</v>
      </c>
      <c r="AX82" s="40">
        <v>16410</v>
      </c>
      <c r="AY82" s="40">
        <v>477150</v>
      </c>
      <c r="AZ82" s="1">
        <v>6011891.9400000004</v>
      </c>
      <c r="BA82" s="1">
        <v>3066065</v>
      </c>
      <c r="BB82" s="1">
        <v>17528497</v>
      </c>
      <c r="BC82" s="15">
        <v>3415430</v>
      </c>
      <c r="BD82" s="15">
        <v>6696921</v>
      </c>
      <c r="BE82" s="20">
        <v>188184248</v>
      </c>
      <c r="BF82" s="20">
        <v>188184248</v>
      </c>
      <c r="BG82" s="20">
        <v>71096191</v>
      </c>
      <c r="BH82" s="20">
        <v>66673279</v>
      </c>
      <c r="BI82" s="44"/>
      <c r="BJ82" s="44"/>
      <c r="BK82" s="44"/>
      <c r="BL82" s="5">
        <v>1206739822</v>
      </c>
      <c r="BM82" s="5">
        <v>846602739</v>
      </c>
      <c r="BN82" s="15">
        <v>496424</v>
      </c>
      <c r="BO82" s="3"/>
      <c r="BP82" s="1"/>
      <c r="BQ82" s="1"/>
      <c r="BR82" s="5"/>
      <c r="BS82" s="5"/>
      <c r="BT82" s="5"/>
    </row>
    <row r="83" spans="1:72" x14ac:dyDescent="0.25">
      <c r="A83" s="6" t="s">
        <v>137</v>
      </c>
      <c r="B83" s="40">
        <v>789653078</v>
      </c>
      <c r="C83" s="40">
        <v>147270658</v>
      </c>
      <c r="D83" s="40">
        <v>95819600</v>
      </c>
      <c r="E83" s="40">
        <v>0</v>
      </c>
      <c r="F83" s="40">
        <v>48128023</v>
      </c>
      <c r="G83" s="40">
        <v>12377300</v>
      </c>
      <c r="H83" s="40">
        <v>13423593</v>
      </c>
      <c r="I83" s="40">
        <v>1197199</v>
      </c>
      <c r="J83" s="40">
        <v>102000</v>
      </c>
      <c r="K83" s="40">
        <v>0</v>
      </c>
      <c r="L83" s="40">
        <v>343074550</v>
      </c>
      <c r="M83" s="40">
        <v>63538600</v>
      </c>
      <c r="N83" s="40">
        <v>1944</v>
      </c>
      <c r="O83" s="40">
        <v>446</v>
      </c>
      <c r="P83" s="40">
        <v>17525850</v>
      </c>
      <c r="Q83" s="40">
        <v>2396750</v>
      </c>
      <c r="R83" s="40">
        <v>1151200</v>
      </c>
      <c r="S83" s="40">
        <v>2026100</v>
      </c>
      <c r="T83" s="40">
        <v>86700</v>
      </c>
      <c r="U83" s="40">
        <v>329500</v>
      </c>
      <c r="V83" s="40">
        <v>17525850</v>
      </c>
      <c r="W83" s="40">
        <v>2396750</v>
      </c>
      <c r="X83" s="40">
        <v>1151200</v>
      </c>
      <c r="Y83" s="40">
        <v>2059800</v>
      </c>
      <c r="Z83" s="40">
        <v>266700</v>
      </c>
      <c r="AA83" s="40">
        <v>329500</v>
      </c>
      <c r="AB83" s="40">
        <v>-5137340</v>
      </c>
      <c r="AC83" s="40">
        <v>0</v>
      </c>
      <c r="AD83" s="40">
        <v>58040</v>
      </c>
      <c r="AE83" s="40">
        <v>0</v>
      </c>
      <c r="AF83" s="40">
        <v>0</v>
      </c>
      <c r="AG83" s="40">
        <v>146279</v>
      </c>
      <c r="AH83" s="3"/>
      <c r="AI83" s="40">
        <v>12225312</v>
      </c>
      <c r="AJ83" s="3"/>
      <c r="AK83" s="1">
        <v>155510493</v>
      </c>
      <c r="AL83" s="1">
        <v>7698916</v>
      </c>
      <c r="AM83" s="40">
        <v>33199</v>
      </c>
      <c r="AN83" s="40">
        <v>33902547</v>
      </c>
      <c r="AO83" s="40">
        <v>1905945</v>
      </c>
      <c r="AP83" s="40">
        <v>61677787</v>
      </c>
      <c r="AQ83" s="40">
        <v>13338619</v>
      </c>
      <c r="AR83" s="40">
        <v>15085816</v>
      </c>
      <c r="AS83" s="40">
        <v>14947112</v>
      </c>
      <c r="AT83" s="40">
        <v>0</v>
      </c>
      <c r="AU83" s="40">
        <v>0</v>
      </c>
      <c r="AV83" s="40">
        <v>0</v>
      </c>
      <c r="AW83" s="40">
        <v>346514</v>
      </c>
      <c r="AX83" s="40">
        <v>6188</v>
      </c>
      <c r="AY83" s="40">
        <v>0</v>
      </c>
      <c r="AZ83" s="1">
        <v>9658116.1600000001</v>
      </c>
      <c r="BA83" s="1">
        <v>4925639</v>
      </c>
      <c r="BB83" s="1">
        <v>50207253.890000001</v>
      </c>
      <c r="BC83" s="15">
        <v>1817027</v>
      </c>
      <c r="BD83" s="15">
        <v>3562798</v>
      </c>
      <c r="BE83" s="20">
        <v>15718210</v>
      </c>
      <c r="BF83" s="20">
        <v>14970947</v>
      </c>
      <c r="BG83" s="20">
        <v>56536577</v>
      </c>
      <c r="BH83" s="20">
        <v>54791373</v>
      </c>
      <c r="BI83" s="44"/>
      <c r="BJ83" s="44"/>
      <c r="BK83" s="44"/>
      <c r="BL83" s="5">
        <v>1333830154</v>
      </c>
      <c r="BM83" s="5">
        <v>1094115759</v>
      </c>
      <c r="BN83" s="15">
        <v>3364950</v>
      </c>
      <c r="BO83" s="3"/>
      <c r="BP83" s="1"/>
      <c r="BQ83" s="1"/>
      <c r="BR83" s="5"/>
      <c r="BS83" s="5"/>
      <c r="BT83" s="5"/>
    </row>
    <row r="84" spans="1:72" x14ac:dyDescent="0.25">
      <c r="A84" s="6" t="s">
        <v>138</v>
      </c>
      <c r="B84" s="40">
        <v>91648441</v>
      </c>
      <c r="C84" s="40">
        <v>32228421</v>
      </c>
      <c r="D84" s="40">
        <v>7416568</v>
      </c>
      <c r="E84" s="40">
        <v>0</v>
      </c>
      <c r="F84" s="40">
        <v>9750335</v>
      </c>
      <c r="G84" s="40">
        <v>8674410</v>
      </c>
      <c r="H84" s="40">
        <v>4958985</v>
      </c>
      <c r="I84" s="40">
        <v>1549670</v>
      </c>
      <c r="J84" s="40">
        <v>0</v>
      </c>
      <c r="K84" s="40">
        <v>33700</v>
      </c>
      <c r="L84" s="40">
        <v>24503586</v>
      </c>
      <c r="M84" s="40">
        <v>0</v>
      </c>
      <c r="N84" s="40">
        <v>519</v>
      </c>
      <c r="O84" s="40">
        <v>380</v>
      </c>
      <c r="P84" s="40">
        <v>298505</v>
      </c>
      <c r="Q84" s="40">
        <v>1000</v>
      </c>
      <c r="R84" s="40">
        <v>26000</v>
      </c>
      <c r="S84" s="40">
        <v>872910</v>
      </c>
      <c r="T84" s="40">
        <v>105179</v>
      </c>
      <c r="U84" s="40">
        <v>622144</v>
      </c>
      <c r="V84" s="40">
        <v>298505</v>
      </c>
      <c r="W84" s="40">
        <v>0</v>
      </c>
      <c r="X84" s="40">
        <v>26000</v>
      </c>
      <c r="Y84" s="40">
        <v>872910</v>
      </c>
      <c r="Z84" s="40">
        <v>147809</v>
      </c>
      <c r="AA84" s="40">
        <v>622144</v>
      </c>
      <c r="AB84" s="40">
        <v>-2234480</v>
      </c>
      <c r="AC84" s="40">
        <v>-2000</v>
      </c>
      <c r="AD84" s="40">
        <v>66909</v>
      </c>
      <c r="AE84" s="40">
        <v>0</v>
      </c>
      <c r="AF84" s="40">
        <v>3904365</v>
      </c>
      <c r="AG84" s="40">
        <v>76963</v>
      </c>
      <c r="AH84" s="3"/>
      <c r="AI84" s="40">
        <v>279623</v>
      </c>
      <c r="AJ84" s="3"/>
      <c r="AK84" s="1">
        <v>24345186</v>
      </c>
      <c r="AL84" s="1">
        <v>1283130</v>
      </c>
      <c r="AM84" s="40">
        <v>0</v>
      </c>
      <c r="AN84" s="40">
        <v>2634061</v>
      </c>
      <c r="AO84" s="40">
        <v>33400</v>
      </c>
      <c r="AP84" s="40">
        <v>4362651</v>
      </c>
      <c r="AQ84" s="40">
        <v>2766818</v>
      </c>
      <c r="AR84" s="40">
        <v>1922291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1">
        <v>1511979.22</v>
      </c>
      <c r="BA84" s="1">
        <v>771109</v>
      </c>
      <c r="BB84" s="1"/>
      <c r="BC84" s="15">
        <v>0</v>
      </c>
      <c r="BD84" s="15">
        <v>0</v>
      </c>
      <c r="BE84" s="20">
        <v>3762408</v>
      </c>
      <c r="BF84" s="20">
        <v>3762408</v>
      </c>
      <c r="BG84" s="20">
        <v>15307060</v>
      </c>
      <c r="BH84" s="20">
        <v>15282716</v>
      </c>
      <c r="BI84" s="44"/>
      <c r="BJ84" s="44"/>
      <c r="BK84" s="44"/>
      <c r="BL84" s="5">
        <v>182451881</v>
      </c>
      <c r="BM84" s="5">
        <v>137007332</v>
      </c>
      <c r="BN84" s="15">
        <v>231846</v>
      </c>
      <c r="BO84" s="3"/>
      <c r="BP84" s="1"/>
      <c r="BQ84" s="1"/>
      <c r="BR84" s="5"/>
      <c r="BS84" s="5"/>
      <c r="BT84" s="5"/>
    </row>
    <row r="85" spans="1:72" x14ac:dyDescent="0.25">
      <c r="A85" s="6" t="s">
        <v>139</v>
      </c>
      <c r="B85" s="40">
        <v>738960206</v>
      </c>
      <c r="C85" s="40">
        <v>227730058</v>
      </c>
      <c r="D85" s="40">
        <v>195852842</v>
      </c>
      <c r="E85" s="40">
        <v>0</v>
      </c>
      <c r="F85" s="40">
        <v>58832232</v>
      </c>
      <c r="G85" s="40">
        <v>8951107</v>
      </c>
      <c r="H85" s="40">
        <v>15014383</v>
      </c>
      <c r="I85" s="40">
        <v>1672674</v>
      </c>
      <c r="J85" s="40">
        <v>68000</v>
      </c>
      <c r="K85" s="40">
        <v>0</v>
      </c>
      <c r="L85" s="40">
        <v>335479704</v>
      </c>
      <c r="M85" s="40">
        <v>178612260</v>
      </c>
      <c r="N85" s="40">
        <v>2209</v>
      </c>
      <c r="O85" s="40">
        <v>322</v>
      </c>
      <c r="P85" s="40">
        <v>3422256</v>
      </c>
      <c r="Q85" s="40">
        <v>1623668</v>
      </c>
      <c r="R85" s="40">
        <v>5970743</v>
      </c>
      <c r="S85" s="40">
        <v>9841894</v>
      </c>
      <c r="T85" s="40">
        <v>280744</v>
      </c>
      <c r="U85" s="40">
        <v>1053662</v>
      </c>
      <c r="V85" s="40">
        <v>3422256</v>
      </c>
      <c r="W85" s="40">
        <v>1745978</v>
      </c>
      <c r="X85" s="40">
        <v>5970743</v>
      </c>
      <c r="Y85" s="40">
        <v>9867707</v>
      </c>
      <c r="Z85" s="40">
        <v>966243</v>
      </c>
      <c r="AA85" s="40">
        <v>1053662</v>
      </c>
      <c r="AB85" s="40">
        <v>-2090755</v>
      </c>
      <c r="AC85" s="40">
        <v>150845</v>
      </c>
      <c r="AD85" s="40">
        <v>3554</v>
      </c>
      <c r="AE85" s="40">
        <v>0</v>
      </c>
      <c r="AF85" s="40">
        <v>0</v>
      </c>
      <c r="AG85" s="40">
        <v>138389</v>
      </c>
      <c r="AH85" s="3"/>
      <c r="AI85" s="40">
        <v>159197</v>
      </c>
      <c r="AJ85" s="3"/>
      <c r="AK85" s="1">
        <v>128960460</v>
      </c>
      <c r="AL85" s="1">
        <v>6596844</v>
      </c>
      <c r="AM85" s="40">
        <v>696963</v>
      </c>
      <c r="AN85" s="40">
        <v>29859809</v>
      </c>
      <c r="AO85" s="40">
        <v>8061964</v>
      </c>
      <c r="AP85" s="40">
        <v>192341700</v>
      </c>
      <c r="AQ85" s="40">
        <v>50414573</v>
      </c>
      <c r="AR85" s="40">
        <v>13106790</v>
      </c>
      <c r="AS85" s="40">
        <v>2781063</v>
      </c>
      <c r="AT85" s="40">
        <v>123337273</v>
      </c>
      <c r="AU85" s="40">
        <v>0</v>
      </c>
      <c r="AV85" s="40">
        <v>0</v>
      </c>
      <c r="AW85" s="40">
        <v>17621</v>
      </c>
      <c r="AX85" s="40">
        <v>165372</v>
      </c>
      <c r="AY85" s="40">
        <v>25000</v>
      </c>
      <c r="AZ85" s="1">
        <v>8009202.9699999997</v>
      </c>
      <c r="BA85" s="1">
        <v>4084694</v>
      </c>
      <c r="BB85" s="1"/>
      <c r="BC85" s="15">
        <v>2271449</v>
      </c>
      <c r="BD85" s="15">
        <v>4453821</v>
      </c>
      <c r="BE85" s="20">
        <v>42169055</v>
      </c>
      <c r="BF85" s="20">
        <v>42169055</v>
      </c>
      <c r="BG85" s="20">
        <v>65680370</v>
      </c>
      <c r="BH85" s="20">
        <v>61881841</v>
      </c>
      <c r="BI85" s="44"/>
      <c r="BJ85" s="44"/>
      <c r="BK85" s="44"/>
      <c r="BL85" s="5">
        <v>1497002992</v>
      </c>
      <c r="BM85" s="5">
        <v>1251038649</v>
      </c>
      <c r="BN85" s="15">
        <v>823913</v>
      </c>
      <c r="BO85" s="3"/>
      <c r="BP85" s="1"/>
      <c r="BQ85" s="1"/>
      <c r="BR85" s="5"/>
      <c r="BS85" s="5"/>
      <c r="BT85" s="5"/>
    </row>
    <row r="86" spans="1:72" x14ac:dyDescent="0.25">
      <c r="A86" s="6" t="s">
        <v>140</v>
      </c>
      <c r="B86" s="40">
        <v>108479258</v>
      </c>
      <c r="C86" s="40">
        <v>109293196</v>
      </c>
      <c r="D86" s="40">
        <v>47535415</v>
      </c>
      <c r="E86" s="40">
        <v>0</v>
      </c>
      <c r="F86" s="40">
        <v>17283220</v>
      </c>
      <c r="G86" s="40">
        <v>5718867</v>
      </c>
      <c r="H86" s="40">
        <v>13910525</v>
      </c>
      <c r="I86" s="40">
        <v>1524972</v>
      </c>
      <c r="J86" s="40">
        <v>71000</v>
      </c>
      <c r="K86" s="40">
        <v>0</v>
      </c>
      <c r="L86" s="40">
        <v>153911849</v>
      </c>
      <c r="M86" s="40">
        <v>0</v>
      </c>
      <c r="N86" s="40">
        <v>1004</v>
      </c>
      <c r="O86" s="40">
        <v>272</v>
      </c>
      <c r="P86" s="40">
        <v>1430076</v>
      </c>
      <c r="Q86" s="40">
        <v>2336325</v>
      </c>
      <c r="R86" s="40">
        <v>595500</v>
      </c>
      <c r="S86" s="40">
        <v>2269422</v>
      </c>
      <c r="T86" s="40">
        <v>1132529</v>
      </c>
      <c r="U86" s="40">
        <v>428380</v>
      </c>
      <c r="V86" s="40">
        <v>1430076</v>
      </c>
      <c r="W86" s="40">
        <v>3065121</v>
      </c>
      <c r="X86" s="40">
        <v>595500</v>
      </c>
      <c r="Y86" s="40">
        <v>2269422</v>
      </c>
      <c r="Z86" s="40">
        <v>1124110</v>
      </c>
      <c r="AA86" s="40">
        <v>428380</v>
      </c>
      <c r="AB86" s="40">
        <v>-1500422</v>
      </c>
      <c r="AC86" s="40">
        <v>69289</v>
      </c>
      <c r="AD86" s="40">
        <v>38</v>
      </c>
      <c r="AE86" s="40">
        <v>0</v>
      </c>
      <c r="AF86" s="40">
        <v>0</v>
      </c>
      <c r="AG86" s="40">
        <v>0</v>
      </c>
      <c r="AH86" s="40">
        <v>823172</v>
      </c>
      <c r="AI86" s="3"/>
      <c r="AJ86" s="3"/>
      <c r="AK86" s="1">
        <v>46034261</v>
      </c>
      <c r="AL86" s="1">
        <v>1070293</v>
      </c>
      <c r="AM86" s="40">
        <v>0</v>
      </c>
      <c r="AN86" s="40">
        <v>10009824</v>
      </c>
      <c r="AO86" s="40">
        <v>853759</v>
      </c>
      <c r="AP86" s="40">
        <v>48006168</v>
      </c>
      <c r="AQ86" s="40">
        <v>12127025</v>
      </c>
      <c r="AR86" s="40">
        <v>18044063</v>
      </c>
      <c r="AS86" s="40">
        <v>11039422</v>
      </c>
      <c r="AT86" s="40">
        <v>410733</v>
      </c>
      <c r="AU86" s="40">
        <v>0</v>
      </c>
      <c r="AV86" s="40">
        <v>0</v>
      </c>
      <c r="AW86" s="40">
        <v>0</v>
      </c>
      <c r="AX86" s="40">
        <v>0</v>
      </c>
      <c r="AY86" s="40">
        <v>9000</v>
      </c>
      <c r="AZ86" s="1">
        <v>2858998.33</v>
      </c>
      <c r="BA86" s="1">
        <v>1458089</v>
      </c>
      <c r="BB86" s="1"/>
      <c r="BC86" s="15">
        <v>0</v>
      </c>
      <c r="BD86" s="15">
        <v>0</v>
      </c>
      <c r="BE86" s="20">
        <v>14189812</v>
      </c>
      <c r="BF86" s="20">
        <v>14189812</v>
      </c>
      <c r="BG86" s="20">
        <v>35398302</v>
      </c>
      <c r="BH86" s="20">
        <v>35389173</v>
      </c>
      <c r="BI86" s="44"/>
      <c r="BJ86" s="44"/>
      <c r="BK86" s="44"/>
      <c r="BL86" s="5">
        <v>387263277</v>
      </c>
      <c r="BM86" s="5">
        <v>289121649</v>
      </c>
      <c r="BN86" s="15">
        <v>2040316</v>
      </c>
      <c r="BO86" s="3"/>
      <c r="BP86" s="1"/>
      <c r="BQ86" s="1"/>
      <c r="BR86" s="5"/>
      <c r="BS86" s="5"/>
      <c r="BT86" s="5"/>
    </row>
    <row r="87" spans="1:72" x14ac:dyDescent="0.25">
      <c r="A87" s="6" t="s">
        <v>141</v>
      </c>
      <c r="B87" s="40">
        <v>141332414</v>
      </c>
      <c r="C87" s="40">
        <v>91492525</v>
      </c>
      <c r="D87" s="40">
        <v>41505117</v>
      </c>
      <c r="E87" s="40">
        <v>0</v>
      </c>
      <c r="F87" s="40">
        <v>26395469</v>
      </c>
      <c r="G87" s="40">
        <v>7671250</v>
      </c>
      <c r="H87" s="40">
        <v>10334000</v>
      </c>
      <c r="I87" s="40">
        <v>851800</v>
      </c>
      <c r="J87" s="40">
        <v>31400</v>
      </c>
      <c r="K87" s="40">
        <v>0</v>
      </c>
      <c r="L87" s="40">
        <v>233222769</v>
      </c>
      <c r="M87" s="40">
        <v>0</v>
      </c>
      <c r="N87" s="40">
        <v>1164</v>
      </c>
      <c r="O87" s="40">
        <v>307</v>
      </c>
      <c r="P87" s="40">
        <v>1624100</v>
      </c>
      <c r="Q87" s="40">
        <v>817050</v>
      </c>
      <c r="R87" s="40">
        <v>865000</v>
      </c>
      <c r="S87" s="40">
        <v>1706249</v>
      </c>
      <c r="T87" s="40">
        <v>1752800</v>
      </c>
      <c r="U87" s="40">
        <v>98500</v>
      </c>
      <c r="V87" s="40">
        <v>1624100</v>
      </c>
      <c r="W87" s="40">
        <v>840500</v>
      </c>
      <c r="X87" s="40">
        <v>865000</v>
      </c>
      <c r="Y87" s="40">
        <v>1706249</v>
      </c>
      <c r="Z87" s="40">
        <v>4057700</v>
      </c>
      <c r="AA87" s="40">
        <v>98500</v>
      </c>
      <c r="AB87" s="40">
        <v>-767000</v>
      </c>
      <c r="AC87" s="40">
        <v>0</v>
      </c>
      <c r="AD87" s="40">
        <v>87170</v>
      </c>
      <c r="AE87" s="40">
        <v>0</v>
      </c>
      <c r="AF87" s="40">
        <v>0</v>
      </c>
      <c r="AG87" s="40">
        <v>198618</v>
      </c>
      <c r="AH87" s="40">
        <v>45598</v>
      </c>
      <c r="AI87" s="40">
        <v>65246</v>
      </c>
      <c r="AJ87" s="3"/>
      <c r="AK87" s="1">
        <v>54506489</v>
      </c>
      <c r="AL87" s="1">
        <v>1074663</v>
      </c>
      <c r="AM87" s="40">
        <v>0</v>
      </c>
      <c r="AN87" s="40">
        <v>12641946</v>
      </c>
      <c r="AO87" s="40">
        <v>74151</v>
      </c>
      <c r="AP87" s="40">
        <v>14185380</v>
      </c>
      <c r="AQ87" s="40">
        <v>19867865</v>
      </c>
      <c r="AR87" s="40">
        <v>8031133</v>
      </c>
      <c r="AS87" s="40">
        <v>0</v>
      </c>
      <c r="AT87" s="40">
        <v>663024</v>
      </c>
      <c r="AU87" s="40">
        <v>0</v>
      </c>
      <c r="AV87" s="40">
        <v>0</v>
      </c>
      <c r="AW87" s="40">
        <v>0</v>
      </c>
      <c r="AX87" s="40">
        <v>0</v>
      </c>
      <c r="AY87" s="40">
        <v>0</v>
      </c>
      <c r="AZ87" s="1">
        <v>3385173.52</v>
      </c>
      <c r="BA87" s="1">
        <v>1726438</v>
      </c>
      <c r="BB87" s="1"/>
      <c r="BC87" s="15">
        <v>0</v>
      </c>
      <c r="BD87" s="15">
        <v>0</v>
      </c>
      <c r="BE87" s="20">
        <v>12399285</v>
      </c>
      <c r="BF87" s="20">
        <v>12399285</v>
      </c>
      <c r="BG87" s="20">
        <v>23934345</v>
      </c>
      <c r="BH87" s="20">
        <v>23903916</v>
      </c>
      <c r="BI87" s="44"/>
      <c r="BJ87" s="44"/>
      <c r="BK87" s="44"/>
      <c r="BL87" s="5">
        <v>400635653</v>
      </c>
      <c r="BM87" s="5">
        <v>307024862</v>
      </c>
      <c r="BN87" s="15">
        <v>249200</v>
      </c>
      <c r="BO87" s="3"/>
      <c r="BP87" s="1"/>
      <c r="BQ87" s="1"/>
      <c r="BR87" s="5"/>
      <c r="BS87" s="5"/>
      <c r="BT87" s="5"/>
    </row>
    <row r="88" spans="1:72" x14ac:dyDescent="0.25">
      <c r="A88" s="6" t="s">
        <v>142</v>
      </c>
      <c r="B88" s="40">
        <v>723686019</v>
      </c>
      <c r="C88" s="40">
        <v>111446327</v>
      </c>
      <c r="D88" s="40">
        <v>293147771</v>
      </c>
      <c r="E88" s="40">
        <v>35782592</v>
      </c>
      <c r="F88" s="40">
        <v>52431250</v>
      </c>
      <c r="G88" s="40">
        <v>18258590</v>
      </c>
      <c r="H88" s="40">
        <v>8884900</v>
      </c>
      <c r="I88" s="40">
        <v>2447500</v>
      </c>
      <c r="J88" s="40">
        <v>136000</v>
      </c>
      <c r="K88" s="40">
        <v>34000</v>
      </c>
      <c r="L88" s="40">
        <v>195054524</v>
      </c>
      <c r="M88" s="40">
        <v>89508150</v>
      </c>
      <c r="N88" s="40">
        <v>1879</v>
      </c>
      <c r="O88" s="40">
        <v>672</v>
      </c>
      <c r="P88" s="40">
        <v>4943300</v>
      </c>
      <c r="Q88" s="40">
        <v>771300</v>
      </c>
      <c r="R88" s="40">
        <v>3446000</v>
      </c>
      <c r="S88" s="40">
        <v>11022430</v>
      </c>
      <c r="T88" s="40">
        <v>357300</v>
      </c>
      <c r="U88" s="40">
        <v>4913500</v>
      </c>
      <c r="V88" s="40">
        <v>4943300</v>
      </c>
      <c r="W88" s="40">
        <v>1151500</v>
      </c>
      <c r="X88" s="40">
        <v>3446000</v>
      </c>
      <c r="Y88" s="40">
        <v>11022430</v>
      </c>
      <c r="Z88" s="40">
        <v>668300</v>
      </c>
      <c r="AA88" s="40">
        <v>4913500</v>
      </c>
      <c r="AB88" s="40">
        <v>-2496700</v>
      </c>
      <c r="AC88" s="40">
        <v>-186556</v>
      </c>
      <c r="AD88" s="40">
        <v>5099</v>
      </c>
      <c r="AE88" s="40">
        <v>0</v>
      </c>
      <c r="AF88" s="40">
        <v>0</v>
      </c>
      <c r="AG88" s="40">
        <v>108396</v>
      </c>
      <c r="AH88" s="3"/>
      <c r="AI88" s="40">
        <v>226902</v>
      </c>
      <c r="AJ88" s="3"/>
      <c r="AK88" s="1">
        <v>140601088</v>
      </c>
      <c r="AL88" s="1">
        <v>3947906</v>
      </c>
      <c r="AM88" s="40">
        <v>0</v>
      </c>
      <c r="AN88" s="40">
        <v>44495651</v>
      </c>
      <c r="AO88" s="40">
        <v>2263979</v>
      </c>
      <c r="AP88" s="40">
        <v>136082661</v>
      </c>
      <c r="AQ88" s="40">
        <v>41115923</v>
      </c>
      <c r="AR88" s="40">
        <v>61328859</v>
      </c>
      <c r="AS88" s="40">
        <v>20058893</v>
      </c>
      <c r="AT88" s="40">
        <v>340780</v>
      </c>
      <c r="AU88" s="40">
        <v>0</v>
      </c>
      <c r="AV88" s="40">
        <v>0</v>
      </c>
      <c r="AW88" s="40">
        <v>9743426</v>
      </c>
      <c r="AX88" s="40">
        <v>16937</v>
      </c>
      <c r="AY88" s="40">
        <v>4271569</v>
      </c>
      <c r="AZ88" s="1">
        <v>8732154.4299999997</v>
      </c>
      <c r="BA88" s="1">
        <v>4453399</v>
      </c>
      <c r="BB88" s="1"/>
      <c r="BC88" s="15">
        <v>0</v>
      </c>
      <c r="BD88" s="15">
        <v>0</v>
      </c>
      <c r="BE88" s="20">
        <v>19247316</v>
      </c>
      <c r="BF88" s="20">
        <v>19247316</v>
      </c>
      <c r="BG88" s="20">
        <v>40372865</v>
      </c>
      <c r="BH88" s="20">
        <v>39137138</v>
      </c>
      <c r="BI88" s="44"/>
      <c r="BJ88" s="44"/>
      <c r="BK88" s="44"/>
      <c r="BL88" s="5">
        <v>1423769419</v>
      </c>
      <c r="BM88" s="5">
        <v>1216382572</v>
      </c>
      <c r="BN88" s="15">
        <v>1307100</v>
      </c>
      <c r="BO88" s="3"/>
      <c r="BP88" s="1"/>
      <c r="BQ88" s="1"/>
      <c r="BR88" s="5"/>
      <c r="BS88" s="5"/>
      <c r="BT88" s="5"/>
    </row>
    <row r="89" spans="1:72" x14ac:dyDescent="0.25">
      <c r="A89" s="6" t="s">
        <v>143</v>
      </c>
      <c r="B89" s="40">
        <v>122942100</v>
      </c>
      <c r="C89" s="40">
        <v>91468250</v>
      </c>
      <c r="D89" s="40">
        <v>40956940</v>
      </c>
      <c r="E89" s="40">
        <v>0</v>
      </c>
      <c r="F89" s="40">
        <v>16043400</v>
      </c>
      <c r="G89" s="40">
        <v>12075100</v>
      </c>
      <c r="H89" s="40">
        <v>11522500</v>
      </c>
      <c r="I89" s="40">
        <v>5123700</v>
      </c>
      <c r="J89" s="40">
        <v>0</v>
      </c>
      <c r="K89" s="40">
        <v>0</v>
      </c>
      <c r="L89" s="40">
        <v>65401375</v>
      </c>
      <c r="M89" s="40">
        <v>0</v>
      </c>
      <c r="N89" s="40">
        <v>994</v>
      </c>
      <c r="O89" s="40">
        <v>644</v>
      </c>
      <c r="P89" s="40">
        <v>977800</v>
      </c>
      <c r="Q89" s="40">
        <v>409000</v>
      </c>
      <c r="R89" s="40">
        <v>0</v>
      </c>
      <c r="S89" s="40">
        <v>1921300</v>
      </c>
      <c r="T89" s="40">
        <v>464000</v>
      </c>
      <c r="U89" s="40">
        <v>75000</v>
      </c>
      <c r="V89" s="40">
        <v>977800</v>
      </c>
      <c r="W89" s="40">
        <v>505800</v>
      </c>
      <c r="X89" s="40">
        <v>0</v>
      </c>
      <c r="Y89" s="40">
        <v>1921300</v>
      </c>
      <c r="Z89" s="40">
        <v>510600</v>
      </c>
      <c r="AA89" s="40">
        <v>75000</v>
      </c>
      <c r="AB89" s="40">
        <v>-1856650</v>
      </c>
      <c r="AC89" s="40">
        <v>-66790</v>
      </c>
      <c r="AD89" s="40">
        <v>175888</v>
      </c>
      <c r="AE89" s="40">
        <v>0</v>
      </c>
      <c r="AF89" s="40">
        <v>0</v>
      </c>
      <c r="AG89" s="40">
        <v>220798</v>
      </c>
      <c r="AH89" s="40">
        <v>343598</v>
      </c>
      <c r="AI89" s="40">
        <v>1147549</v>
      </c>
      <c r="AJ89" s="40">
        <v>419926</v>
      </c>
      <c r="AK89" s="15">
        <v>66063233</v>
      </c>
      <c r="AL89" s="1">
        <v>1915387</v>
      </c>
      <c r="AM89" s="40">
        <v>0</v>
      </c>
      <c r="AN89" s="40">
        <v>13029917</v>
      </c>
      <c r="AO89" s="40">
        <v>61721</v>
      </c>
      <c r="AP89" s="40">
        <v>3918680</v>
      </c>
      <c r="AQ89" s="40">
        <v>7338771</v>
      </c>
      <c r="AR89" s="40">
        <v>6173361</v>
      </c>
      <c r="AS89" s="40">
        <v>0</v>
      </c>
      <c r="AT89" s="40">
        <v>621991</v>
      </c>
      <c r="AU89" s="40">
        <v>0</v>
      </c>
      <c r="AV89" s="40">
        <v>0</v>
      </c>
      <c r="AW89" s="40">
        <v>0</v>
      </c>
      <c r="AX89" s="40">
        <v>0</v>
      </c>
      <c r="AY89" s="40">
        <v>67900</v>
      </c>
      <c r="AZ89" s="1">
        <v>4102915.28</v>
      </c>
      <c r="BA89" s="1">
        <v>2092487</v>
      </c>
      <c r="BB89" s="1"/>
      <c r="BC89" s="15">
        <v>0</v>
      </c>
      <c r="BD89" s="15">
        <v>0</v>
      </c>
      <c r="BE89" s="20">
        <v>1396637</v>
      </c>
      <c r="BF89" s="20">
        <v>1396637</v>
      </c>
      <c r="BG89" s="20">
        <v>31148460</v>
      </c>
      <c r="BH89" s="20">
        <v>31133246</v>
      </c>
      <c r="BI89" s="44"/>
      <c r="BJ89" s="44"/>
      <c r="BK89" s="44"/>
      <c r="BL89" s="5">
        <v>380309762</v>
      </c>
      <c r="BM89" s="5">
        <v>277708772</v>
      </c>
      <c r="BN89" s="15">
        <v>1963500</v>
      </c>
      <c r="BO89" s="3"/>
      <c r="BP89" s="1"/>
      <c r="BQ89" s="1"/>
      <c r="BR89" s="5"/>
      <c r="BS89" s="5"/>
      <c r="BT89" s="5"/>
    </row>
    <row r="90" spans="1:72" x14ac:dyDescent="0.25">
      <c r="A90" s="6" t="s">
        <v>144</v>
      </c>
      <c r="B90" s="40">
        <v>548495415</v>
      </c>
      <c r="C90" s="40">
        <v>147624966</v>
      </c>
      <c r="D90" s="40">
        <v>172400972</v>
      </c>
      <c r="E90" s="40">
        <v>0</v>
      </c>
      <c r="F90" s="40">
        <v>77684810</v>
      </c>
      <c r="G90" s="40">
        <v>33494190</v>
      </c>
      <c r="H90" s="40">
        <v>12234900</v>
      </c>
      <c r="I90" s="40">
        <v>3281500</v>
      </c>
      <c r="J90" s="40">
        <v>102000</v>
      </c>
      <c r="K90" s="40">
        <v>34000</v>
      </c>
      <c r="L90" s="40">
        <v>136196437</v>
      </c>
      <c r="M90" s="40">
        <v>16549660</v>
      </c>
      <c r="N90" s="40">
        <v>2843</v>
      </c>
      <c r="O90" s="40">
        <v>1237</v>
      </c>
      <c r="P90" s="40">
        <v>12229556</v>
      </c>
      <c r="Q90" s="40">
        <v>5356570</v>
      </c>
      <c r="R90" s="40">
        <v>2515800</v>
      </c>
      <c r="S90" s="40">
        <v>8654624</v>
      </c>
      <c r="T90" s="40">
        <v>2388917</v>
      </c>
      <c r="U90" s="40">
        <v>9625900</v>
      </c>
      <c r="V90" s="40">
        <v>12229556</v>
      </c>
      <c r="W90" s="40">
        <v>10915665</v>
      </c>
      <c r="X90" s="40">
        <v>2515800</v>
      </c>
      <c r="Y90" s="40">
        <v>8654624</v>
      </c>
      <c r="Z90" s="40">
        <v>4591766</v>
      </c>
      <c r="AA90" s="40">
        <v>9625900</v>
      </c>
      <c r="AB90" s="40">
        <v>-6855470</v>
      </c>
      <c r="AC90" s="40">
        <v>-995947</v>
      </c>
      <c r="AD90" s="40">
        <v>66428</v>
      </c>
      <c r="AE90" s="40">
        <v>2662</v>
      </c>
      <c r="AF90" s="40">
        <v>0</v>
      </c>
      <c r="AG90" s="40">
        <v>76688</v>
      </c>
      <c r="AH90" s="40">
        <v>8184270</v>
      </c>
      <c r="AI90" s="40">
        <v>531754</v>
      </c>
      <c r="AJ90" s="40">
        <v>49431393</v>
      </c>
      <c r="AK90" s="1">
        <v>208949171</v>
      </c>
      <c r="AL90" s="1">
        <v>5741512</v>
      </c>
      <c r="AM90" s="40">
        <v>0</v>
      </c>
      <c r="AN90" s="40">
        <v>84008817</v>
      </c>
      <c r="AO90" s="40">
        <v>7627578</v>
      </c>
      <c r="AP90" s="40">
        <v>46432143</v>
      </c>
      <c r="AQ90" s="40">
        <v>60724542</v>
      </c>
      <c r="AR90" s="40">
        <v>23214656</v>
      </c>
      <c r="AS90" s="40">
        <v>16649584</v>
      </c>
      <c r="AT90" s="40">
        <v>10900382</v>
      </c>
      <c r="AU90" s="40">
        <v>0</v>
      </c>
      <c r="AV90" s="40">
        <v>0</v>
      </c>
      <c r="AW90" s="40">
        <v>1703567</v>
      </c>
      <c r="AX90" s="40">
        <v>18469</v>
      </c>
      <c r="AY90" s="40">
        <v>416000</v>
      </c>
      <c r="AZ90" s="1">
        <v>12976972.34</v>
      </c>
      <c r="BA90" s="1">
        <v>6618256</v>
      </c>
      <c r="BB90" s="1">
        <v>7024611</v>
      </c>
      <c r="BC90" s="15">
        <v>3542245</v>
      </c>
      <c r="BD90" s="15">
        <v>6945578</v>
      </c>
      <c r="BE90" s="20">
        <v>72957193</v>
      </c>
      <c r="BF90" s="20">
        <v>70516070</v>
      </c>
      <c r="BG90" s="20">
        <v>151295722</v>
      </c>
      <c r="BH90" s="20">
        <v>149331488</v>
      </c>
      <c r="BI90" s="44"/>
      <c r="BJ90" s="44"/>
      <c r="BK90" s="44"/>
      <c r="BL90" s="5">
        <v>1523728449</v>
      </c>
      <c r="BM90" s="5">
        <v>1079029707</v>
      </c>
      <c r="BN90" s="15">
        <v>442700</v>
      </c>
      <c r="BO90" s="3"/>
      <c r="BP90" s="1"/>
      <c r="BQ90" s="1"/>
      <c r="BR90" s="5"/>
      <c r="BS90" s="5"/>
      <c r="BT90" s="5"/>
    </row>
    <row r="91" spans="1:72" x14ac:dyDescent="0.25">
      <c r="A91" s="6" t="s">
        <v>145</v>
      </c>
      <c r="B91" s="40">
        <v>1556478378</v>
      </c>
      <c r="C91" s="40">
        <v>304258941</v>
      </c>
      <c r="D91" s="40">
        <v>473359650</v>
      </c>
      <c r="E91" s="40">
        <v>2600000</v>
      </c>
      <c r="F91" s="40">
        <v>78787139</v>
      </c>
      <c r="G91" s="40">
        <v>17070262</v>
      </c>
      <c r="H91" s="40">
        <v>18583140</v>
      </c>
      <c r="I91" s="40">
        <v>2077665</v>
      </c>
      <c r="J91" s="40">
        <v>306000</v>
      </c>
      <c r="K91" s="40">
        <v>0</v>
      </c>
      <c r="L91" s="40">
        <v>601691283</v>
      </c>
      <c r="M91" s="40">
        <v>252029321</v>
      </c>
      <c r="N91" s="40">
        <v>2915</v>
      </c>
      <c r="O91" s="40">
        <v>592</v>
      </c>
      <c r="P91" s="40">
        <v>15997200</v>
      </c>
      <c r="Q91" s="40">
        <v>4342500</v>
      </c>
      <c r="R91" s="40">
        <v>7006850</v>
      </c>
      <c r="S91" s="40">
        <v>5163545</v>
      </c>
      <c r="T91" s="40">
        <v>660940</v>
      </c>
      <c r="U91" s="40">
        <v>1975000</v>
      </c>
      <c r="V91" s="40">
        <v>15997200</v>
      </c>
      <c r="W91" s="40">
        <v>4342500</v>
      </c>
      <c r="X91" s="40">
        <v>7006850</v>
      </c>
      <c r="Y91" s="40">
        <v>5163545</v>
      </c>
      <c r="Z91" s="40">
        <v>660940</v>
      </c>
      <c r="AA91" s="40">
        <v>1975000</v>
      </c>
      <c r="AB91" s="40">
        <v>-9027854</v>
      </c>
      <c r="AC91" s="40">
        <v>1603414</v>
      </c>
      <c r="AD91" s="40">
        <v>29180</v>
      </c>
      <c r="AE91" s="40">
        <v>0</v>
      </c>
      <c r="AF91" s="40">
        <v>0</v>
      </c>
      <c r="AG91" s="40">
        <v>245881</v>
      </c>
      <c r="AH91" s="3"/>
      <c r="AI91" s="40">
        <v>580639</v>
      </c>
      <c r="AJ91" s="3"/>
      <c r="AK91" s="1">
        <v>266072719</v>
      </c>
      <c r="AL91" s="1">
        <v>6878017</v>
      </c>
      <c r="AM91" s="40">
        <v>0</v>
      </c>
      <c r="AN91" s="40">
        <v>76965774</v>
      </c>
      <c r="AO91" s="40">
        <v>6373430</v>
      </c>
      <c r="AP91" s="40">
        <v>340265498</v>
      </c>
      <c r="AQ91" s="40">
        <v>68727132</v>
      </c>
      <c r="AR91" s="40">
        <v>52380862</v>
      </c>
      <c r="AS91" s="15">
        <v>945264</v>
      </c>
      <c r="AT91" s="40">
        <v>250</v>
      </c>
      <c r="AU91" s="40">
        <v>0</v>
      </c>
      <c r="AV91" s="40">
        <v>0</v>
      </c>
      <c r="AW91" s="40">
        <v>2273050</v>
      </c>
      <c r="AX91" s="40">
        <v>103598</v>
      </c>
      <c r="AY91" s="40">
        <v>1427050</v>
      </c>
      <c r="AZ91" s="1">
        <v>16524680.609999999</v>
      </c>
      <c r="BA91" s="1">
        <v>8427587</v>
      </c>
      <c r="BB91" s="1"/>
      <c r="BC91" s="15">
        <v>848739</v>
      </c>
      <c r="BD91" s="15">
        <v>1664193</v>
      </c>
      <c r="BE91" s="20">
        <v>12039726</v>
      </c>
      <c r="BF91" s="20">
        <v>11652484</v>
      </c>
      <c r="BG91" s="20">
        <v>43704909</v>
      </c>
      <c r="BH91" s="20">
        <v>43311942</v>
      </c>
      <c r="BI91" s="44">
        <v>356177046</v>
      </c>
      <c r="BJ91" s="44"/>
      <c r="BK91" s="44"/>
      <c r="BL91" s="5">
        <v>3180112478</v>
      </c>
      <c r="BM91" s="5">
        <v>2486743944</v>
      </c>
      <c r="BN91" s="15">
        <v>2573982</v>
      </c>
      <c r="BO91" s="3"/>
      <c r="BP91" s="1"/>
      <c r="BQ91" s="1"/>
      <c r="BR91" s="5"/>
      <c r="BS91" s="5"/>
      <c r="BT91" s="5"/>
    </row>
    <row r="92" spans="1:72" x14ac:dyDescent="0.25">
      <c r="A92" s="6" t="s">
        <v>146</v>
      </c>
      <c r="B92" s="40">
        <v>108545488</v>
      </c>
      <c r="C92" s="40">
        <v>90252459</v>
      </c>
      <c r="D92" s="40">
        <v>14304446</v>
      </c>
      <c r="E92" s="40">
        <v>0</v>
      </c>
      <c r="F92" s="40">
        <v>17001800</v>
      </c>
      <c r="G92" s="40">
        <v>3509000</v>
      </c>
      <c r="H92" s="40">
        <v>6512300</v>
      </c>
      <c r="I92" s="40">
        <v>1059900</v>
      </c>
      <c r="J92" s="40">
        <v>136000</v>
      </c>
      <c r="K92" s="40">
        <v>0</v>
      </c>
      <c r="L92" s="40">
        <v>68732946</v>
      </c>
      <c r="M92" s="40">
        <v>43388460</v>
      </c>
      <c r="N92" s="40">
        <v>730</v>
      </c>
      <c r="O92" s="40">
        <v>151</v>
      </c>
      <c r="P92" s="40">
        <v>1666320</v>
      </c>
      <c r="Q92" s="40">
        <v>937047</v>
      </c>
      <c r="R92" s="40">
        <v>0</v>
      </c>
      <c r="S92" s="40">
        <v>1794372</v>
      </c>
      <c r="T92" s="40">
        <v>1826858</v>
      </c>
      <c r="U92" s="40">
        <v>20000</v>
      </c>
      <c r="V92" s="40">
        <v>1666320</v>
      </c>
      <c r="W92" s="40">
        <v>1116932</v>
      </c>
      <c r="X92" s="40">
        <v>0</v>
      </c>
      <c r="Y92" s="40">
        <v>1794372</v>
      </c>
      <c r="Z92" s="40">
        <v>951435</v>
      </c>
      <c r="AA92" s="40">
        <v>20000</v>
      </c>
      <c r="AB92" s="40">
        <v>-363600</v>
      </c>
      <c r="AC92" s="40">
        <v>0</v>
      </c>
      <c r="AD92" s="40">
        <v>0</v>
      </c>
      <c r="AE92" s="40">
        <v>0</v>
      </c>
      <c r="AF92" s="40">
        <v>0</v>
      </c>
      <c r="AG92" s="40">
        <v>81</v>
      </c>
      <c r="AH92" s="3"/>
      <c r="AI92" s="3"/>
      <c r="AJ92" s="3"/>
      <c r="AK92" s="1">
        <v>39863296</v>
      </c>
      <c r="AL92" s="1">
        <v>882061</v>
      </c>
      <c r="AM92" s="40">
        <v>0</v>
      </c>
      <c r="AN92" s="40">
        <v>2857146</v>
      </c>
      <c r="AO92" s="40">
        <v>18337</v>
      </c>
      <c r="AP92" s="40">
        <v>1301057</v>
      </c>
      <c r="AQ92" s="40">
        <v>1844158</v>
      </c>
      <c r="AR92" s="40">
        <v>285522</v>
      </c>
      <c r="AS92" s="40">
        <v>0</v>
      </c>
      <c r="AT92" s="40">
        <v>59947</v>
      </c>
      <c r="AU92" s="40">
        <v>0</v>
      </c>
      <c r="AV92" s="40">
        <v>0</v>
      </c>
      <c r="AW92" s="40">
        <v>12609</v>
      </c>
      <c r="AX92" s="40">
        <v>0</v>
      </c>
      <c r="AY92" s="40">
        <v>0</v>
      </c>
      <c r="AZ92" s="1">
        <v>2475745.12</v>
      </c>
      <c r="BA92" s="1">
        <v>1262630</v>
      </c>
      <c r="BB92" s="1"/>
      <c r="BC92" s="15">
        <v>976875</v>
      </c>
      <c r="BD92" s="15">
        <v>1915441</v>
      </c>
      <c r="BE92" s="20">
        <v>6303079</v>
      </c>
      <c r="BF92" s="20">
        <v>6303079</v>
      </c>
      <c r="BG92" s="20">
        <v>16144459</v>
      </c>
      <c r="BH92" s="20">
        <v>15687727</v>
      </c>
      <c r="BI92" s="44"/>
      <c r="BJ92" s="44"/>
      <c r="BK92" s="44"/>
      <c r="BL92" s="5">
        <v>282797702</v>
      </c>
      <c r="BM92" s="5">
        <v>217822034</v>
      </c>
      <c r="BN92" s="15">
        <v>241950</v>
      </c>
      <c r="BO92" s="3"/>
      <c r="BP92" s="1"/>
      <c r="BQ92" s="1"/>
      <c r="BR92" s="5"/>
      <c r="BS92" s="5"/>
      <c r="BT92" s="5"/>
    </row>
    <row r="93" spans="1:72" x14ac:dyDescent="0.25">
      <c r="A93" s="6" t="s">
        <v>147</v>
      </c>
      <c r="B93" s="40">
        <v>346733161</v>
      </c>
      <c r="C93" s="40">
        <v>200327597</v>
      </c>
      <c r="D93" s="40">
        <v>98705377</v>
      </c>
      <c r="E93" s="40">
        <v>0</v>
      </c>
      <c r="F93" s="40">
        <v>46763860</v>
      </c>
      <c r="G93" s="40">
        <v>13695783</v>
      </c>
      <c r="H93" s="40">
        <v>16623557</v>
      </c>
      <c r="I93" s="40">
        <v>3181820</v>
      </c>
      <c r="J93" s="40">
        <v>134670</v>
      </c>
      <c r="K93" s="40">
        <v>68000</v>
      </c>
      <c r="L93" s="40">
        <v>294548767</v>
      </c>
      <c r="M93" s="40">
        <v>12023278</v>
      </c>
      <c r="N93" s="40">
        <v>2069</v>
      </c>
      <c r="O93" s="40">
        <v>609</v>
      </c>
      <c r="P93" s="40">
        <v>3624100</v>
      </c>
      <c r="Q93" s="40">
        <v>4098250</v>
      </c>
      <c r="R93" s="40">
        <v>120400</v>
      </c>
      <c r="S93" s="40">
        <v>5057172</v>
      </c>
      <c r="T93" s="40">
        <v>540303</v>
      </c>
      <c r="U93" s="40">
        <v>1208925</v>
      </c>
      <c r="V93" s="40">
        <v>3624100</v>
      </c>
      <c r="W93" s="40">
        <v>0</v>
      </c>
      <c r="X93" s="40">
        <v>120400</v>
      </c>
      <c r="Y93" s="40">
        <v>5057172</v>
      </c>
      <c r="Z93" s="40">
        <v>172014</v>
      </c>
      <c r="AA93" s="40">
        <v>1208925</v>
      </c>
      <c r="AB93" s="40">
        <v>-3587955</v>
      </c>
      <c r="AC93" s="40">
        <v>-11560</v>
      </c>
      <c r="AD93" s="40">
        <v>339177</v>
      </c>
      <c r="AE93" s="40">
        <v>19208</v>
      </c>
      <c r="AF93" s="40">
        <v>13848468</v>
      </c>
      <c r="AG93" s="40">
        <v>339170</v>
      </c>
      <c r="AH93" s="40">
        <v>5091238</v>
      </c>
      <c r="AI93" s="40">
        <v>425090</v>
      </c>
      <c r="AJ93" s="40">
        <v>33801385</v>
      </c>
      <c r="AK93" s="1">
        <v>118148637</v>
      </c>
      <c r="AL93" s="1">
        <v>3177106</v>
      </c>
      <c r="AM93" s="40">
        <v>8800</v>
      </c>
      <c r="AN93" s="40">
        <v>127390452</v>
      </c>
      <c r="AO93" s="40">
        <v>7476116</v>
      </c>
      <c r="AP93" s="40">
        <v>121083540</v>
      </c>
      <c r="AQ93" s="40">
        <v>22568033</v>
      </c>
      <c r="AR93" s="40">
        <v>21494577</v>
      </c>
      <c r="AS93" s="40">
        <v>4293376</v>
      </c>
      <c r="AT93" s="40">
        <v>2568391</v>
      </c>
      <c r="AU93" s="40">
        <v>0</v>
      </c>
      <c r="AV93" s="40">
        <v>0</v>
      </c>
      <c r="AW93" s="40">
        <v>2162677</v>
      </c>
      <c r="AX93" s="40">
        <v>6490</v>
      </c>
      <c r="AY93" s="40">
        <v>67000</v>
      </c>
      <c r="AZ93" s="1">
        <v>7337725.1799999997</v>
      </c>
      <c r="BA93" s="1">
        <v>3742240</v>
      </c>
      <c r="BB93" s="1">
        <v>8279792.75</v>
      </c>
      <c r="BC93" s="15">
        <v>2135387</v>
      </c>
      <c r="BD93" s="15">
        <v>4187032</v>
      </c>
      <c r="BE93" s="20">
        <v>60593910</v>
      </c>
      <c r="BF93" s="20">
        <v>56811271</v>
      </c>
      <c r="BG93" s="20">
        <v>51574615</v>
      </c>
      <c r="BH93" s="20">
        <v>49216399</v>
      </c>
      <c r="BI93" s="44"/>
      <c r="BJ93" s="44"/>
      <c r="BK93" s="44"/>
      <c r="BL93" s="5">
        <v>1075749489</v>
      </c>
      <c r="BM93" s="5">
        <v>842518449</v>
      </c>
      <c r="BN93" s="15">
        <v>617414</v>
      </c>
      <c r="BO93" s="3"/>
      <c r="BP93" s="1"/>
      <c r="BQ93" s="1"/>
      <c r="BR93" s="5"/>
      <c r="BS93" s="5"/>
      <c r="BT93" s="5"/>
    </row>
    <row r="94" spans="1:72" x14ac:dyDescent="0.25">
      <c r="A94" s="6" t="s">
        <v>148</v>
      </c>
      <c r="B94" s="40">
        <v>4766582135</v>
      </c>
      <c r="C94" s="40">
        <v>220169775</v>
      </c>
      <c r="D94" s="40">
        <v>413696245</v>
      </c>
      <c r="E94" s="40">
        <v>0</v>
      </c>
      <c r="F94" s="40">
        <v>97244700</v>
      </c>
      <c r="G94" s="40">
        <v>9845500</v>
      </c>
      <c r="H94" s="40">
        <v>5746000</v>
      </c>
      <c r="I94" s="40">
        <v>408000</v>
      </c>
      <c r="J94" s="40">
        <v>136000</v>
      </c>
      <c r="K94" s="40">
        <v>0</v>
      </c>
      <c r="L94" s="40">
        <v>594392075</v>
      </c>
      <c r="M94" s="40">
        <v>182732250</v>
      </c>
      <c r="N94" s="40">
        <v>3049</v>
      </c>
      <c r="O94" s="40">
        <v>307</v>
      </c>
      <c r="P94" s="40">
        <v>38179000</v>
      </c>
      <c r="Q94" s="40">
        <v>6170050</v>
      </c>
      <c r="R94" s="40">
        <v>2128500</v>
      </c>
      <c r="S94" s="40">
        <v>8887140</v>
      </c>
      <c r="T94" s="40">
        <v>2327200</v>
      </c>
      <c r="U94" s="40">
        <v>2506000</v>
      </c>
      <c r="V94" s="40">
        <v>38179000</v>
      </c>
      <c r="W94" s="40">
        <v>8943000</v>
      </c>
      <c r="X94" s="40">
        <v>2128500</v>
      </c>
      <c r="Y94" s="40">
        <v>8887140</v>
      </c>
      <c r="Z94" s="40">
        <v>4481000</v>
      </c>
      <c r="AA94" s="40">
        <v>2506000</v>
      </c>
      <c r="AB94" s="40">
        <v>-9866656</v>
      </c>
      <c r="AC94" s="40">
        <v>-53647420</v>
      </c>
      <c r="AD94" s="40">
        <v>0</v>
      </c>
      <c r="AE94" s="40">
        <v>0</v>
      </c>
      <c r="AF94" s="40">
        <v>0</v>
      </c>
      <c r="AG94" s="40">
        <v>64334</v>
      </c>
      <c r="AH94" s="3"/>
      <c r="AI94" s="40">
        <v>1189434</v>
      </c>
      <c r="AJ94" s="3"/>
      <c r="AK94" s="1">
        <v>414418808</v>
      </c>
      <c r="AL94" s="1">
        <v>15231879</v>
      </c>
      <c r="AM94" s="40">
        <v>4708552</v>
      </c>
      <c r="AN94" s="40">
        <v>46587206</v>
      </c>
      <c r="AO94" s="40">
        <v>909050</v>
      </c>
      <c r="AP94" s="40">
        <v>20756112</v>
      </c>
      <c r="AQ94" s="40">
        <v>30292243</v>
      </c>
      <c r="AR94" s="40">
        <v>20284462</v>
      </c>
      <c r="AS94" s="40">
        <v>225</v>
      </c>
      <c r="AT94" s="40">
        <v>3575309</v>
      </c>
      <c r="AU94" s="40">
        <v>0</v>
      </c>
      <c r="AV94" s="40">
        <v>0</v>
      </c>
      <c r="AW94" s="40">
        <v>14530</v>
      </c>
      <c r="AX94" s="40">
        <v>24407</v>
      </c>
      <c r="AY94" s="40">
        <v>34500</v>
      </c>
      <c r="AZ94" s="1">
        <v>25737845.149999999</v>
      </c>
      <c r="BA94" s="1">
        <v>13126301</v>
      </c>
      <c r="BB94" s="1">
        <v>14269430</v>
      </c>
      <c r="BC94" s="15">
        <v>983480</v>
      </c>
      <c r="BD94" s="15">
        <v>1928392</v>
      </c>
      <c r="BE94" s="20">
        <v>29580697</v>
      </c>
      <c r="BF94" s="20">
        <v>29580697</v>
      </c>
      <c r="BG94" s="20">
        <v>61584038</v>
      </c>
      <c r="BH94" s="20">
        <v>60288448</v>
      </c>
      <c r="BI94" s="44"/>
      <c r="BJ94" s="44"/>
      <c r="BK94" s="44"/>
      <c r="BL94" s="5">
        <v>6013055701</v>
      </c>
      <c r="BM94" s="5">
        <v>5479426088</v>
      </c>
      <c r="BN94" s="15">
        <v>1463000</v>
      </c>
      <c r="BO94" s="3"/>
      <c r="BP94" s="1"/>
      <c r="BQ94" s="1"/>
      <c r="BR94" s="5"/>
      <c r="BS94" s="5"/>
      <c r="BT94" s="5"/>
    </row>
    <row r="95" spans="1:72" x14ac:dyDescent="0.25">
      <c r="A95" s="6" t="s">
        <v>149</v>
      </c>
      <c r="B95" s="40">
        <v>260252212</v>
      </c>
      <c r="C95" s="40">
        <v>132841575</v>
      </c>
      <c r="D95" s="40">
        <v>40747800</v>
      </c>
      <c r="E95" s="40">
        <v>0</v>
      </c>
      <c r="F95" s="40">
        <v>18918400</v>
      </c>
      <c r="G95" s="40">
        <v>4354700</v>
      </c>
      <c r="H95" s="40">
        <v>9888000</v>
      </c>
      <c r="I95" s="40">
        <v>1010600</v>
      </c>
      <c r="J95" s="40">
        <v>34000</v>
      </c>
      <c r="K95" s="40">
        <v>0</v>
      </c>
      <c r="L95" s="40">
        <v>300615143</v>
      </c>
      <c r="M95" s="40">
        <v>315200</v>
      </c>
      <c r="N95" s="40">
        <v>887</v>
      </c>
      <c r="O95" s="40">
        <v>174</v>
      </c>
      <c r="P95" s="40">
        <v>3965500</v>
      </c>
      <c r="Q95" s="40">
        <v>3593530</v>
      </c>
      <c r="R95" s="40">
        <v>603900</v>
      </c>
      <c r="S95" s="40">
        <v>4199225</v>
      </c>
      <c r="T95" s="40">
        <v>842100</v>
      </c>
      <c r="U95" s="40">
        <v>554200</v>
      </c>
      <c r="V95" s="40">
        <v>3965500</v>
      </c>
      <c r="W95" s="40">
        <v>4153900</v>
      </c>
      <c r="X95" s="40">
        <v>603900</v>
      </c>
      <c r="Y95" s="40">
        <v>4199225</v>
      </c>
      <c r="Z95" s="40">
        <v>1710600</v>
      </c>
      <c r="AA95" s="40">
        <v>554200</v>
      </c>
      <c r="AB95" s="40">
        <v>-459100</v>
      </c>
      <c r="AC95" s="40">
        <v>-2100</v>
      </c>
      <c r="AD95" s="40">
        <v>71498</v>
      </c>
      <c r="AE95" s="40">
        <v>0</v>
      </c>
      <c r="AF95" s="40">
        <v>0</v>
      </c>
      <c r="AG95" s="40">
        <v>200075</v>
      </c>
      <c r="AH95" s="3"/>
      <c r="AI95" s="3"/>
      <c r="AJ95" s="3"/>
      <c r="AK95" s="1">
        <v>66981837</v>
      </c>
      <c r="AL95" s="1">
        <v>2763100</v>
      </c>
      <c r="AM95" s="40">
        <v>20000</v>
      </c>
      <c r="AN95" s="40">
        <v>10553915</v>
      </c>
      <c r="AO95" s="40">
        <v>206298</v>
      </c>
      <c r="AP95" s="40">
        <v>4866424</v>
      </c>
      <c r="AQ95" s="40">
        <v>4755497</v>
      </c>
      <c r="AR95" s="40">
        <v>5837780</v>
      </c>
      <c r="AS95" s="40">
        <v>0</v>
      </c>
      <c r="AT95" s="40">
        <v>805015</v>
      </c>
      <c r="AU95" s="40">
        <v>0</v>
      </c>
      <c r="AV95" s="40">
        <v>17395</v>
      </c>
      <c r="AW95" s="40">
        <v>0</v>
      </c>
      <c r="AX95" s="40">
        <v>0</v>
      </c>
      <c r="AY95" s="40">
        <v>152500</v>
      </c>
      <c r="AZ95" s="1">
        <v>4159965.99</v>
      </c>
      <c r="BA95" s="1">
        <v>2121583</v>
      </c>
      <c r="BB95" s="1">
        <v>4360103.63</v>
      </c>
      <c r="BC95" s="15">
        <v>0</v>
      </c>
      <c r="BD95" s="15">
        <v>0</v>
      </c>
      <c r="BE95" s="20">
        <v>80265449</v>
      </c>
      <c r="BF95" s="20">
        <v>80265449</v>
      </c>
      <c r="BG95" s="20">
        <v>43395692</v>
      </c>
      <c r="BH95" s="20">
        <v>43316575</v>
      </c>
      <c r="BI95" s="44"/>
      <c r="BJ95" s="44"/>
      <c r="BK95" s="44"/>
      <c r="BL95" s="5">
        <v>644805841</v>
      </c>
      <c r="BM95" s="5">
        <v>449357297</v>
      </c>
      <c r="BN95" s="15">
        <v>246300</v>
      </c>
      <c r="BO95" s="3"/>
      <c r="BP95" s="1"/>
      <c r="BQ95" s="1"/>
      <c r="BR95" s="5"/>
      <c r="BS95" s="5"/>
      <c r="BT95" s="5"/>
    </row>
    <row r="96" spans="1:72" x14ac:dyDescent="0.25">
      <c r="A96" s="6" t="s">
        <v>150</v>
      </c>
      <c r="B96" s="40">
        <v>33238672</v>
      </c>
      <c r="C96" s="40">
        <v>32783252</v>
      </c>
      <c r="D96" s="40">
        <v>10350130</v>
      </c>
      <c r="E96" s="40">
        <v>0</v>
      </c>
      <c r="F96" s="40">
        <v>7660700</v>
      </c>
      <c r="G96" s="40">
        <v>7425400</v>
      </c>
      <c r="H96" s="40">
        <v>5813600</v>
      </c>
      <c r="I96" s="40">
        <v>2945100</v>
      </c>
      <c r="J96" s="40">
        <v>26000</v>
      </c>
      <c r="K96" s="40">
        <v>0</v>
      </c>
      <c r="L96" s="40">
        <v>19875462</v>
      </c>
      <c r="M96" s="40">
        <v>20900722</v>
      </c>
      <c r="N96" s="56">
        <v>462</v>
      </c>
      <c r="O96" s="56">
        <v>324</v>
      </c>
      <c r="P96" s="40">
        <v>1062200</v>
      </c>
      <c r="Q96" s="40">
        <v>466000</v>
      </c>
      <c r="R96" s="40">
        <v>5000</v>
      </c>
      <c r="S96" s="40">
        <v>508100</v>
      </c>
      <c r="T96" s="40">
        <v>391500</v>
      </c>
      <c r="U96" s="40">
        <v>0</v>
      </c>
      <c r="V96" s="40">
        <v>1062200</v>
      </c>
      <c r="W96" s="40">
        <v>466000</v>
      </c>
      <c r="X96" s="40">
        <v>5000</v>
      </c>
      <c r="Y96" s="40">
        <v>508100</v>
      </c>
      <c r="Z96" s="40">
        <v>391500</v>
      </c>
      <c r="AA96" s="40">
        <v>0</v>
      </c>
      <c r="AB96" s="40">
        <v>-1777462</v>
      </c>
      <c r="AC96" s="40">
        <v>-7762</v>
      </c>
      <c r="AD96" s="40">
        <v>49669</v>
      </c>
      <c r="AE96" s="40">
        <v>0</v>
      </c>
      <c r="AF96" s="40">
        <v>0</v>
      </c>
      <c r="AG96" s="40">
        <v>105058</v>
      </c>
      <c r="AH96" s="40">
        <v>0</v>
      </c>
      <c r="AI96" s="40">
        <v>521426</v>
      </c>
      <c r="AJ96" s="40">
        <v>516836</v>
      </c>
      <c r="AK96" s="1">
        <v>17561287</v>
      </c>
      <c r="AL96" s="1">
        <v>431158</v>
      </c>
      <c r="AM96" s="40">
        <v>0</v>
      </c>
      <c r="AN96" s="40">
        <v>2572018</v>
      </c>
      <c r="AO96" s="40">
        <v>7133</v>
      </c>
      <c r="AP96" s="40">
        <v>995281</v>
      </c>
      <c r="AQ96" s="40">
        <v>1063988</v>
      </c>
      <c r="AR96" s="40">
        <v>42832</v>
      </c>
      <c r="AS96" s="40">
        <v>0</v>
      </c>
      <c r="AT96" s="40">
        <v>0</v>
      </c>
      <c r="AU96" s="40">
        <v>0</v>
      </c>
      <c r="AV96" s="40">
        <v>0</v>
      </c>
      <c r="AW96" s="40">
        <v>0</v>
      </c>
      <c r="AX96" s="40">
        <v>0</v>
      </c>
      <c r="AY96" s="40">
        <v>0</v>
      </c>
      <c r="AZ96" s="1">
        <v>1090659.2</v>
      </c>
      <c r="BA96" s="1">
        <v>556236</v>
      </c>
      <c r="BB96" s="1"/>
      <c r="BC96" s="15">
        <v>0</v>
      </c>
      <c r="BD96" s="15">
        <v>0</v>
      </c>
      <c r="BE96" s="20">
        <v>648932</v>
      </c>
      <c r="BF96" s="20">
        <v>648932</v>
      </c>
      <c r="BG96" s="20">
        <v>16995921</v>
      </c>
      <c r="BH96" s="20">
        <v>16974620</v>
      </c>
      <c r="BI96" s="44"/>
      <c r="BJ96" s="44"/>
      <c r="BK96" s="44"/>
      <c r="BL96" s="5">
        <v>117225688</v>
      </c>
      <c r="BM96" s="5">
        <v>81053455</v>
      </c>
      <c r="BN96" s="15">
        <v>270800</v>
      </c>
      <c r="BO96" s="3"/>
      <c r="BP96" s="1"/>
      <c r="BQ96" s="1"/>
      <c r="BR96" s="5"/>
      <c r="BS96" s="5"/>
      <c r="BT96" s="5"/>
    </row>
    <row r="97" spans="1:72" x14ac:dyDescent="0.25">
      <c r="A97" s="6" t="s">
        <v>151</v>
      </c>
      <c r="B97" s="40">
        <v>299868082</v>
      </c>
      <c r="C97" s="40">
        <v>163683734</v>
      </c>
      <c r="D97" s="40">
        <v>59117849</v>
      </c>
      <c r="E97" s="40">
        <v>0</v>
      </c>
      <c r="F97" s="40">
        <v>22454500</v>
      </c>
      <c r="G97" s="40">
        <v>6282700</v>
      </c>
      <c r="H97" s="40">
        <v>13557220</v>
      </c>
      <c r="I97" s="40">
        <v>1754300</v>
      </c>
      <c r="J97" s="40">
        <v>34000</v>
      </c>
      <c r="K97" s="40">
        <v>34000</v>
      </c>
      <c r="L97" s="40">
        <v>254555986</v>
      </c>
      <c r="M97" s="40">
        <v>124454977</v>
      </c>
      <c r="N97" s="40">
        <v>1104</v>
      </c>
      <c r="O97" s="40">
        <v>253</v>
      </c>
      <c r="P97" s="40">
        <v>3241764</v>
      </c>
      <c r="Q97" s="40">
        <v>5509905</v>
      </c>
      <c r="R97" s="40">
        <v>373900</v>
      </c>
      <c r="S97" s="40">
        <v>9489311</v>
      </c>
      <c r="T97" s="40">
        <v>3188974</v>
      </c>
      <c r="U97" s="40">
        <v>814750</v>
      </c>
      <c r="V97" s="40">
        <v>3241764</v>
      </c>
      <c r="W97" s="40">
        <v>7133350</v>
      </c>
      <c r="X97" s="40">
        <v>373900</v>
      </c>
      <c r="Y97" s="40">
        <v>9489311</v>
      </c>
      <c r="Z97" s="40">
        <v>12285699</v>
      </c>
      <c r="AA97" s="40">
        <v>814750</v>
      </c>
      <c r="AB97" s="40">
        <v>-1287200</v>
      </c>
      <c r="AC97" s="40">
        <v>-25767</v>
      </c>
      <c r="AD97" s="40">
        <v>62</v>
      </c>
      <c r="AE97" s="40">
        <v>0</v>
      </c>
      <c r="AF97" s="40">
        <v>0</v>
      </c>
      <c r="AG97" s="40">
        <v>156806</v>
      </c>
      <c r="AH97" s="3"/>
      <c r="AI97" s="40">
        <v>2528959</v>
      </c>
      <c r="AJ97" s="3"/>
      <c r="AK97" s="1">
        <v>84516170</v>
      </c>
      <c r="AL97" s="1">
        <v>2071843</v>
      </c>
      <c r="AM97" s="40">
        <v>0</v>
      </c>
      <c r="AN97" s="40">
        <v>16510576</v>
      </c>
      <c r="AO97" s="40">
        <v>3375966</v>
      </c>
      <c r="AP97" s="40">
        <v>71063088</v>
      </c>
      <c r="AQ97" s="40">
        <v>6078816</v>
      </c>
      <c r="AR97" s="40">
        <v>6303253</v>
      </c>
      <c r="AS97" s="40">
        <v>1334734</v>
      </c>
      <c r="AT97" s="40">
        <v>219039</v>
      </c>
      <c r="AU97" s="40">
        <v>0</v>
      </c>
      <c r="AV97" s="40">
        <v>0</v>
      </c>
      <c r="AW97" s="40">
        <v>0</v>
      </c>
      <c r="AX97" s="40">
        <v>674104</v>
      </c>
      <c r="AY97" s="40">
        <v>655585</v>
      </c>
      <c r="AZ97" s="1">
        <v>5248951.1900000004</v>
      </c>
      <c r="BA97" s="1">
        <v>2676965</v>
      </c>
      <c r="BB97" s="1">
        <v>2994818.65</v>
      </c>
      <c r="BC97" s="15">
        <v>2747667</v>
      </c>
      <c r="BD97" s="15">
        <v>5387583</v>
      </c>
      <c r="BE97" s="20">
        <v>10449693</v>
      </c>
      <c r="BF97" s="20">
        <v>10449693</v>
      </c>
      <c r="BG97" s="20">
        <v>50156100</v>
      </c>
      <c r="BH97" s="20">
        <v>45418113</v>
      </c>
      <c r="BI97" s="44"/>
      <c r="BJ97" s="44"/>
      <c r="BK97" s="44"/>
      <c r="BL97" s="5">
        <v>699044433</v>
      </c>
      <c r="BM97" s="5">
        <v>551163982</v>
      </c>
      <c r="BN97" s="15">
        <v>455525</v>
      </c>
      <c r="BO97" s="3"/>
      <c r="BP97" s="1"/>
      <c r="BQ97" s="1"/>
      <c r="BR97" s="5"/>
      <c r="BS97" s="5"/>
      <c r="BT97" s="5"/>
    </row>
    <row r="98" spans="1:72" x14ac:dyDescent="0.25">
      <c r="A98" s="6" t="s">
        <v>152</v>
      </c>
      <c r="B98" s="40">
        <v>436032878</v>
      </c>
      <c r="C98" s="40">
        <v>57438174</v>
      </c>
      <c r="D98" s="40">
        <v>273173608</v>
      </c>
      <c r="E98" s="40">
        <v>0</v>
      </c>
      <c r="F98" s="40">
        <v>60832400</v>
      </c>
      <c r="G98" s="40">
        <v>41856813</v>
      </c>
      <c r="H98" s="40">
        <v>11982700</v>
      </c>
      <c r="I98" s="40">
        <v>4360200</v>
      </c>
      <c r="J98" s="40">
        <v>567800</v>
      </c>
      <c r="K98" s="40">
        <v>136000</v>
      </c>
      <c r="L98" s="40">
        <v>59392620</v>
      </c>
      <c r="M98" s="40">
        <v>41192434</v>
      </c>
      <c r="N98" s="40">
        <v>2408</v>
      </c>
      <c r="O98" s="40">
        <v>1654</v>
      </c>
      <c r="P98" s="40">
        <v>538000</v>
      </c>
      <c r="Q98" s="40">
        <v>0</v>
      </c>
      <c r="R98" s="40">
        <v>1030000</v>
      </c>
      <c r="S98" s="40">
        <v>1030800</v>
      </c>
      <c r="T98" s="40">
        <v>73200</v>
      </c>
      <c r="U98" s="40">
        <v>220000</v>
      </c>
      <c r="V98" s="40">
        <v>538000</v>
      </c>
      <c r="W98" s="40">
        <v>0</v>
      </c>
      <c r="X98" s="40">
        <v>1030000</v>
      </c>
      <c r="Y98" s="40">
        <v>1030800</v>
      </c>
      <c r="Z98" s="40">
        <v>15000</v>
      </c>
      <c r="AA98" s="40">
        <v>220000</v>
      </c>
      <c r="AB98" s="40">
        <v>-6885700</v>
      </c>
      <c r="AC98" s="40">
        <v>-2009892</v>
      </c>
      <c r="AD98" s="40">
        <v>148685</v>
      </c>
      <c r="AE98" s="40">
        <v>35</v>
      </c>
      <c r="AF98" s="40">
        <v>0</v>
      </c>
      <c r="AG98" s="40">
        <v>171925</v>
      </c>
      <c r="AH98" s="40">
        <v>12897041</v>
      </c>
      <c r="AI98" s="40">
        <v>99943303</v>
      </c>
      <c r="AJ98" s="40">
        <v>237190582</v>
      </c>
      <c r="AK98" s="1">
        <v>191752469</v>
      </c>
      <c r="AL98" s="1">
        <v>4913519</v>
      </c>
      <c r="AM98" s="40">
        <v>96000</v>
      </c>
      <c r="AN98" s="40">
        <v>270725065</v>
      </c>
      <c r="AO98" s="40">
        <v>14803313</v>
      </c>
      <c r="AP98" s="40">
        <v>62256025</v>
      </c>
      <c r="AQ98" s="40">
        <v>51754010</v>
      </c>
      <c r="AR98" s="40">
        <v>29327602</v>
      </c>
      <c r="AS98" s="40">
        <v>498962</v>
      </c>
      <c r="AT98" s="40">
        <v>112385</v>
      </c>
      <c r="AU98" s="40">
        <v>0</v>
      </c>
      <c r="AV98" s="40">
        <v>0</v>
      </c>
      <c r="AW98" s="40">
        <v>37276147</v>
      </c>
      <c r="AX98" s="40">
        <v>18297</v>
      </c>
      <c r="AY98" s="40">
        <v>20734875</v>
      </c>
      <c r="AZ98" s="1">
        <v>11908956.01</v>
      </c>
      <c r="BA98" s="1">
        <v>6073568</v>
      </c>
      <c r="BB98" s="1"/>
      <c r="BC98" s="15">
        <v>6886341</v>
      </c>
      <c r="BD98" s="15">
        <v>13502629</v>
      </c>
      <c r="BE98" s="20">
        <v>13664025</v>
      </c>
      <c r="BF98" s="20">
        <v>13664025</v>
      </c>
      <c r="BG98" s="20">
        <v>82422543</v>
      </c>
      <c r="BH98" s="20">
        <v>74737821</v>
      </c>
      <c r="BI98" s="44"/>
      <c r="BJ98" s="44"/>
      <c r="BK98" s="44"/>
      <c r="BL98" s="5">
        <v>1751985717</v>
      </c>
      <c r="BM98" s="5">
        <v>1453957974</v>
      </c>
      <c r="BN98" s="15">
        <v>1160600</v>
      </c>
      <c r="BO98" s="3"/>
      <c r="BP98" s="1"/>
      <c r="BQ98" s="1"/>
      <c r="BR98" s="5"/>
      <c r="BS98" s="5"/>
      <c r="BT98" s="5"/>
    </row>
    <row r="99" spans="1:72" x14ac:dyDescent="0.25">
      <c r="A99" s="6" t="s">
        <v>153</v>
      </c>
      <c r="B99" s="40">
        <v>946185414</v>
      </c>
      <c r="C99" s="40">
        <v>148296830</v>
      </c>
      <c r="D99" s="40">
        <v>379693166</v>
      </c>
      <c r="E99" s="40">
        <v>0</v>
      </c>
      <c r="F99" s="40">
        <v>132404200</v>
      </c>
      <c r="G99" s="40">
        <v>122986950</v>
      </c>
      <c r="H99" s="40">
        <v>29370650</v>
      </c>
      <c r="I99" s="40">
        <v>18308950</v>
      </c>
      <c r="J99" s="40">
        <v>578000</v>
      </c>
      <c r="K99" s="40">
        <v>238000</v>
      </c>
      <c r="L99" s="40">
        <v>147806876</v>
      </c>
      <c r="M99" s="40">
        <v>150342971</v>
      </c>
      <c r="N99" s="40">
        <v>5535</v>
      </c>
      <c r="O99" s="40">
        <v>5289</v>
      </c>
      <c r="P99" s="40">
        <v>10329154</v>
      </c>
      <c r="Q99" s="40">
        <v>999300</v>
      </c>
      <c r="R99" s="40">
        <v>3468100</v>
      </c>
      <c r="S99" s="40">
        <v>9756850</v>
      </c>
      <c r="T99" s="40">
        <v>1136300</v>
      </c>
      <c r="U99" s="40">
        <v>2310867</v>
      </c>
      <c r="V99" s="40">
        <v>10329154</v>
      </c>
      <c r="W99" s="40">
        <v>1659100</v>
      </c>
      <c r="X99" s="40">
        <v>3468100</v>
      </c>
      <c r="Y99" s="40">
        <v>9756850</v>
      </c>
      <c r="Z99" s="40">
        <v>1703700</v>
      </c>
      <c r="AA99" s="40">
        <v>2310867</v>
      </c>
      <c r="AB99" s="40">
        <v>-7004800</v>
      </c>
      <c r="AC99" s="40">
        <v>-65044</v>
      </c>
      <c r="AD99" s="40">
        <v>374980</v>
      </c>
      <c r="AE99" s="40">
        <v>0</v>
      </c>
      <c r="AF99" s="40">
        <v>0</v>
      </c>
      <c r="AG99" s="40">
        <v>484866</v>
      </c>
      <c r="AH99" s="40">
        <v>8186951</v>
      </c>
      <c r="AI99" s="40">
        <v>400778221</v>
      </c>
      <c r="AJ99" s="40">
        <v>357739662</v>
      </c>
      <c r="AK99" s="1">
        <v>443756843</v>
      </c>
      <c r="AL99" s="1">
        <v>9686082</v>
      </c>
      <c r="AM99" s="40">
        <v>0</v>
      </c>
      <c r="AN99" s="40">
        <v>449641094</v>
      </c>
      <c r="AO99" s="40">
        <v>13341155</v>
      </c>
      <c r="AP99" s="40">
        <v>199063191</v>
      </c>
      <c r="AQ99" s="40">
        <v>104216738</v>
      </c>
      <c r="AR99" s="40">
        <v>60966191</v>
      </c>
      <c r="AS99" s="40">
        <v>4205085</v>
      </c>
      <c r="AT99" s="40">
        <v>48127</v>
      </c>
      <c r="AU99" s="40">
        <v>0</v>
      </c>
      <c r="AV99" s="40">
        <v>0</v>
      </c>
      <c r="AW99" s="40">
        <v>0</v>
      </c>
      <c r="AX99" s="40">
        <v>31104</v>
      </c>
      <c r="AY99" s="40">
        <v>4031134</v>
      </c>
      <c r="AZ99" s="1">
        <v>27559909.66</v>
      </c>
      <c r="BA99" s="1">
        <v>14055554</v>
      </c>
      <c r="BB99" s="1"/>
      <c r="BC99" s="15">
        <v>7325571</v>
      </c>
      <c r="BD99" s="15">
        <v>14363865</v>
      </c>
      <c r="BE99" s="20">
        <v>41889727</v>
      </c>
      <c r="BF99" s="20">
        <v>41889727</v>
      </c>
      <c r="BG99" s="20">
        <v>197811276</v>
      </c>
      <c r="BH99" s="20">
        <v>188608761</v>
      </c>
      <c r="BI99" s="44"/>
      <c r="BJ99" s="44"/>
      <c r="BK99" s="44"/>
      <c r="BL99" s="5">
        <v>3513401769</v>
      </c>
      <c r="BM99" s="5">
        <v>2808079231</v>
      </c>
      <c r="BN99" s="15">
        <v>13101944</v>
      </c>
      <c r="BO99" s="3"/>
      <c r="BP99" s="1"/>
      <c r="BQ99" s="1"/>
      <c r="BR99" s="5"/>
      <c r="BS99" s="5"/>
      <c r="BT99" s="5"/>
    </row>
    <row r="100" spans="1:72" x14ac:dyDescent="0.25">
      <c r="A100" s="6" t="s">
        <v>154</v>
      </c>
      <c r="B100" s="40">
        <v>235916930</v>
      </c>
      <c r="C100" s="40">
        <v>53202385</v>
      </c>
      <c r="D100" s="40">
        <v>76348777</v>
      </c>
      <c r="E100" s="40">
        <v>0</v>
      </c>
      <c r="F100" s="40">
        <v>22716902</v>
      </c>
      <c r="G100" s="40">
        <v>12160075</v>
      </c>
      <c r="H100" s="40">
        <v>4438667</v>
      </c>
      <c r="I100" s="40">
        <v>1494735</v>
      </c>
      <c r="J100" s="40">
        <v>34000</v>
      </c>
      <c r="K100" s="40">
        <v>0</v>
      </c>
      <c r="L100" s="40">
        <v>26138834</v>
      </c>
      <c r="M100" s="40">
        <v>26339459</v>
      </c>
      <c r="N100" s="40">
        <v>916</v>
      </c>
      <c r="O100" s="40">
        <v>474</v>
      </c>
      <c r="P100" s="40">
        <v>3176560</v>
      </c>
      <c r="Q100" s="40">
        <v>366300</v>
      </c>
      <c r="R100" s="40">
        <v>617200</v>
      </c>
      <c r="S100" s="40">
        <v>1475826</v>
      </c>
      <c r="T100" s="40">
        <v>811472</v>
      </c>
      <c r="U100" s="40">
        <v>194125</v>
      </c>
      <c r="V100" s="40">
        <v>3176560</v>
      </c>
      <c r="W100" s="40">
        <v>370840</v>
      </c>
      <c r="X100" s="40">
        <v>617200</v>
      </c>
      <c r="Y100" s="40">
        <v>1475826</v>
      </c>
      <c r="Z100" s="40">
        <v>930628</v>
      </c>
      <c r="AA100" s="40">
        <v>194125</v>
      </c>
      <c r="AB100" s="40">
        <v>-2361987</v>
      </c>
      <c r="AC100" s="40">
        <v>0</v>
      </c>
      <c r="AD100" s="40">
        <v>64728</v>
      </c>
      <c r="AE100" s="40">
        <v>0</v>
      </c>
      <c r="AF100" s="40">
        <v>0</v>
      </c>
      <c r="AG100" s="40">
        <v>79263</v>
      </c>
      <c r="AH100" s="40">
        <v>272131</v>
      </c>
      <c r="AI100" s="40">
        <v>393131</v>
      </c>
      <c r="AJ100" s="3"/>
      <c r="AK100" s="1">
        <v>68103396</v>
      </c>
      <c r="AL100" s="1">
        <v>1470745</v>
      </c>
      <c r="AM100" s="40">
        <v>0</v>
      </c>
      <c r="AN100" s="40">
        <v>7427911</v>
      </c>
      <c r="AO100" s="40">
        <v>56392</v>
      </c>
      <c r="AP100" s="40">
        <v>9844768</v>
      </c>
      <c r="AQ100" s="40">
        <v>10078510</v>
      </c>
      <c r="AR100" s="40">
        <v>4345727</v>
      </c>
      <c r="AS100" s="40">
        <v>0</v>
      </c>
      <c r="AT100" s="40">
        <v>0</v>
      </c>
      <c r="AU100" s="40">
        <v>0</v>
      </c>
      <c r="AV100" s="40">
        <v>0</v>
      </c>
      <c r="AW100" s="40">
        <v>0</v>
      </c>
      <c r="AX100" s="40">
        <v>3093336</v>
      </c>
      <c r="AY100" s="40">
        <v>166500</v>
      </c>
      <c r="AZ100" s="1">
        <v>4229621.4000000004</v>
      </c>
      <c r="BA100" s="1">
        <v>2157107</v>
      </c>
      <c r="BB100" s="1"/>
      <c r="BC100" s="15">
        <v>0</v>
      </c>
      <c r="BD100" s="15">
        <v>0</v>
      </c>
      <c r="BE100" s="20">
        <v>8809544</v>
      </c>
      <c r="BF100" s="20">
        <v>8809544</v>
      </c>
      <c r="BG100" s="20">
        <v>40136153</v>
      </c>
      <c r="BH100" s="20">
        <v>40087466</v>
      </c>
      <c r="BI100" s="44"/>
      <c r="BJ100" s="44"/>
      <c r="BK100" s="44"/>
      <c r="BL100" s="5">
        <v>504324425</v>
      </c>
      <c r="BM100" s="5">
        <v>383696167</v>
      </c>
      <c r="BN100" s="15">
        <v>798527</v>
      </c>
      <c r="BO100" s="3"/>
      <c r="BP100" s="1"/>
      <c r="BQ100" s="1"/>
      <c r="BR100" s="5"/>
      <c r="BS100" s="5"/>
      <c r="BT100" s="5"/>
    </row>
    <row r="101" spans="1:72" x14ac:dyDescent="0.25">
      <c r="A101" s="6" t="s">
        <v>155</v>
      </c>
      <c r="B101" s="40">
        <v>2037591100</v>
      </c>
      <c r="C101" s="40">
        <v>319591543</v>
      </c>
      <c r="D101" s="40">
        <v>708952525</v>
      </c>
      <c r="E101" s="59">
        <v>0</v>
      </c>
      <c r="F101" s="40">
        <v>156630687</v>
      </c>
      <c r="G101" s="40">
        <v>35873078</v>
      </c>
      <c r="H101" s="40">
        <v>33156600</v>
      </c>
      <c r="I101" s="40">
        <v>4075200</v>
      </c>
      <c r="J101" s="40">
        <v>306000</v>
      </c>
      <c r="K101" s="40">
        <v>68000</v>
      </c>
      <c r="L101" s="40">
        <v>645093695</v>
      </c>
      <c r="M101" s="40">
        <v>208519303</v>
      </c>
      <c r="N101" s="40">
        <v>5838</v>
      </c>
      <c r="O101" s="40">
        <v>1314</v>
      </c>
      <c r="P101" s="40">
        <v>14931560</v>
      </c>
      <c r="Q101" s="40">
        <v>1247000</v>
      </c>
      <c r="R101" s="40">
        <v>3655000</v>
      </c>
      <c r="S101" s="40">
        <v>2164775</v>
      </c>
      <c r="T101" s="40">
        <v>185500</v>
      </c>
      <c r="U101" s="40">
        <v>231000</v>
      </c>
      <c r="V101" s="40">
        <v>14931560</v>
      </c>
      <c r="W101" s="40">
        <v>1335000</v>
      </c>
      <c r="X101" s="40">
        <v>3655000</v>
      </c>
      <c r="Y101" s="40">
        <v>2164775</v>
      </c>
      <c r="Z101" s="40">
        <v>425000</v>
      </c>
      <c r="AA101" s="40">
        <v>231000</v>
      </c>
      <c r="AB101" s="40">
        <v>-19999280</v>
      </c>
      <c r="AC101" s="40">
        <v>-1550778</v>
      </c>
      <c r="AD101" s="40">
        <v>0</v>
      </c>
      <c r="AE101" s="40">
        <v>0</v>
      </c>
      <c r="AF101" s="40">
        <v>0</v>
      </c>
      <c r="AG101" s="40">
        <v>0</v>
      </c>
      <c r="AH101" s="40">
        <v>242787</v>
      </c>
      <c r="AI101" s="40">
        <v>840705</v>
      </c>
      <c r="AJ101" s="40">
        <v>1623</v>
      </c>
      <c r="AK101" s="1">
        <v>368889493</v>
      </c>
      <c r="AL101" s="1">
        <v>28095118</v>
      </c>
      <c r="AM101" s="40">
        <v>9162654</v>
      </c>
      <c r="AN101" s="40">
        <v>135015106</v>
      </c>
      <c r="AO101" s="40">
        <v>13093573</v>
      </c>
      <c r="AP101" s="40">
        <v>166496737</v>
      </c>
      <c r="AQ101" s="40">
        <v>101878545</v>
      </c>
      <c r="AR101" s="40">
        <v>78184979</v>
      </c>
      <c r="AS101" s="40">
        <v>567676</v>
      </c>
      <c r="AT101" s="40">
        <v>4891637</v>
      </c>
      <c r="AU101" s="40">
        <v>0</v>
      </c>
      <c r="AV101" s="40">
        <v>39343</v>
      </c>
      <c r="AW101" s="40">
        <v>1452206</v>
      </c>
      <c r="AX101" s="40">
        <v>4806953</v>
      </c>
      <c r="AY101" s="40">
        <v>2957651</v>
      </c>
      <c r="AZ101" s="1">
        <v>22910206.93</v>
      </c>
      <c r="BA101" s="1">
        <v>11684206</v>
      </c>
      <c r="BB101" s="1"/>
      <c r="BC101" s="15">
        <v>4998641</v>
      </c>
      <c r="BD101" s="15">
        <v>9801256</v>
      </c>
      <c r="BE101" s="20">
        <v>47602848</v>
      </c>
      <c r="BF101" s="20">
        <v>47602848</v>
      </c>
      <c r="BG101" s="20">
        <v>133244336</v>
      </c>
      <c r="BH101" s="20">
        <v>121156244</v>
      </c>
      <c r="BI101" s="44"/>
      <c r="BJ101" s="44"/>
      <c r="BK101" s="44"/>
      <c r="BL101" s="5">
        <v>3899634057</v>
      </c>
      <c r="BM101" s="5">
        <v>3317207507</v>
      </c>
      <c r="BN101" s="15">
        <v>4709500</v>
      </c>
      <c r="BO101" s="3"/>
      <c r="BP101" s="1"/>
      <c r="BQ101" s="1"/>
      <c r="BR101" s="5"/>
      <c r="BS101" s="5"/>
      <c r="BT101" s="5"/>
    </row>
    <row r="102" spans="1:72" x14ac:dyDescent="0.25">
      <c r="A102" s="6" t="s">
        <v>156</v>
      </c>
      <c r="B102" s="40">
        <v>19951179</v>
      </c>
      <c r="C102" s="40">
        <v>34404827</v>
      </c>
      <c r="D102" s="40">
        <v>3433801</v>
      </c>
      <c r="E102" s="40">
        <v>0</v>
      </c>
      <c r="F102" s="40">
        <v>3560738</v>
      </c>
      <c r="G102" s="40">
        <v>997450</v>
      </c>
      <c r="H102" s="40">
        <v>3256404</v>
      </c>
      <c r="I102" s="40">
        <v>711747</v>
      </c>
      <c r="J102" s="40">
        <v>0</v>
      </c>
      <c r="K102" s="40">
        <v>0</v>
      </c>
      <c r="L102" s="40">
        <v>51577444</v>
      </c>
      <c r="M102" s="40">
        <v>19512843</v>
      </c>
      <c r="N102" s="40">
        <v>212</v>
      </c>
      <c r="O102" s="40">
        <v>56</v>
      </c>
      <c r="P102" s="40">
        <v>464689</v>
      </c>
      <c r="Q102" s="40">
        <v>270902</v>
      </c>
      <c r="R102" s="40">
        <v>0</v>
      </c>
      <c r="S102" s="40">
        <v>112031</v>
      </c>
      <c r="T102" s="40">
        <v>137408</v>
      </c>
      <c r="U102" s="40">
        <v>0</v>
      </c>
      <c r="V102" s="40">
        <v>464689</v>
      </c>
      <c r="W102" s="40">
        <v>281050</v>
      </c>
      <c r="X102" s="40">
        <v>0</v>
      </c>
      <c r="Y102" s="40">
        <v>112031</v>
      </c>
      <c r="Z102" s="40">
        <v>157452</v>
      </c>
      <c r="AA102" s="40">
        <v>0</v>
      </c>
      <c r="AB102" s="40">
        <v>-374104</v>
      </c>
      <c r="AC102" s="40">
        <v>0</v>
      </c>
      <c r="AD102" s="40">
        <v>0</v>
      </c>
      <c r="AE102" s="40">
        <v>0</v>
      </c>
      <c r="AF102" s="40">
        <v>0</v>
      </c>
      <c r="AG102" s="40">
        <v>0</v>
      </c>
      <c r="AH102" s="3"/>
      <c r="AI102" s="3"/>
      <c r="AJ102" s="3"/>
      <c r="AK102" s="1">
        <v>11769506</v>
      </c>
      <c r="AL102" s="1">
        <v>294324</v>
      </c>
      <c r="AM102" s="40">
        <v>0</v>
      </c>
      <c r="AN102" s="40">
        <v>766362</v>
      </c>
      <c r="AO102" s="40">
        <v>22354</v>
      </c>
      <c r="AP102" s="40">
        <v>1215</v>
      </c>
      <c r="AQ102" s="40">
        <v>231121</v>
      </c>
      <c r="AR102" s="40">
        <v>10500</v>
      </c>
      <c r="AS102" s="40">
        <v>0</v>
      </c>
      <c r="AT102" s="40">
        <v>0</v>
      </c>
      <c r="AU102" s="40">
        <v>0</v>
      </c>
      <c r="AV102" s="40">
        <v>0</v>
      </c>
      <c r="AW102" s="40">
        <v>0</v>
      </c>
      <c r="AX102" s="40">
        <v>0</v>
      </c>
      <c r="AY102" s="40">
        <v>0</v>
      </c>
      <c r="AZ102" s="1">
        <v>730955.54</v>
      </c>
      <c r="BA102" s="1">
        <v>372787</v>
      </c>
      <c r="BB102" s="1"/>
      <c r="BC102" s="15">
        <v>0</v>
      </c>
      <c r="BD102" s="15">
        <v>0</v>
      </c>
      <c r="BE102" s="20">
        <v>2436832</v>
      </c>
      <c r="BF102" s="20">
        <v>2436832</v>
      </c>
      <c r="BG102" s="20">
        <v>9457943</v>
      </c>
      <c r="BH102" s="20">
        <v>9457943</v>
      </c>
      <c r="BI102" s="44"/>
      <c r="BJ102" s="44"/>
      <c r="BK102" s="44"/>
      <c r="BL102" s="5">
        <v>83141036</v>
      </c>
      <c r="BM102" s="5">
        <v>58809644</v>
      </c>
      <c r="BN102" s="15">
        <v>71800</v>
      </c>
      <c r="BO102" s="3"/>
      <c r="BP102" s="1"/>
      <c r="BQ102" s="1"/>
      <c r="BR102" s="5"/>
      <c r="BS102" s="5"/>
      <c r="BT102" s="5"/>
    </row>
    <row r="103" spans="1:72" x14ac:dyDescent="0.25">
      <c r="A103" s="6" t="s">
        <v>157</v>
      </c>
      <c r="B103" s="40">
        <v>223435082</v>
      </c>
      <c r="C103" s="40">
        <v>77088660</v>
      </c>
      <c r="D103" s="40">
        <v>63485164</v>
      </c>
      <c r="E103" s="40">
        <v>0</v>
      </c>
      <c r="F103" s="40">
        <v>34173000</v>
      </c>
      <c r="G103" s="40">
        <v>16094400</v>
      </c>
      <c r="H103" s="40">
        <v>12551400</v>
      </c>
      <c r="I103" s="40">
        <v>2271000</v>
      </c>
      <c r="J103" s="40">
        <v>68000</v>
      </c>
      <c r="K103" s="40">
        <v>0</v>
      </c>
      <c r="L103" s="40">
        <v>81923609</v>
      </c>
      <c r="M103" s="40">
        <v>54829900</v>
      </c>
      <c r="N103" s="40">
        <v>1451</v>
      </c>
      <c r="O103" s="40">
        <v>593</v>
      </c>
      <c r="P103" s="40">
        <v>3211700</v>
      </c>
      <c r="Q103" s="40">
        <v>8500</v>
      </c>
      <c r="R103" s="40">
        <v>85000</v>
      </c>
      <c r="S103" s="40">
        <v>2592400</v>
      </c>
      <c r="T103" s="40">
        <v>324000</v>
      </c>
      <c r="U103" s="40">
        <v>223000</v>
      </c>
      <c r="V103" s="40">
        <v>3211700</v>
      </c>
      <c r="W103" s="40">
        <v>186355</v>
      </c>
      <c r="X103" s="40">
        <v>85000</v>
      </c>
      <c r="Y103" s="40">
        <v>2592400</v>
      </c>
      <c r="Z103" s="40">
        <v>298600</v>
      </c>
      <c r="AA103" s="40">
        <v>223000</v>
      </c>
      <c r="AB103" s="40">
        <v>-3425600</v>
      </c>
      <c r="AC103" s="40">
        <v>0</v>
      </c>
      <c r="AD103" s="40">
        <v>79788</v>
      </c>
      <c r="AE103" s="40">
        <v>0</v>
      </c>
      <c r="AF103" s="40">
        <v>0</v>
      </c>
      <c r="AG103" s="40">
        <v>0</v>
      </c>
      <c r="AH103" s="3"/>
      <c r="AI103" s="40">
        <v>162475</v>
      </c>
      <c r="AJ103" s="40">
        <v>0</v>
      </c>
      <c r="AK103" s="1">
        <v>74232593</v>
      </c>
      <c r="AL103" s="1">
        <v>1999549</v>
      </c>
      <c r="AM103" s="40">
        <v>25740</v>
      </c>
      <c r="AN103" s="40">
        <v>18955730</v>
      </c>
      <c r="AO103" s="40">
        <v>209237</v>
      </c>
      <c r="AP103" s="40">
        <v>9020316</v>
      </c>
      <c r="AQ103" s="40">
        <v>6163432</v>
      </c>
      <c r="AR103" s="40">
        <v>2994624</v>
      </c>
      <c r="AS103" s="40">
        <v>0</v>
      </c>
      <c r="AT103" s="40">
        <v>0</v>
      </c>
      <c r="AU103" s="40">
        <v>0</v>
      </c>
      <c r="AV103" s="40">
        <v>0</v>
      </c>
      <c r="AW103" s="40">
        <v>0</v>
      </c>
      <c r="AX103" s="40">
        <v>285000</v>
      </c>
      <c r="AY103" s="40">
        <v>6000</v>
      </c>
      <c r="AZ103" s="1">
        <v>4610280.58</v>
      </c>
      <c r="BA103" s="1">
        <v>2351243</v>
      </c>
      <c r="BB103" s="1"/>
      <c r="BC103" s="15">
        <v>2663784</v>
      </c>
      <c r="BD103" s="15">
        <v>5223106</v>
      </c>
      <c r="BE103" s="20">
        <v>3926995</v>
      </c>
      <c r="BF103" s="20">
        <v>3926995</v>
      </c>
      <c r="BG103" s="20">
        <v>34016143</v>
      </c>
      <c r="BH103" s="20">
        <v>30953140</v>
      </c>
      <c r="BI103" s="44"/>
      <c r="BJ103" s="44"/>
      <c r="BK103" s="44"/>
      <c r="BL103" s="5">
        <v>505627084</v>
      </c>
      <c r="BM103" s="5">
        <v>389499780</v>
      </c>
      <c r="BN103" s="15">
        <v>1154306</v>
      </c>
      <c r="BO103" s="3"/>
      <c r="BP103" s="1"/>
      <c r="BQ103" s="1"/>
      <c r="BR103" s="5"/>
      <c r="BS103" s="5"/>
      <c r="BT103" s="5"/>
    </row>
    <row r="104" spans="1:72" x14ac:dyDescent="0.25">
      <c r="A104" s="6" t="s">
        <v>158</v>
      </c>
      <c r="B104" s="40">
        <v>494610685</v>
      </c>
      <c r="C104" s="40">
        <v>92864939</v>
      </c>
      <c r="D104" s="40">
        <v>271368206</v>
      </c>
      <c r="E104" s="40">
        <v>0</v>
      </c>
      <c r="F104" s="40">
        <v>39625420</v>
      </c>
      <c r="G104" s="40">
        <v>9576816</v>
      </c>
      <c r="H104" s="40">
        <v>11991303</v>
      </c>
      <c r="I104" s="40">
        <v>1701700</v>
      </c>
      <c r="J104" s="40">
        <v>127000</v>
      </c>
      <c r="K104" s="40">
        <v>0</v>
      </c>
      <c r="L104" s="40">
        <v>84387973</v>
      </c>
      <c r="M104" s="40">
        <v>1950</v>
      </c>
      <c r="N104" s="40">
        <v>1650</v>
      </c>
      <c r="O104" s="40">
        <v>398</v>
      </c>
      <c r="P104" s="40">
        <v>8093936</v>
      </c>
      <c r="Q104" s="40">
        <v>646818</v>
      </c>
      <c r="R104" s="40">
        <v>1189500</v>
      </c>
      <c r="S104" s="40">
        <v>5049978</v>
      </c>
      <c r="T104" s="40">
        <v>557861</v>
      </c>
      <c r="U104" s="40">
        <v>1746095</v>
      </c>
      <c r="V104" s="40">
        <v>8093936</v>
      </c>
      <c r="W104" s="40">
        <v>699750</v>
      </c>
      <c r="X104" s="40">
        <v>1189500</v>
      </c>
      <c r="Y104" s="40">
        <v>5039978</v>
      </c>
      <c r="Z104" s="40">
        <v>1020041</v>
      </c>
      <c r="AA104" s="40">
        <v>1746095</v>
      </c>
      <c r="AB104" s="40">
        <v>-11241397</v>
      </c>
      <c r="AC104" s="40">
        <v>-31371</v>
      </c>
      <c r="AD104" s="40">
        <v>930</v>
      </c>
      <c r="AE104" s="40">
        <v>0</v>
      </c>
      <c r="AF104" s="40">
        <v>0</v>
      </c>
      <c r="AG104" s="40">
        <v>1330</v>
      </c>
      <c r="AH104" s="3"/>
      <c r="AI104" s="40">
        <v>70803</v>
      </c>
      <c r="AJ104" s="3"/>
      <c r="AK104" s="1">
        <v>111732495</v>
      </c>
      <c r="AL104" s="1">
        <v>5391399</v>
      </c>
      <c r="AM104" s="40">
        <v>1073495</v>
      </c>
      <c r="AN104" s="40">
        <v>39939457</v>
      </c>
      <c r="AO104" s="40">
        <v>4669814</v>
      </c>
      <c r="AP104" s="40">
        <v>56198459</v>
      </c>
      <c r="AQ104" s="40">
        <v>33226584</v>
      </c>
      <c r="AR104" s="40">
        <v>23262617</v>
      </c>
      <c r="AS104" s="40">
        <v>32315773</v>
      </c>
      <c r="AT104" s="40">
        <v>42550</v>
      </c>
      <c r="AU104" s="40">
        <v>420487</v>
      </c>
      <c r="AV104" s="40">
        <v>0</v>
      </c>
      <c r="AW104" s="40">
        <v>8195</v>
      </c>
      <c r="AX104" s="40">
        <v>19728</v>
      </c>
      <c r="AY104" s="40">
        <v>180000</v>
      </c>
      <c r="AZ104" s="1">
        <v>6939245.0300000003</v>
      </c>
      <c r="BA104" s="1">
        <v>3539015</v>
      </c>
      <c r="BB104" s="1"/>
      <c r="BC104" s="15">
        <v>0</v>
      </c>
      <c r="BD104" s="15">
        <v>0</v>
      </c>
      <c r="BE104" s="20">
        <v>19663920</v>
      </c>
      <c r="BF104" s="20">
        <v>19663920</v>
      </c>
      <c r="BG104" s="20">
        <v>45032615</v>
      </c>
      <c r="BH104" s="20">
        <v>45005228</v>
      </c>
      <c r="BI104" s="44"/>
      <c r="BJ104" s="44"/>
      <c r="BK104" s="44"/>
      <c r="BL104" s="5">
        <v>1122082545</v>
      </c>
      <c r="BM104" s="5">
        <v>936750488</v>
      </c>
      <c r="BN104" s="15">
        <v>3817662</v>
      </c>
      <c r="BO104" s="3"/>
      <c r="BP104" s="1"/>
      <c r="BQ104" s="1"/>
      <c r="BR104" s="5"/>
      <c r="BS104" s="5"/>
      <c r="BT104" s="5"/>
    </row>
    <row r="105" spans="1:72" x14ac:dyDescent="0.25">
      <c r="A105" s="6" t="s">
        <v>159</v>
      </c>
      <c r="B105" s="40">
        <v>516471995</v>
      </c>
      <c r="C105" s="40">
        <v>119136534</v>
      </c>
      <c r="D105" s="40">
        <v>145934408</v>
      </c>
      <c r="E105" s="40">
        <v>10000000</v>
      </c>
      <c r="F105" s="40">
        <v>50205900</v>
      </c>
      <c r="G105" s="40">
        <v>14572600</v>
      </c>
      <c r="H105" s="40">
        <v>15354100</v>
      </c>
      <c r="I105" s="40">
        <v>1484400</v>
      </c>
      <c r="J105" s="40">
        <v>101700</v>
      </c>
      <c r="K105" s="40">
        <v>34000</v>
      </c>
      <c r="L105" s="40">
        <v>265931141</v>
      </c>
      <c r="M105" s="40">
        <v>0</v>
      </c>
      <c r="N105" s="40">
        <v>2048</v>
      </c>
      <c r="O105" s="40">
        <v>534</v>
      </c>
      <c r="P105" s="40">
        <v>8752500</v>
      </c>
      <c r="Q105" s="40">
        <v>2118840</v>
      </c>
      <c r="R105" s="40">
        <v>8646500</v>
      </c>
      <c r="S105" s="40">
        <v>8683809</v>
      </c>
      <c r="T105" s="40">
        <v>824995</v>
      </c>
      <c r="U105" s="40">
        <v>1666880</v>
      </c>
      <c r="V105" s="40">
        <v>8752500</v>
      </c>
      <c r="W105" s="40">
        <v>2534600</v>
      </c>
      <c r="X105" s="40">
        <v>8646500</v>
      </c>
      <c r="Y105" s="40">
        <v>8683809</v>
      </c>
      <c r="Z105" s="40">
        <v>752370</v>
      </c>
      <c r="AA105" s="40">
        <v>1666880</v>
      </c>
      <c r="AB105" s="40">
        <v>-2206550</v>
      </c>
      <c r="AC105" s="40">
        <v>-114490</v>
      </c>
      <c r="AD105" s="40">
        <v>94694</v>
      </c>
      <c r="AE105" s="40">
        <v>0</v>
      </c>
      <c r="AF105" s="40">
        <v>0</v>
      </c>
      <c r="AG105" s="40">
        <v>33742</v>
      </c>
      <c r="AH105" s="40">
        <v>211713</v>
      </c>
      <c r="AI105" s="3"/>
      <c r="AJ105" s="3"/>
      <c r="AK105" s="1">
        <v>89164037</v>
      </c>
      <c r="AL105" s="1">
        <v>19984096</v>
      </c>
      <c r="AM105" s="40">
        <v>21510731</v>
      </c>
      <c r="AN105" s="40">
        <v>57634348</v>
      </c>
      <c r="AO105" s="40">
        <v>1447219</v>
      </c>
      <c r="AP105" s="40">
        <v>45490729</v>
      </c>
      <c r="AQ105" s="40">
        <v>24911934</v>
      </c>
      <c r="AR105" s="40">
        <v>54250932</v>
      </c>
      <c r="AS105" s="40">
        <v>1613327</v>
      </c>
      <c r="AT105" s="40">
        <v>52500</v>
      </c>
      <c r="AU105" s="40">
        <v>0</v>
      </c>
      <c r="AV105" s="40">
        <v>0</v>
      </c>
      <c r="AW105" s="40">
        <v>0</v>
      </c>
      <c r="AX105" s="40">
        <v>6000</v>
      </c>
      <c r="AY105" s="40">
        <v>5308750</v>
      </c>
      <c r="AZ105" s="1">
        <v>5537611.0700000003</v>
      </c>
      <c r="BA105" s="1">
        <v>2824182</v>
      </c>
      <c r="BB105" s="1"/>
      <c r="BC105" s="15">
        <v>0</v>
      </c>
      <c r="BD105" s="15">
        <v>0</v>
      </c>
      <c r="BE105" s="20">
        <v>3091144</v>
      </c>
      <c r="BF105" s="20">
        <v>3091144</v>
      </c>
      <c r="BG105" s="20">
        <v>52282224</v>
      </c>
      <c r="BH105" s="20">
        <v>52218322</v>
      </c>
      <c r="BI105" s="44"/>
      <c r="BJ105" s="44"/>
      <c r="BK105" s="44"/>
      <c r="BL105" s="5">
        <v>1033029932</v>
      </c>
      <c r="BM105" s="5">
        <v>865748151</v>
      </c>
      <c r="BN105" s="15">
        <v>4902500</v>
      </c>
      <c r="BO105" s="3"/>
      <c r="BP105" s="1"/>
      <c r="BQ105" s="1"/>
      <c r="BR105" s="5"/>
      <c r="BS105" s="5"/>
      <c r="BT105" s="5"/>
    </row>
    <row r="106" spans="1:72" x14ac:dyDescent="0.25">
      <c r="A106" s="6" t="s">
        <v>160</v>
      </c>
      <c r="B106" s="40">
        <v>2234761610</v>
      </c>
      <c r="C106" s="40">
        <v>288541783</v>
      </c>
      <c r="D106" s="40">
        <v>852815618</v>
      </c>
      <c r="E106" s="40">
        <v>380000000</v>
      </c>
      <c r="F106" s="40">
        <v>65895081</v>
      </c>
      <c r="G106" s="40">
        <v>8675990</v>
      </c>
      <c r="H106" s="40">
        <v>11663607</v>
      </c>
      <c r="I106" s="40">
        <v>745174</v>
      </c>
      <c r="J106" s="40">
        <v>0</v>
      </c>
      <c r="K106" s="40">
        <v>0</v>
      </c>
      <c r="L106" s="40">
        <v>551879332</v>
      </c>
      <c r="M106" s="40">
        <v>223581332</v>
      </c>
      <c r="N106" s="40">
        <v>2315</v>
      </c>
      <c r="O106" s="40">
        <v>289</v>
      </c>
      <c r="P106" s="40">
        <v>29945169</v>
      </c>
      <c r="Q106" s="40">
        <v>5911878</v>
      </c>
      <c r="R106" s="40">
        <v>5468750</v>
      </c>
      <c r="S106" s="40">
        <v>5215505</v>
      </c>
      <c r="T106" s="40">
        <v>891941</v>
      </c>
      <c r="U106" s="40">
        <v>8180864</v>
      </c>
      <c r="V106" s="40">
        <v>29945169</v>
      </c>
      <c r="W106" s="40">
        <v>6542597</v>
      </c>
      <c r="X106" s="40">
        <v>5468750</v>
      </c>
      <c r="Y106" s="40">
        <v>5215505</v>
      </c>
      <c r="Z106" s="40">
        <v>1130270</v>
      </c>
      <c r="AA106" s="40">
        <v>8180864</v>
      </c>
      <c r="AB106" s="40">
        <v>-3597700</v>
      </c>
      <c r="AC106" s="40">
        <v>227286</v>
      </c>
      <c r="AD106" s="40">
        <v>0</v>
      </c>
      <c r="AE106" s="40">
        <v>0</v>
      </c>
      <c r="AF106" s="40">
        <v>0</v>
      </c>
      <c r="AG106" s="40">
        <v>151907</v>
      </c>
      <c r="AH106" s="40">
        <v>0</v>
      </c>
      <c r="AI106" s="40">
        <v>688672</v>
      </c>
      <c r="AJ106" s="3"/>
      <c r="AK106" s="1">
        <v>321782098</v>
      </c>
      <c r="AL106" s="1">
        <v>6651471</v>
      </c>
      <c r="AM106" s="40">
        <v>0</v>
      </c>
      <c r="AN106" s="40">
        <v>74265242</v>
      </c>
      <c r="AO106" s="40">
        <v>10552623</v>
      </c>
      <c r="AP106" s="40">
        <v>203106771</v>
      </c>
      <c r="AQ106" s="40">
        <v>99263757</v>
      </c>
      <c r="AR106" s="40">
        <v>85031441</v>
      </c>
      <c r="AS106" s="40">
        <v>45737308</v>
      </c>
      <c r="AT106" s="40">
        <v>1114037205</v>
      </c>
      <c r="AU106" s="40">
        <v>0</v>
      </c>
      <c r="AV106" s="40">
        <v>15294</v>
      </c>
      <c r="AW106" s="40">
        <v>0</v>
      </c>
      <c r="AX106" s="40">
        <v>5663418</v>
      </c>
      <c r="AY106" s="40">
        <v>5272689</v>
      </c>
      <c r="AZ106" s="1">
        <v>19984560.670000002</v>
      </c>
      <c r="BA106" s="1">
        <v>10192126</v>
      </c>
      <c r="BB106" s="1"/>
      <c r="BC106" s="15">
        <v>4225199</v>
      </c>
      <c r="BD106" s="15">
        <v>8284704</v>
      </c>
      <c r="BE106" s="20">
        <v>78307653</v>
      </c>
      <c r="BF106" s="20">
        <v>78262570</v>
      </c>
      <c r="BG106" s="20">
        <v>72583984</v>
      </c>
      <c r="BH106" s="20">
        <v>66362344</v>
      </c>
      <c r="BI106" s="44"/>
      <c r="BJ106" s="44"/>
      <c r="BK106" s="44"/>
      <c r="BL106" s="5">
        <v>4048365113</v>
      </c>
      <c r="BM106" s="5">
        <v>3560889305</v>
      </c>
      <c r="BN106" s="15">
        <v>2749885</v>
      </c>
      <c r="BO106" s="3"/>
      <c r="BP106" s="1"/>
      <c r="BQ106" s="1"/>
      <c r="BR106" s="5"/>
      <c r="BS106" s="5"/>
      <c r="BT106" s="5"/>
    </row>
    <row r="107" spans="1:72" x14ac:dyDescent="0.25">
      <c r="A107" s="6" t="s">
        <v>161</v>
      </c>
      <c r="B107" s="40">
        <v>1732034063</v>
      </c>
      <c r="C107" s="40">
        <v>436217652</v>
      </c>
      <c r="D107" s="40">
        <v>450811162</v>
      </c>
      <c r="E107" s="40">
        <v>0</v>
      </c>
      <c r="F107" s="40">
        <v>73586881</v>
      </c>
      <c r="G107" s="40">
        <v>6181700</v>
      </c>
      <c r="H107" s="40">
        <v>18313600</v>
      </c>
      <c r="I107" s="40">
        <v>1044500</v>
      </c>
      <c r="J107" s="40">
        <v>68000</v>
      </c>
      <c r="K107" s="40">
        <v>0</v>
      </c>
      <c r="L107" s="40">
        <v>734887889</v>
      </c>
      <c r="M107" s="40">
        <v>289522802</v>
      </c>
      <c r="N107" s="40">
        <v>2728</v>
      </c>
      <c r="O107" s="40">
        <v>215</v>
      </c>
      <c r="P107" s="40">
        <v>23283135</v>
      </c>
      <c r="Q107" s="40">
        <v>2530000</v>
      </c>
      <c r="R107" s="40">
        <v>4188000</v>
      </c>
      <c r="S107" s="40">
        <v>30539912</v>
      </c>
      <c r="T107" s="40">
        <v>3775162</v>
      </c>
      <c r="U107" s="40">
        <v>16649236</v>
      </c>
      <c r="V107" s="40">
        <v>23283135</v>
      </c>
      <c r="W107" s="40">
        <v>4144250</v>
      </c>
      <c r="X107" s="40">
        <v>4188000</v>
      </c>
      <c r="Y107" s="40">
        <v>30539912</v>
      </c>
      <c r="Z107" s="40">
        <v>8294338</v>
      </c>
      <c r="AA107" s="40">
        <v>16649236</v>
      </c>
      <c r="AB107" s="56">
        <v>-7994381</v>
      </c>
      <c r="AC107" s="56">
        <v>-617576</v>
      </c>
      <c r="AD107" s="40">
        <v>147</v>
      </c>
      <c r="AE107" s="40">
        <v>0</v>
      </c>
      <c r="AF107" s="40">
        <v>3712425</v>
      </c>
      <c r="AG107" s="40">
        <v>235432</v>
      </c>
      <c r="AH107" s="3"/>
      <c r="AI107" s="3"/>
      <c r="AJ107" s="3"/>
      <c r="AK107" s="1">
        <v>266620347</v>
      </c>
      <c r="AL107" s="1">
        <v>6304420</v>
      </c>
      <c r="AM107" s="40">
        <v>28000</v>
      </c>
      <c r="AN107" s="40">
        <v>101404758</v>
      </c>
      <c r="AO107" s="40">
        <v>6204093</v>
      </c>
      <c r="AP107" s="40">
        <v>199078990</v>
      </c>
      <c r="AQ107" s="40">
        <v>83524982</v>
      </c>
      <c r="AR107" s="40">
        <v>81288535</v>
      </c>
      <c r="AS107" s="40">
        <v>11064332</v>
      </c>
      <c r="AT107" s="40">
        <v>1641406</v>
      </c>
      <c r="AU107" s="40">
        <v>0</v>
      </c>
      <c r="AV107" s="40">
        <v>0</v>
      </c>
      <c r="AW107" s="40">
        <v>837144</v>
      </c>
      <c r="AX107" s="40">
        <v>101566</v>
      </c>
      <c r="AY107" s="40">
        <v>305750</v>
      </c>
      <c r="AZ107" s="1">
        <v>16558691.529999999</v>
      </c>
      <c r="BA107" s="1">
        <v>8444933</v>
      </c>
      <c r="BB107" s="1"/>
      <c r="BC107" s="15">
        <v>4939856</v>
      </c>
      <c r="BD107" s="15">
        <v>9685993</v>
      </c>
      <c r="BE107" s="20">
        <v>51719898</v>
      </c>
      <c r="BF107" s="20">
        <v>50922153</v>
      </c>
      <c r="BG107" s="20">
        <v>60189696</v>
      </c>
      <c r="BH107" s="20">
        <v>57241179</v>
      </c>
      <c r="BI107" s="44"/>
      <c r="BJ107" s="44"/>
      <c r="BK107" s="44"/>
      <c r="BL107" s="5">
        <v>3204669598</v>
      </c>
      <c r="BM107" s="5">
        <v>2810196710</v>
      </c>
      <c r="BN107" s="15">
        <v>1910564</v>
      </c>
      <c r="BO107" s="3"/>
      <c r="BP107" s="1"/>
      <c r="BQ107" s="1"/>
      <c r="BR107" s="5"/>
      <c r="BS107" s="5"/>
      <c r="BT107" s="5"/>
    </row>
    <row r="108" spans="1:72" x14ac:dyDescent="0.25">
      <c r="A108" s="6" t="s">
        <v>162</v>
      </c>
      <c r="B108" s="40">
        <v>499216391</v>
      </c>
      <c r="C108" s="40">
        <v>175682600</v>
      </c>
      <c r="D108" s="40">
        <v>297202331</v>
      </c>
      <c r="E108" s="40">
        <v>0</v>
      </c>
      <c r="F108" s="40">
        <v>41120100</v>
      </c>
      <c r="G108" s="40">
        <v>4806400</v>
      </c>
      <c r="H108" s="40">
        <v>6983500</v>
      </c>
      <c r="I108" s="40">
        <v>510000</v>
      </c>
      <c r="J108" s="40">
        <v>0</v>
      </c>
      <c r="K108" s="40">
        <v>0</v>
      </c>
      <c r="L108" s="40">
        <v>359766175</v>
      </c>
      <c r="M108" s="40">
        <v>90859725</v>
      </c>
      <c r="N108" s="40">
        <v>1450</v>
      </c>
      <c r="O108" s="40">
        <v>164</v>
      </c>
      <c r="P108" s="40">
        <v>6729300</v>
      </c>
      <c r="Q108" s="40">
        <v>1909500</v>
      </c>
      <c r="R108" s="40">
        <v>10199764</v>
      </c>
      <c r="S108" s="40">
        <v>3260150</v>
      </c>
      <c r="T108" s="40">
        <v>1468500</v>
      </c>
      <c r="U108" s="40">
        <v>6527641</v>
      </c>
      <c r="V108" s="40">
        <v>6729300</v>
      </c>
      <c r="W108" s="40">
        <v>2086183</v>
      </c>
      <c r="X108" s="40">
        <v>10199764</v>
      </c>
      <c r="Y108" s="40">
        <v>3260150</v>
      </c>
      <c r="Z108" s="40">
        <v>1933277</v>
      </c>
      <c r="AA108" s="40">
        <v>6527641</v>
      </c>
      <c r="AB108" s="40">
        <v>-2573384</v>
      </c>
      <c r="AC108" s="40">
        <v>-450653</v>
      </c>
      <c r="AD108" s="40">
        <v>0</v>
      </c>
      <c r="AE108" s="40">
        <v>0</v>
      </c>
      <c r="AF108" s="40">
        <v>0</v>
      </c>
      <c r="AG108" s="40">
        <v>0</v>
      </c>
      <c r="AH108" s="40">
        <v>67131</v>
      </c>
      <c r="AI108" s="40">
        <v>188992</v>
      </c>
      <c r="AJ108" s="3"/>
      <c r="AK108" s="1">
        <v>97572629</v>
      </c>
      <c r="AL108" s="1">
        <v>2366454</v>
      </c>
      <c r="AM108" s="40">
        <v>0</v>
      </c>
      <c r="AN108" s="40">
        <v>49172147</v>
      </c>
      <c r="AO108" s="40">
        <v>4994104</v>
      </c>
      <c r="AP108" s="40">
        <v>203719914</v>
      </c>
      <c r="AQ108" s="40">
        <v>51460854</v>
      </c>
      <c r="AR108" s="40">
        <v>71860147</v>
      </c>
      <c r="AS108" s="40">
        <v>14267857</v>
      </c>
      <c r="AT108" s="40">
        <v>22651948</v>
      </c>
      <c r="AU108" s="40">
        <v>0</v>
      </c>
      <c r="AV108" s="40">
        <v>841223</v>
      </c>
      <c r="AW108" s="40">
        <v>8158493</v>
      </c>
      <c r="AX108" s="40">
        <v>185141</v>
      </c>
      <c r="AY108" s="40">
        <v>194500</v>
      </c>
      <c r="AZ108" s="1">
        <v>6059834.0800000001</v>
      </c>
      <c r="BA108" s="1">
        <v>3090515</v>
      </c>
      <c r="BB108" s="1"/>
      <c r="BC108" s="15">
        <v>956400</v>
      </c>
      <c r="BD108" s="15">
        <v>1875293</v>
      </c>
      <c r="BE108" s="20">
        <v>8722388</v>
      </c>
      <c r="BF108" s="20">
        <v>8722388</v>
      </c>
      <c r="BG108" s="20">
        <v>22428865</v>
      </c>
      <c r="BH108" s="20">
        <v>20694325</v>
      </c>
      <c r="BI108" s="44"/>
      <c r="BJ108" s="44">
        <v>4146878</v>
      </c>
      <c r="BK108" s="44"/>
      <c r="BL108" s="5">
        <v>1215534139</v>
      </c>
      <c r="BM108" s="5">
        <v>1077984550</v>
      </c>
      <c r="BN108" s="15">
        <v>1648867</v>
      </c>
      <c r="BO108" s="3"/>
      <c r="BP108" s="1"/>
      <c r="BQ108" s="1"/>
      <c r="BR108" s="5"/>
      <c r="BS108" s="5"/>
      <c r="BT108" s="5"/>
    </row>
    <row r="109" spans="1:72" x14ac:dyDescent="0.25">
      <c r="A109" s="6" t="s">
        <v>163</v>
      </c>
      <c r="B109" s="40">
        <v>789516647</v>
      </c>
      <c r="C109" s="40">
        <v>157753405</v>
      </c>
      <c r="D109" s="40">
        <v>52628990</v>
      </c>
      <c r="E109" s="40">
        <v>0</v>
      </c>
      <c r="F109" s="40">
        <v>27561800</v>
      </c>
      <c r="G109" s="40">
        <v>5625600</v>
      </c>
      <c r="H109" s="40">
        <v>8049838</v>
      </c>
      <c r="I109" s="40">
        <v>1049500</v>
      </c>
      <c r="J109" s="40">
        <v>34000</v>
      </c>
      <c r="K109" s="40">
        <v>0</v>
      </c>
      <c r="L109" s="40">
        <v>179512393</v>
      </c>
      <c r="M109" s="40">
        <v>111461453</v>
      </c>
      <c r="N109" s="40">
        <v>1071</v>
      </c>
      <c r="O109" s="40">
        <v>207</v>
      </c>
      <c r="P109" s="40">
        <v>13817233</v>
      </c>
      <c r="Q109" s="40">
        <v>2459620</v>
      </c>
      <c r="R109" s="40">
        <v>1943600</v>
      </c>
      <c r="S109" s="40">
        <v>5934122</v>
      </c>
      <c r="T109" s="40">
        <v>1102997</v>
      </c>
      <c r="U109" s="40">
        <v>3218215</v>
      </c>
      <c r="V109" s="40">
        <v>13817233</v>
      </c>
      <c r="W109" s="40">
        <v>3060520</v>
      </c>
      <c r="X109" s="40">
        <v>1943600</v>
      </c>
      <c r="Y109" s="40">
        <v>5934122</v>
      </c>
      <c r="Z109" s="40">
        <v>2231873</v>
      </c>
      <c r="AA109" s="40">
        <v>3218215</v>
      </c>
      <c r="AB109" s="40">
        <v>-1879086</v>
      </c>
      <c r="AC109" s="40">
        <v>-2919</v>
      </c>
      <c r="AD109" s="40">
        <v>21612</v>
      </c>
      <c r="AE109" s="40">
        <v>0</v>
      </c>
      <c r="AF109" s="40">
        <v>170709950</v>
      </c>
      <c r="AG109" s="40">
        <v>93959</v>
      </c>
      <c r="AH109" s="3"/>
      <c r="AI109" s="3"/>
      <c r="AJ109" s="3"/>
      <c r="AK109" s="1">
        <v>112200405</v>
      </c>
      <c r="AL109" s="1">
        <v>7711680</v>
      </c>
      <c r="AM109" s="40">
        <v>692383</v>
      </c>
      <c r="AN109" s="40">
        <v>7319304</v>
      </c>
      <c r="AO109" s="40">
        <v>19034</v>
      </c>
      <c r="AP109" s="40">
        <v>157419</v>
      </c>
      <c r="AQ109" s="40">
        <v>2949417</v>
      </c>
      <c r="AR109" s="40">
        <v>213749</v>
      </c>
      <c r="AS109" s="40">
        <v>0</v>
      </c>
      <c r="AT109" s="40">
        <v>1436575</v>
      </c>
      <c r="AU109" s="40">
        <v>0</v>
      </c>
      <c r="AV109" s="40">
        <v>0</v>
      </c>
      <c r="AW109" s="40">
        <v>0</v>
      </c>
      <c r="AX109" s="40">
        <v>7995</v>
      </c>
      <c r="AY109" s="40">
        <v>151400</v>
      </c>
      <c r="AZ109" s="1">
        <v>6968304.9900000002</v>
      </c>
      <c r="BA109" s="1">
        <v>3553836</v>
      </c>
      <c r="BB109" s="1"/>
      <c r="BC109" s="15">
        <v>0</v>
      </c>
      <c r="BD109" s="15">
        <v>0</v>
      </c>
      <c r="BE109" s="20">
        <v>1076073</v>
      </c>
      <c r="BF109" s="20">
        <v>1076073</v>
      </c>
      <c r="BG109" s="20">
        <v>20023680</v>
      </c>
      <c r="BH109" s="20">
        <v>19997815</v>
      </c>
      <c r="BI109" s="44"/>
      <c r="BJ109" s="44"/>
      <c r="BK109" s="44"/>
      <c r="BL109" s="5">
        <v>1154726606</v>
      </c>
      <c r="BM109" s="5">
        <v>1010186797</v>
      </c>
      <c r="BN109" s="15">
        <v>158413</v>
      </c>
      <c r="BO109" s="3"/>
      <c r="BP109" s="1"/>
      <c r="BQ109" s="1"/>
      <c r="BR109" s="5"/>
      <c r="BS109" s="5"/>
      <c r="BT109" s="5"/>
    </row>
    <row r="110" spans="1:72" x14ac:dyDescent="0.25">
      <c r="A110" s="6" t="s">
        <v>164</v>
      </c>
      <c r="B110" s="40">
        <v>579567907</v>
      </c>
      <c r="C110" s="40">
        <v>124404948</v>
      </c>
      <c r="D110" s="40">
        <v>261987507</v>
      </c>
      <c r="E110" s="40">
        <v>0</v>
      </c>
      <c r="F110" s="40">
        <v>60777675</v>
      </c>
      <c r="G110" s="40">
        <v>13088891</v>
      </c>
      <c r="H110" s="40">
        <v>12708325</v>
      </c>
      <c r="I110" s="40">
        <v>1427350</v>
      </c>
      <c r="J110" s="40">
        <v>161000</v>
      </c>
      <c r="K110" s="40">
        <v>68000</v>
      </c>
      <c r="L110" s="40">
        <v>254944270</v>
      </c>
      <c r="M110" s="40">
        <v>88055670</v>
      </c>
      <c r="N110" s="40">
        <v>2254</v>
      </c>
      <c r="O110" s="40">
        <v>465</v>
      </c>
      <c r="P110" s="40">
        <v>4521183</v>
      </c>
      <c r="Q110" s="40">
        <v>845400</v>
      </c>
      <c r="R110" s="40">
        <v>3751925</v>
      </c>
      <c r="S110" s="40">
        <v>2992437</v>
      </c>
      <c r="T110" s="40">
        <v>454603</v>
      </c>
      <c r="U110" s="40">
        <v>2780667</v>
      </c>
      <c r="V110" s="40">
        <v>4521183</v>
      </c>
      <c r="W110" s="40">
        <v>957000</v>
      </c>
      <c r="X110" s="40">
        <v>3751925</v>
      </c>
      <c r="Y110" s="40">
        <v>2992437</v>
      </c>
      <c r="Z110" s="40">
        <v>494809</v>
      </c>
      <c r="AA110" s="40">
        <v>2780667</v>
      </c>
      <c r="AB110" s="40">
        <v>-4108279</v>
      </c>
      <c r="AC110" s="40">
        <v>-12047</v>
      </c>
      <c r="AD110" s="40">
        <v>50537</v>
      </c>
      <c r="AE110" s="40">
        <v>0</v>
      </c>
      <c r="AF110" s="40">
        <v>0</v>
      </c>
      <c r="AG110" s="40">
        <v>182376</v>
      </c>
      <c r="AH110" s="40">
        <v>8762</v>
      </c>
      <c r="AI110" s="40">
        <v>7607</v>
      </c>
      <c r="AJ110" s="3"/>
      <c r="AK110" s="1">
        <v>114897141</v>
      </c>
      <c r="AL110" s="1">
        <v>5371141</v>
      </c>
      <c r="AM110" s="40">
        <v>6056159</v>
      </c>
      <c r="AN110" s="40">
        <v>65355068</v>
      </c>
      <c r="AO110" s="40">
        <v>1292105</v>
      </c>
      <c r="AP110" s="40">
        <v>49646566</v>
      </c>
      <c r="AQ110" s="40">
        <v>37724556</v>
      </c>
      <c r="AR110" s="40">
        <v>20485774</v>
      </c>
      <c r="AS110" s="40">
        <v>167838825</v>
      </c>
      <c r="AT110" s="40">
        <v>130349</v>
      </c>
      <c r="AU110" s="40">
        <v>0</v>
      </c>
      <c r="AV110" s="40">
        <v>0</v>
      </c>
      <c r="AW110" s="40">
        <v>20531</v>
      </c>
      <c r="AX110" s="40">
        <v>13224</v>
      </c>
      <c r="AY110" s="40">
        <v>231000</v>
      </c>
      <c r="AZ110" s="1">
        <v>7135788.1600000001</v>
      </c>
      <c r="BA110" s="1">
        <v>3639252</v>
      </c>
      <c r="BB110" s="1"/>
      <c r="BC110" s="15">
        <v>0</v>
      </c>
      <c r="BD110" s="15">
        <v>0</v>
      </c>
      <c r="BE110" s="20">
        <v>12760466</v>
      </c>
      <c r="BF110" s="20">
        <v>12760466</v>
      </c>
      <c r="BG110" s="20">
        <v>43150808</v>
      </c>
      <c r="BH110" s="20">
        <v>43054168</v>
      </c>
      <c r="BI110" s="44"/>
      <c r="BJ110" s="44"/>
      <c r="BK110" s="44"/>
      <c r="BL110" s="5">
        <v>1250070628</v>
      </c>
      <c r="BM110" s="5">
        <v>1070348460</v>
      </c>
      <c r="BN110" s="15">
        <v>1468000</v>
      </c>
      <c r="BO110" s="3"/>
      <c r="BP110" s="1"/>
      <c r="BQ110" s="1"/>
      <c r="BR110" s="5"/>
      <c r="BS110" s="5"/>
      <c r="BT110" s="5"/>
    </row>
    <row r="111" spans="1:72" x14ac:dyDescent="0.25">
      <c r="A111" s="6" t="s">
        <v>165</v>
      </c>
      <c r="B111" s="40">
        <v>195999896</v>
      </c>
      <c r="C111" s="40">
        <v>145303852</v>
      </c>
      <c r="D111" s="40">
        <v>60032094</v>
      </c>
      <c r="E111" s="40">
        <v>0</v>
      </c>
      <c r="F111" s="40">
        <v>25887060</v>
      </c>
      <c r="G111" s="40">
        <v>4197561</v>
      </c>
      <c r="H111" s="40">
        <v>9131418</v>
      </c>
      <c r="I111" s="40">
        <v>255811</v>
      </c>
      <c r="J111" s="40">
        <v>0</v>
      </c>
      <c r="K111" s="40">
        <v>0</v>
      </c>
      <c r="L111" s="40">
        <v>287295166</v>
      </c>
      <c r="M111" s="40">
        <v>57570778</v>
      </c>
      <c r="N111" s="40">
        <v>1106</v>
      </c>
      <c r="O111" s="40">
        <v>152</v>
      </c>
      <c r="P111" s="40">
        <v>3205178</v>
      </c>
      <c r="Q111" s="40">
        <v>625040</v>
      </c>
      <c r="R111" s="40">
        <v>1374240</v>
      </c>
      <c r="S111" s="40">
        <v>855700</v>
      </c>
      <c r="T111" s="40">
        <v>28800</v>
      </c>
      <c r="U111" s="40">
        <v>343900</v>
      </c>
      <c r="V111" s="40">
        <v>3205178</v>
      </c>
      <c r="W111" s="40">
        <v>625040</v>
      </c>
      <c r="X111" s="40">
        <v>1374240</v>
      </c>
      <c r="Y111" s="40">
        <v>855700</v>
      </c>
      <c r="Z111" s="40">
        <v>28800</v>
      </c>
      <c r="AA111" s="40">
        <v>343900</v>
      </c>
      <c r="AB111" s="40">
        <v>-995608</v>
      </c>
      <c r="AC111" s="40">
        <v>-1771301</v>
      </c>
      <c r="AD111" s="40">
        <v>70849</v>
      </c>
      <c r="AE111" s="40">
        <v>86918</v>
      </c>
      <c r="AF111" s="40">
        <v>815690130</v>
      </c>
      <c r="AG111" s="40">
        <v>227017</v>
      </c>
      <c r="AH111" s="40">
        <v>81549</v>
      </c>
      <c r="AI111" s="40">
        <v>0</v>
      </c>
      <c r="AJ111" s="3"/>
      <c r="AK111" s="1">
        <v>63035580</v>
      </c>
      <c r="AL111" s="1">
        <v>1232505</v>
      </c>
      <c r="AM111" s="40">
        <v>0</v>
      </c>
      <c r="AN111" s="40">
        <v>11599032</v>
      </c>
      <c r="AO111" s="40">
        <v>300009</v>
      </c>
      <c r="AP111" s="40">
        <v>11842213</v>
      </c>
      <c r="AQ111" s="40">
        <v>8911041</v>
      </c>
      <c r="AR111" s="40">
        <v>8361631</v>
      </c>
      <c r="AS111" s="40">
        <v>122216</v>
      </c>
      <c r="AT111" s="40">
        <v>2172948</v>
      </c>
      <c r="AU111" s="40">
        <v>0</v>
      </c>
      <c r="AV111" s="40">
        <v>2781245</v>
      </c>
      <c r="AW111" s="40">
        <v>1500094</v>
      </c>
      <c r="AX111" s="40">
        <v>101890</v>
      </c>
      <c r="AY111" s="40">
        <v>136900</v>
      </c>
      <c r="AZ111" s="1">
        <v>3914880.23</v>
      </c>
      <c r="BA111" s="1">
        <v>1996589</v>
      </c>
      <c r="BB111" s="1"/>
      <c r="BC111" s="15">
        <v>1468285</v>
      </c>
      <c r="BD111" s="15">
        <v>2878990</v>
      </c>
      <c r="BE111" s="20">
        <v>6338162</v>
      </c>
      <c r="BF111" s="20">
        <v>6338162</v>
      </c>
      <c r="BG111" s="20">
        <v>44762831</v>
      </c>
      <c r="BH111" s="20">
        <v>33052014</v>
      </c>
      <c r="BI111" s="44"/>
      <c r="BJ111" s="44"/>
      <c r="BK111" s="44"/>
      <c r="BL111" s="5">
        <v>529350608</v>
      </c>
      <c r="BM111" s="5">
        <v>422227473</v>
      </c>
      <c r="BN111" s="15">
        <v>900372</v>
      </c>
      <c r="BO111" s="3"/>
      <c r="BP111" s="1"/>
      <c r="BQ111" s="1"/>
      <c r="BR111" s="5"/>
      <c r="BS111" s="5"/>
      <c r="BT111" s="5"/>
    </row>
    <row r="112" spans="1:72" x14ac:dyDescent="0.25">
      <c r="A112" s="6" t="s">
        <v>166</v>
      </c>
      <c r="B112" s="40">
        <v>577058934</v>
      </c>
      <c r="C112" s="40">
        <v>88107416</v>
      </c>
      <c r="D112" s="40">
        <v>78527921</v>
      </c>
      <c r="E112" s="40">
        <v>0</v>
      </c>
      <c r="F112" s="40">
        <v>42982455</v>
      </c>
      <c r="G112" s="40">
        <v>8410600</v>
      </c>
      <c r="H112" s="40">
        <v>5449229</v>
      </c>
      <c r="I112" s="40">
        <v>473000</v>
      </c>
      <c r="J112" s="40">
        <v>101000</v>
      </c>
      <c r="K112" s="40">
        <v>68000</v>
      </c>
      <c r="L112" s="40">
        <v>329266825</v>
      </c>
      <c r="M112" s="40">
        <v>52066883</v>
      </c>
      <c r="N112" s="40">
        <v>1523</v>
      </c>
      <c r="O112" s="40">
        <v>300</v>
      </c>
      <c r="P112" s="40">
        <v>12376540</v>
      </c>
      <c r="Q112" s="40">
        <v>844600</v>
      </c>
      <c r="R112" s="40">
        <v>942400</v>
      </c>
      <c r="S112" s="40">
        <v>2577910</v>
      </c>
      <c r="T112" s="40">
        <v>50000</v>
      </c>
      <c r="U112" s="40">
        <v>210791</v>
      </c>
      <c r="V112" s="40">
        <v>12376540</v>
      </c>
      <c r="W112" s="40">
        <v>140000</v>
      </c>
      <c r="X112" s="40">
        <v>942400</v>
      </c>
      <c r="Y112" s="40">
        <v>2577910</v>
      </c>
      <c r="Z112" s="40">
        <v>813537</v>
      </c>
      <c r="AA112" s="40">
        <v>210791</v>
      </c>
      <c r="AB112" s="40">
        <v>-2746011</v>
      </c>
      <c r="AC112" s="40">
        <v>-1687688</v>
      </c>
      <c r="AD112" s="40">
        <v>67936</v>
      </c>
      <c r="AE112" s="40">
        <v>0</v>
      </c>
      <c r="AF112" s="40">
        <v>0</v>
      </c>
      <c r="AG112" s="40">
        <v>364</v>
      </c>
      <c r="AH112" s="3"/>
      <c r="AI112" s="40">
        <v>118787</v>
      </c>
      <c r="AJ112" s="3"/>
      <c r="AK112" s="1">
        <v>89851933</v>
      </c>
      <c r="AL112" s="1">
        <v>13586313</v>
      </c>
      <c r="AM112" s="40">
        <v>1640481</v>
      </c>
      <c r="AN112" s="40">
        <v>10603074</v>
      </c>
      <c r="AO112" s="40">
        <v>433175</v>
      </c>
      <c r="AP112" s="40">
        <v>12573781</v>
      </c>
      <c r="AQ112" s="40">
        <v>11145676</v>
      </c>
      <c r="AR112" s="40">
        <v>6972119</v>
      </c>
      <c r="AS112" s="40">
        <v>0</v>
      </c>
      <c r="AT112" s="40">
        <v>1904653</v>
      </c>
      <c r="AU112" s="40">
        <v>0</v>
      </c>
      <c r="AV112" s="40">
        <v>1679</v>
      </c>
      <c r="AW112" s="40">
        <v>142192185</v>
      </c>
      <c r="AX112" s="40">
        <v>6000</v>
      </c>
      <c r="AY112" s="40">
        <v>172500</v>
      </c>
      <c r="AZ112" s="1">
        <v>5580333.4500000002</v>
      </c>
      <c r="BA112" s="1">
        <v>2845970</v>
      </c>
      <c r="BB112" s="1">
        <v>23914507.77</v>
      </c>
      <c r="BC112" s="15">
        <v>0</v>
      </c>
      <c r="BD112" s="15">
        <v>0</v>
      </c>
      <c r="BE112" s="20">
        <v>3429064</v>
      </c>
      <c r="BF112" s="20">
        <v>3429064</v>
      </c>
      <c r="BG112" s="20">
        <v>20878473</v>
      </c>
      <c r="BH112" s="20">
        <v>20878473</v>
      </c>
      <c r="BI112" s="44"/>
      <c r="BJ112" s="44"/>
      <c r="BK112" s="44"/>
      <c r="BL112" s="5">
        <v>896586736</v>
      </c>
      <c r="BM112" s="5">
        <v>765994983</v>
      </c>
      <c r="BN112" s="15">
        <v>748174</v>
      </c>
      <c r="BO112" s="3"/>
      <c r="BP112" s="1"/>
      <c r="BQ112" s="1"/>
      <c r="BR112" s="5"/>
      <c r="BS112" s="5"/>
      <c r="BT112" s="5"/>
    </row>
    <row r="113" spans="1:72" x14ac:dyDescent="0.25">
      <c r="A113" s="6" t="s">
        <v>167</v>
      </c>
      <c r="B113" s="40">
        <v>191624300</v>
      </c>
      <c r="C113" s="40">
        <v>84930500</v>
      </c>
      <c r="D113" s="40">
        <v>19487100</v>
      </c>
      <c r="E113" s="40">
        <v>0</v>
      </c>
      <c r="F113" s="40">
        <v>15378200</v>
      </c>
      <c r="G113" s="40">
        <v>4374600</v>
      </c>
      <c r="H113" s="40">
        <v>6044900</v>
      </c>
      <c r="I113" s="40">
        <v>960400</v>
      </c>
      <c r="J113" s="40">
        <v>34000</v>
      </c>
      <c r="K113" s="40">
        <v>0</v>
      </c>
      <c r="L113" s="40">
        <v>113878900</v>
      </c>
      <c r="M113" s="40">
        <v>58282200</v>
      </c>
      <c r="N113" s="40">
        <v>662</v>
      </c>
      <c r="O113" s="40">
        <v>176</v>
      </c>
      <c r="P113" s="40">
        <v>3356700</v>
      </c>
      <c r="Q113" s="40">
        <v>1102050</v>
      </c>
      <c r="R113" s="40">
        <v>2480000</v>
      </c>
      <c r="S113" s="40">
        <v>3095000</v>
      </c>
      <c r="T113" s="40">
        <v>1265000</v>
      </c>
      <c r="U113" s="40">
        <v>471700</v>
      </c>
      <c r="V113" s="40">
        <v>3356700</v>
      </c>
      <c r="W113" s="40">
        <v>1177400</v>
      </c>
      <c r="X113" s="40">
        <v>2480000</v>
      </c>
      <c r="Y113" s="40">
        <v>3095000</v>
      </c>
      <c r="Z113" s="40">
        <v>1607900</v>
      </c>
      <c r="AA113" s="40">
        <v>471700</v>
      </c>
      <c r="AB113" s="40">
        <v>-939600</v>
      </c>
      <c r="AC113" s="40">
        <v>0</v>
      </c>
      <c r="AD113" s="40">
        <v>41146</v>
      </c>
      <c r="AE113" s="40">
        <v>8764</v>
      </c>
      <c r="AF113" s="40">
        <v>40987900</v>
      </c>
      <c r="AG113" s="40">
        <v>82798</v>
      </c>
      <c r="AH113" s="3"/>
      <c r="AI113" s="40">
        <v>27525</v>
      </c>
      <c r="AJ113" s="3"/>
      <c r="AK113" s="1">
        <v>51630684</v>
      </c>
      <c r="AL113" s="1">
        <v>1546975</v>
      </c>
      <c r="AM113" s="40">
        <v>30000</v>
      </c>
      <c r="AN113" s="40">
        <v>5823155</v>
      </c>
      <c r="AO113" s="40">
        <v>59140</v>
      </c>
      <c r="AP113" s="40">
        <v>2051711</v>
      </c>
      <c r="AQ113" s="40">
        <v>1725954</v>
      </c>
      <c r="AR113" s="40">
        <v>247103</v>
      </c>
      <c r="AS113" s="40">
        <v>0</v>
      </c>
      <c r="AT113" s="40">
        <v>25825</v>
      </c>
      <c r="AU113" s="40">
        <v>0</v>
      </c>
      <c r="AV113" s="40">
        <v>0</v>
      </c>
      <c r="AW113" s="40">
        <v>0</v>
      </c>
      <c r="AX113" s="40">
        <v>7715</v>
      </c>
      <c r="AY113" s="40">
        <v>0</v>
      </c>
      <c r="AZ113" s="1">
        <v>3206569.11</v>
      </c>
      <c r="BA113" s="1">
        <v>1635350</v>
      </c>
      <c r="BB113" s="1">
        <v>18497409</v>
      </c>
      <c r="BC113" s="15">
        <v>0</v>
      </c>
      <c r="BD113" s="15">
        <v>0</v>
      </c>
      <c r="BE113" s="20">
        <v>125230427</v>
      </c>
      <c r="BF113" s="20">
        <v>125230427</v>
      </c>
      <c r="BG113" s="20">
        <v>57810740</v>
      </c>
      <c r="BH113" s="20">
        <v>57767790</v>
      </c>
      <c r="BI113" s="44"/>
      <c r="BJ113" s="44"/>
      <c r="BK113" s="44"/>
      <c r="BL113" s="5">
        <v>541488900</v>
      </c>
      <c r="BM113" s="5">
        <v>303677674</v>
      </c>
      <c r="BN113" s="15">
        <v>296600</v>
      </c>
      <c r="BO113" s="3"/>
      <c r="BP113" s="1"/>
      <c r="BQ113" s="1"/>
      <c r="BR113" s="5"/>
      <c r="BS113" s="5"/>
      <c r="BT113" s="5"/>
    </row>
    <row r="114" spans="1:72" x14ac:dyDescent="0.25">
      <c r="A114" s="6" t="s">
        <v>168</v>
      </c>
      <c r="B114" s="40">
        <v>252187451</v>
      </c>
      <c r="C114" s="40">
        <v>138807131</v>
      </c>
      <c r="D114" s="40">
        <v>92117566</v>
      </c>
      <c r="E114" s="40">
        <v>1310000</v>
      </c>
      <c r="F114" s="40">
        <v>33765895</v>
      </c>
      <c r="G114" s="40">
        <v>7114115</v>
      </c>
      <c r="H114" s="40">
        <v>5045035</v>
      </c>
      <c r="I114" s="40">
        <v>374000</v>
      </c>
      <c r="J114" s="40">
        <v>68000</v>
      </c>
      <c r="K114" s="40">
        <v>34000</v>
      </c>
      <c r="L114" s="40">
        <v>445628763</v>
      </c>
      <c r="M114" s="40">
        <v>0</v>
      </c>
      <c r="N114" s="40">
        <v>1238</v>
      </c>
      <c r="O114" s="40">
        <v>254</v>
      </c>
      <c r="P114" s="40">
        <v>1771830</v>
      </c>
      <c r="Q114" s="40">
        <v>181924</v>
      </c>
      <c r="R114" s="40">
        <v>2512415</v>
      </c>
      <c r="S114" s="40">
        <v>1843207</v>
      </c>
      <c r="T114" s="40">
        <v>1172890</v>
      </c>
      <c r="U114" s="40">
        <v>885270</v>
      </c>
      <c r="V114" s="40">
        <v>1771830</v>
      </c>
      <c r="W114" s="40">
        <v>527778</v>
      </c>
      <c r="X114" s="40">
        <v>2512415</v>
      </c>
      <c r="Y114" s="40">
        <v>1843207</v>
      </c>
      <c r="Z114" s="40">
        <v>1881742</v>
      </c>
      <c r="AA114" s="40">
        <v>885270</v>
      </c>
      <c r="AB114" s="40">
        <v>-926625</v>
      </c>
      <c r="AC114" s="40">
        <v>0</v>
      </c>
      <c r="AD114" s="40">
        <v>7910</v>
      </c>
      <c r="AE114" s="40">
        <v>89953</v>
      </c>
      <c r="AF114" s="40">
        <v>36850521</v>
      </c>
      <c r="AG114" s="40">
        <v>189926</v>
      </c>
      <c r="AH114" s="40">
        <v>23902221</v>
      </c>
      <c r="AI114" s="3"/>
      <c r="AJ114" s="40">
        <v>51729090</v>
      </c>
      <c r="AK114" s="1">
        <v>102877621</v>
      </c>
      <c r="AL114" s="1">
        <v>3757381</v>
      </c>
      <c r="AM114" s="40">
        <v>13440</v>
      </c>
      <c r="AN114" s="40">
        <v>154190649</v>
      </c>
      <c r="AO114" s="40">
        <v>7636267</v>
      </c>
      <c r="AP114" s="40">
        <v>105124284</v>
      </c>
      <c r="AQ114" s="40">
        <v>27461837</v>
      </c>
      <c r="AR114" s="40">
        <v>20090889</v>
      </c>
      <c r="AS114" s="40">
        <v>58360956</v>
      </c>
      <c r="AT114" s="40">
        <v>2662570</v>
      </c>
      <c r="AU114" s="40">
        <v>0</v>
      </c>
      <c r="AV114" s="40">
        <v>10812</v>
      </c>
      <c r="AW114" s="40">
        <v>9074532</v>
      </c>
      <c r="AX114" s="40">
        <v>0</v>
      </c>
      <c r="AY114" s="40">
        <v>1660638</v>
      </c>
      <c r="AZ114" s="1">
        <v>6389305.2800000003</v>
      </c>
      <c r="BA114" s="1">
        <v>3258546</v>
      </c>
      <c r="BB114" s="1">
        <v>36730569.950000003</v>
      </c>
      <c r="BC114" s="15">
        <v>0</v>
      </c>
      <c r="BD114" s="15">
        <v>0</v>
      </c>
      <c r="BE114" s="20">
        <v>2942782</v>
      </c>
      <c r="BF114" s="20">
        <v>2942782</v>
      </c>
      <c r="BG114" s="20">
        <v>25546855</v>
      </c>
      <c r="BH114" s="20">
        <v>25545334</v>
      </c>
      <c r="BI114" s="44"/>
      <c r="BJ114" s="44"/>
      <c r="BK114" s="44"/>
      <c r="BL114" s="5">
        <v>886413876</v>
      </c>
      <c r="BM114" s="5">
        <v>748032212</v>
      </c>
      <c r="BN114" s="15">
        <v>887613</v>
      </c>
      <c r="BO114" s="3"/>
      <c r="BP114" s="1"/>
      <c r="BQ114" s="1"/>
      <c r="BR114" s="5"/>
      <c r="BS114" s="5"/>
      <c r="BT114" s="5"/>
    </row>
    <row r="115" spans="1:72" x14ac:dyDescent="0.25">
      <c r="A115" s="6" t="s">
        <v>169</v>
      </c>
      <c r="B115" s="40">
        <v>3986230342</v>
      </c>
      <c r="C115" s="40">
        <v>394666690</v>
      </c>
      <c r="D115" s="40">
        <v>2064264200</v>
      </c>
      <c r="E115" s="40">
        <v>218926400</v>
      </c>
      <c r="F115" s="40">
        <v>184190640</v>
      </c>
      <c r="G115" s="40">
        <v>21923250</v>
      </c>
      <c r="H115" s="40">
        <v>24266310</v>
      </c>
      <c r="I115" s="40">
        <v>1912940</v>
      </c>
      <c r="J115" s="40">
        <v>408000</v>
      </c>
      <c r="K115" s="40">
        <v>68000</v>
      </c>
      <c r="L115" s="40">
        <v>799728250</v>
      </c>
      <c r="M115" s="40">
        <v>0</v>
      </c>
      <c r="N115" s="40">
        <v>6256</v>
      </c>
      <c r="O115" s="40">
        <v>754</v>
      </c>
      <c r="P115" s="40">
        <v>67090500</v>
      </c>
      <c r="Q115" s="40">
        <v>4593930</v>
      </c>
      <c r="R115" s="40">
        <v>19656440</v>
      </c>
      <c r="S115" s="40">
        <v>2131460</v>
      </c>
      <c r="T115" s="40">
        <v>264000</v>
      </c>
      <c r="U115" s="40">
        <v>6295350</v>
      </c>
      <c r="V115" s="40">
        <v>67090500</v>
      </c>
      <c r="W115" s="40">
        <v>4593930</v>
      </c>
      <c r="X115" s="40">
        <v>19656440</v>
      </c>
      <c r="Y115" s="40">
        <v>2131460</v>
      </c>
      <c r="Z115" s="40">
        <v>264000</v>
      </c>
      <c r="AA115" s="40">
        <v>6295350</v>
      </c>
      <c r="AB115" s="40">
        <v>-10913320</v>
      </c>
      <c r="AC115" s="40">
        <v>-5611878</v>
      </c>
      <c r="AD115" s="40">
        <v>72060</v>
      </c>
      <c r="AE115" s="40">
        <v>0</v>
      </c>
      <c r="AF115" s="40">
        <v>0</v>
      </c>
      <c r="AG115" s="40">
        <v>0</v>
      </c>
      <c r="AH115" s="40">
        <v>4691443</v>
      </c>
      <c r="AI115" s="40">
        <v>1110648</v>
      </c>
      <c r="AJ115" s="3"/>
      <c r="AK115" s="1">
        <v>605418498</v>
      </c>
      <c r="AL115" s="1">
        <v>14417408</v>
      </c>
      <c r="AM115" s="40">
        <v>92000</v>
      </c>
      <c r="AN115" s="40">
        <v>300805478</v>
      </c>
      <c r="AO115" s="40">
        <v>45239637</v>
      </c>
      <c r="AP115" s="40">
        <v>609337683</v>
      </c>
      <c r="AQ115" s="40">
        <v>295437311</v>
      </c>
      <c r="AR115" s="40">
        <v>209854798</v>
      </c>
      <c r="AS115" s="40">
        <v>95081821</v>
      </c>
      <c r="AT115" s="40">
        <v>2991675</v>
      </c>
      <c r="AU115" s="40">
        <v>0</v>
      </c>
      <c r="AV115" s="40">
        <v>0</v>
      </c>
      <c r="AW115" s="40">
        <v>136788322</v>
      </c>
      <c r="AX115" s="40">
        <v>731928</v>
      </c>
      <c r="AY115" s="40">
        <v>14588204</v>
      </c>
      <c r="AZ115" s="1">
        <v>37600049.149999999</v>
      </c>
      <c r="BA115" s="1">
        <v>19176025</v>
      </c>
      <c r="BB115" s="1"/>
      <c r="BC115" s="15">
        <v>3054798</v>
      </c>
      <c r="BD115" s="15">
        <v>5989800</v>
      </c>
      <c r="BE115" s="20">
        <v>35805519</v>
      </c>
      <c r="BF115" s="20">
        <v>35805519</v>
      </c>
      <c r="BG115" s="20">
        <v>132214025</v>
      </c>
      <c r="BH115" s="20">
        <v>126844151</v>
      </c>
      <c r="BI115" s="44"/>
      <c r="BJ115" s="44">
        <v>23636624</v>
      </c>
      <c r="BK115" s="44"/>
      <c r="BL115" s="5">
        <v>7920798772</v>
      </c>
      <c r="BM115" s="5">
        <v>7092445749</v>
      </c>
      <c r="BN115" s="15">
        <v>3575250</v>
      </c>
      <c r="BO115" s="3"/>
      <c r="BP115" s="1"/>
      <c r="BQ115" s="1"/>
      <c r="BR115" s="5"/>
      <c r="BS115" s="5"/>
      <c r="BT115" s="5"/>
    </row>
    <row r="116" spans="1:72" x14ac:dyDescent="0.25">
      <c r="A116" s="6" t="s">
        <v>170</v>
      </c>
      <c r="B116" s="40">
        <v>237796383</v>
      </c>
      <c r="C116" s="40">
        <v>150778650</v>
      </c>
      <c r="D116" s="40">
        <v>71616052</v>
      </c>
      <c r="E116" s="40">
        <v>0</v>
      </c>
      <c r="F116" s="40">
        <v>25234600</v>
      </c>
      <c r="G116" s="40">
        <v>5419000</v>
      </c>
      <c r="H116" s="40">
        <v>12757000</v>
      </c>
      <c r="I116" s="40">
        <v>2017000</v>
      </c>
      <c r="J116" s="40">
        <v>28000</v>
      </c>
      <c r="K116" s="40">
        <v>0</v>
      </c>
      <c r="L116" s="40">
        <v>274028759</v>
      </c>
      <c r="M116" s="40">
        <v>106132000</v>
      </c>
      <c r="N116" s="40">
        <v>1154</v>
      </c>
      <c r="O116" s="40">
        <v>238</v>
      </c>
      <c r="P116" s="40">
        <v>4164750</v>
      </c>
      <c r="Q116" s="40">
        <v>2726500</v>
      </c>
      <c r="R116" s="40">
        <v>783200</v>
      </c>
      <c r="S116" s="40">
        <v>1804375</v>
      </c>
      <c r="T116" s="40">
        <v>682600</v>
      </c>
      <c r="U116" s="40">
        <v>2002848</v>
      </c>
      <c r="V116" s="40">
        <v>4164750</v>
      </c>
      <c r="W116" s="40">
        <v>2882500</v>
      </c>
      <c r="X116" s="40">
        <v>783200</v>
      </c>
      <c r="Y116" s="40">
        <v>1804375</v>
      </c>
      <c r="Z116" s="40">
        <v>806441</v>
      </c>
      <c r="AA116" s="40">
        <v>2002848</v>
      </c>
      <c r="AB116" s="40">
        <v>-936700</v>
      </c>
      <c r="AC116" s="40">
        <v>0</v>
      </c>
      <c r="AD116" s="40">
        <v>44322</v>
      </c>
      <c r="AE116" s="40">
        <v>0</v>
      </c>
      <c r="AF116" s="40">
        <v>0</v>
      </c>
      <c r="AG116" s="40">
        <v>179793</v>
      </c>
      <c r="AH116" s="3"/>
      <c r="AI116" s="40">
        <v>10352</v>
      </c>
      <c r="AJ116" s="3"/>
      <c r="AK116" s="1">
        <v>64156260</v>
      </c>
      <c r="AL116" s="1">
        <v>1248747</v>
      </c>
      <c r="AM116" s="40">
        <v>0</v>
      </c>
      <c r="AN116" s="40">
        <v>19424407</v>
      </c>
      <c r="AO116" s="40">
        <v>598078</v>
      </c>
      <c r="AP116" s="40">
        <v>54791069</v>
      </c>
      <c r="AQ116" s="40">
        <v>19692541</v>
      </c>
      <c r="AR116" s="40">
        <v>12672527</v>
      </c>
      <c r="AS116" s="40">
        <v>0</v>
      </c>
      <c r="AT116" s="40">
        <v>1428141</v>
      </c>
      <c r="AU116" s="40">
        <v>0</v>
      </c>
      <c r="AV116" s="40">
        <v>0</v>
      </c>
      <c r="AW116" s="40">
        <v>16302</v>
      </c>
      <c r="AX116" s="40">
        <v>12743</v>
      </c>
      <c r="AY116" s="40">
        <v>677750</v>
      </c>
      <c r="AZ116" s="1">
        <v>3984481.04</v>
      </c>
      <c r="BA116" s="1">
        <v>2032085</v>
      </c>
      <c r="BB116" s="1"/>
      <c r="BC116" s="15">
        <v>0</v>
      </c>
      <c r="BD116" s="15">
        <v>0</v>
      </c>
      <c r="BE116" s="20">
        <v>1418694</v>
      </c>
      <c r="BF116" s="20">
        <v>1418694</v>
      </c>
      <c r="BG116" s="20">
        <v>21191465</v>
      </c>
      <c r="BH116" s="20">
        <v>21180814</v>
      </c>
      <c r="BI116" s="44"/>
      <c r="BJ116" s="44"/>
      <c r="BK116" s="44"/>
      <c r="BL116" s="5">
        <v>589953063</v>
      </c>
      <c r="BM116" s="5">
        <v>499916463</v>
      </c>
      <c r="BN116" s="15">
        <v>359500</v>
      </c>
      <c r="BO116" s="3"/>
      <c r="BP116" s="1"/>
      <c r="BQ116" s="1"/>
      <c r="BR116" s="5"/>
      <c r="BS116" s="5"/>
      <c r="BT116" s="5"/>
    </row>
    <row r="117" spans="1:72" x14ac:dyDescent="0.25">
      <c r="A117" s="6" t="s">
        <v>171</v>
      </c>
      <c r="B117" s="40">
        <v>440670058</v>
      </c>
      <c r="C117" s="40">
        <v>124782851</v>
      </c>
      <c r="D117" s="40">
        <v>105189586</v>
      </c>
      <c r="E117" s="40">
        <v>0</v>
      </c>
      <c r="F117" s="40">
        <v>46330740</v>
      </c>
      <c r="G117" s="40">
        <v>16418394</v>
      </c>
      <c r="H117" s="40">
        <v>15004052</v>
      </c>
      <c r="I117" s="40">
        <v>2264314</v>
      </c>
      <c r="J117" s="40">
        <v>139260</v>
      </c>
      <c r="K117" s="40">
        <v>34000</v>
      </c>
      <c r="L117" s="40">
        <v>267499360</v>
      </c>
      <c r="M117" s="40">
        <v>79419043</v>
      </c>
      <c r="N117" s="40">
        <v>2036</v>
      </c>
      <c r="O117" s="40">
        <v>682</v>
      </c>
      <c r="P117" s="40">
        <v>7059960</v>
      </c>
      <c r="Q117" s="40">
        <v>1485500</v>
      </c>
      <c r="R117" s="40">
        <v>878680</v>
      </c>
      <c r="S117" s="40">
        <v>5369043</v>
      </c>
      <c r="T117" s="40">
        <v>740790</v>
      </c>
      <c r="U117" s="40">
        <v>747284</v>
      </c>
      <c r="V117" s="40">
        <v>7059960</v>
      </c>
      <c r="W117" s="40">
        <v>1485500</v>
      </c>
      <c r="X117" s="40">
        <v>878680</v>
      </c>
      <c r="Y117" s="40">
        <v>5369043</v>
      </c>
      <c r="Z117" s="40">
        <v>1357353</v>
      </c>
      <c r="AA117" s="40">
        <v>747284</v>
      </c>
      <c r="AB117" s="40">
        <v>-2287331</v>
      </c>
      <c r="AC117" s="40">
        <v>-7299709</v>
      </c>
      <c r="AD117" s="40">
        <v>178492</v>
      </c>
      <c r="AE117" s="40">
        <v>7941</v>
      </c>
      <c r="AF117" s="40">
        <v>8831088</v>
      </c>
      <c r="AG117" s="40">
        <v>249355</v>
      </c>
      <c r="AH117" s="40">
        <v>520861</v>
      </c>
      <c r="AI117" s="40">
        <v>87139</v>
      </c>
      <c r="AJ117" s="3"/>
      <c r="AK117" s="1">
        <v>89913588</v>
      </c>
      <c r="AL117" s="1">
        <v>13530254</v>
      </c>
      <c r="AM117" s="40">
        <v>12206201</v>
      </c>
      <c r="AN117" s="40">
        <v>19046049</v>
      </c>
      <c r="AO117" s="40">
        <v>598704</v>
      </c>
      <c r="AP117" s="40">
        <v>37941105</v>
      </c>
      <c r="AQ117" s="40">
        <v>14445862</v>
      </c>
      <c r="AR117" s="40">
        <v>20178346</v>
      </c>
      <c r="AS117" s="40">
        <v>1159682</v>
      </c>
      <c r="AT117" s="40">
        <v>6106606</v>
      </c>
      <c r="AU117" s="40">
        <v>0</v>
      </c>
      <c r="AV117" s="40">
        <v>0</v>
      </c>
      <c r="AW117" s="40">
        <v>0</v>
      </c>
      <c r="AX117" s="40">
        <v>6000</v>
      </c>
      <c r="AY117" s="40">
        <v>181100</v>
      </c>
      <c r="AZ117" s="1">
        <v>5584162.5899999999</v>
      </c>
      <c r="BA117" s="1">
        <v>2847923</v>
      </c>
      <c r="BB117" s="1"/>
      <c r="BC117" s="15">
        <v>0</v>
      </c>
      <c r="BD117" s="15">
        <v>0</v>
      </c>
      <c r="BE117" s="20">
        <v>759080</v>
      </c>
      <c r="BF117" s="20">
        <v>759080</v>
      </c>
      <c r="BG117" s="20">
        <v>27544681</v>
      </c>
      <c r="BH117" s="20">
        <v>27464487</v>
      </c>
      <c r="BI117" s="44"/>
      <c r="BJ117" s="44"/>
      <c r="BK117" s="44"/>
      <c r="BL117" s="5">
        <v>839856442</v>
      </c>
      <c r="BM117" s="5">
        <v>705341110</v>
      </c>
      <c r="BN117" s="15">
        <v>798000</v>
      </c>
      <c r="BO117" s="3"/>
      <c r="BP117" s="1"/>
      <c r="BQ117" s="1"/>
      <c r="BR117" s="5"/>
      <c r="BS117" s="5"/>
      <c r="BT117" s="5"/>
    </row>
    <row r="118" spans="1:72" x14ac:dyDescent="0.25">
      <c r="A118" s="6" t="s">
        <v>172</v>
      </c>
      <c r="B118" s="40">
        <v>185942645</v>
      </c>
      <c r="C118" s="40">
        <v>133149668</v>
      </c>
      <c r="D118" s="40">
        <v>47697175</v>
      </c>
      <c r="E118" s="40">
        <v>10800000</v>
      </c>
      <c r="F118" s="40">
        <v>29281450</v>
      </c>
      <c r="G118" s="40">
        <v>6667550</v>
      </c>
      <c r="H118" s="40">
        <v>7201783</v>
      </c>
      <c r="I118" s="40">
        <v>869445</v>
      </c>
      <c r="J118" s="40">
        <v>0</v>
      </c>
      <c r="K118" s="40">
        <v>0</v>
      </c>
      <c r="L118" s="40">
        <v>204452470</v>
      </c>
      <c r="M118" s="40">
        <v>51521350</v>
      </c>
      <c r="N118" s="40">
        <v>1238</v>
      </c>
      <c r="O118" s="40">
        <v>282</v>
      </c>
      <c r="P118" s="40">
        <v>2305900</v>
      </c>
      <c r="Q118" s="40">
        <v>841600</v>
      </c>
      <c r="R118" s="40">
        <v>127900</v>
      </c>
      <c r="S118" s="40">
        <v>125200</v>
      </c>
      <c r="T118" s="40">
        <v>0</v>
      </c>
      <c r="U118" s="40">
        <v>0</v>
      </c>
      <c r="V118" s="40">
        <v>2305900</v>
      </c>
      <c r="W118" s="40">
        <v>841600</v>
      </c>
      <c r="X118" s="40">
        <v>127900</v>
      </c>
      <c r="Y118" s="40">
        <v>125200</v>
      </c>
      <c r="Z118" s="40">
        <v>0</v>
      </c>
      <c r="AA118" s="40">
        <v>0</v>
      </c>
      <c r="AB118" s="40">
        <v>-626320</v>
      </c>
      <c r="AC118" s="40">
        <v>-231016</v>
      </c>
      <c r="AD118" s="40">
        <v>61500</v>
      </c>
      <c r="AE118" s="40">
        <v>0</v>
      </c>
      <c r="AF118" s="40">
        <v>4020731</v>
      </c>
      <c r="AG118" s="40">
        <v>198733</v>
      </c>
      <c r="AH118" s="40">
        <v>9783828</v>
      </c>
      <c r="AI118" s="40">
        <v>0</v>
      </c>
      <c r="AJ118" s="40">
        <v>23717680</v>
      </c>
      <c r="AK118" s="1">
        <v>90627438</v>
      </c>
      <c r="AL118" s="1">
        <v>2820807</v>
      </c>
      <c r="AM118" s="40">
        <v>0</v>
      </c>
      <c r="AN118" s="40">
        <v>70092761</v>
      </c>
      <c r="AO118" s="40">
        <v>4237329</v>
      </c>
      <c r="AP118" s="40">
        <v>30870253</v>
      </c>
      <c r="AQ118" s="40">
        <v>16648474</v>
      </c>
      <c r="AR118" s="40">
        <v>7555919</v>
      </c>
      <c r="AS118" s="40">
        <v>0</v>
      </c>
      <c r="AT118" s="40">
        <v>762117</v>
      </c>
      <c r="AU118" s="40">
        <v>0</v>
      </c>
      <c r="AV118" s="40">
        <v>0</v>
      </c>
      <c r="AW118" s="40">
        <v>3515841</v>
      </c>
      <c r="AX118" s="40">
        <v>1665156</v>
      </c>
      <c r="AY118" s="40">
        <v>261000</v>
      </c>
      <c r="AZ118" s="1">
        <v>5628496.8700000001</v>
      </c>
      <c r="BA118" s="1">
        <v>2870533</v>
      </c>
      <c r="BB118" s="1">
        <v>2268134.7200000002</v>
      </c>
      <c r="BC118" s="15">
        <v>1352698</v>
      </c>
      <c r="BD118" s="15">
        <v>2652348</v>
      </c>
      <c r="BE118" s="20">
        <v>24294833</v>
      </c>
      <c r="BF118" s="20">
        <v>23748781</v>
      </c>
      <c r="BG118" s="20">
        <v>58582515</v>
      </c>
      <c r="BH118" s="20">
        <v>56903343</v>
      </c>
      <c r="BI118" s="44"/>
      <c r="BJ118" s="44"/>
      <c r="BK118" s="44"/>
      <c r="BL118" s="5">
        <v>669593160</v>
      </c>
      <c r="BM118" s="5">
        <v>491269560</v>
      </c>
      <c r="BN118" s="15">
        <v>941606</v>
      </c>
      <c r="BO118" s="3"/>
      <c r="BP118" s="1"/>
      <c r="BQ118" s="1"/>
      <c r="BR118" s="5"/>
      <c r="BS118" s="5"/>
      <c r="BT118" s="5"/>
    </row>
    <row r="119" spans="1:72" x14ac:dyDescent="0.25">
      <c r="A119" s="6" t="s">
        <v>173</v>
      </c>
      <c r="B119" s="40">
        <v>635408008</v>
      </c>
      <c r="C119" s="40">
        <v>130101369</v>
      </c>
      <c r="D119" s="40">
        <v>205600963</v>
      </c>
      <c r="E119" s="40">
        <v>2700000</v>
      </c>
      <c r="F119" s="40">
        <v>79253570</v>
      </c>
      <c r="G119" s="40">
        <v>22464135</v>
      </c>
      <c r="H119" s="40">
        <v>15167910</v>
      </c>
      <c r="I119" s="40">
        <v>2193965</v>
      </c>
      <c r="J119" s="40">
        <v>20400</v>
      </c>
      <c r="K119" s="40">
        <v>0</v>
      </c>
      <c r="L119" s="40">
        <v>409318578</v>
      </c>
      <c r="M119" s="40">
        <v>41823565</v>
      </c>
      <c r="N119" s="40">
        <v>3310</v>
      </c>
      <c r="O119" s="40">
        <v>918</v>
      </c>
      <c r="P119" s="40">
        <v>328600</v>
      </c>
      <c r="Q119" s="40">
        <v>0</v>
      </c>
      <c r="R119" s="40">
        <v>0</v>
      </c>
      <c r="S119" s="40">
        <v>8636231</v>
      </c>
      <c r="T119" s="40">
        <v>1654580</v>
      </c>
      <c r="U119" s="40">
        <v>6777429</v>
      </c>
      <c r="V119" s="40">
        <v>328600</v>
      </c>
      <c r="W119" s="40">
        <v>0</v>
      </c>
      <c r="X119" s="40">
        <v>0</v>
      </c>
      <c r="Y119" s="40">
        <v>8636231</v>
      </c>
      <c r="Z119" s="40">
        <v>1415300</v>
      </c>
      <c r="AA119" s="40">
        <v>6777429</v>
      </c>
      <c r="AB119" s="40">
        <v>-4087586</v>
      </c>
      <c r="AC119" s="40">
        <v>3608323</v>
      </c>
      <c r="AD119" s="40">
        <v>5576</v>
      </c>
      <c r="AE119" s="40">
        <v>0</v>
      </c>
      <c r="AF119" s="40">
        <v>0</v>
      </c>
      <c r="AG119" s="40">
        <v>5634</v>
      </c>
      <c r="AH119" s="40">
        <v>782230</v>
      </c>
      <c r="AI119" s="40">
        <v>20081221</v>
      </c>
      <c r="AJ119" s="40">
        <v>3423975</v>
      </c>
      <c r="AK119" s="1">
        <v>177743022</v>
      </c>
      <c r="AL119" s="1">
        <v>6486534</v>
      </c>
      <c r="AM119" s="40">
        <v>2068935</v>
      </c>
      <c r="AN119" s="40">
        <v>45346126</v>
      </c>
      <c r="AO119" s="40">
        <v>2228360</v>
      </c>
      <c r="AP119" s="40">
        <v>49307694</v>
      </c>
      <c r="AQ119" s="40">
        <v>60704083</v>
      </c>
      <c r="AR119" s="40">
        <v>16245633</v>
      </c>
      <c r="AS119" s="40">
        <v>4128936</v>
      </c>
      <c r="AT119" s="40">
        <v>56734</v>
      </c>
      <c r="AU119" s="40">
        <v>0</v>
      </c>
      <c r="AV119" s="40">
        <v>0</v>
      </c>
      <c r="AW119" s="40">
        <v>0</v>
      </c>
      <c r="AX119" s="40">
        <v>200491</v>
      </c>
      <c r="AY119" s="40">
        <v>170500</v>
      </c>
      <c r="AZ119" s="1">
        <v>11038886.960000001</v>
      </c>
      <c r="BA119" s="1">
        <v>5629832</v>
      </c>
      <c r="BB119" s="1"/>
      <c r="BC119" s="15">
        <v>13211259</v>
      </c>
      <c r="BD119" s="15">
        <v>25904430</v>
      </c>
      <c r="BE119" s="20">
        <v>45360425</v>
      </c>
      <c r="BF119" s="20">
        <v>45360425</v>
      </c>
      <c r="BG119" s="20">
        <v>61457981</v>
      </c>
      <c r="BH119" s="20">
        <v>51926478</v>
      </c>
      <c r="BI119" s="44"/>
      <c r="BJ119" s="44"/>
      <c r="BK119" s="44"/>
      <c r="BL119" s="5">
        <v>1404033885</v>
      </c>
      <c r="BM119" s="5">
        <v>1103676335</v>
      </c>
      <c r="BN119" s="15">
        <v>1370326</v>
      </c>
      <c r="BO119" s="3"/>
      <c r="BP119" s="1"/>
      <c r="BQ119" s="1"/>
      <c r="BR119" s="5"/>
      <c r="BS119" s="5"/>
      <c r="BT119" s="5"/>
    </row>
    <row r="120" spans="1:72" x14ac:dyDescent="0.25">
      <c r="A120" s="6" t="s">
        <v>174</v>
      </c>
      <c r="B120" s="40">
        <v>54541825</v>
      </c>
      <c r="C120" s="40">
        <v>62250950</v>
      </c>
      <c r="D120" s="40">
        <v>32741850</v>
      </c>
      <c r="E120" s="40">
        <v>0</v>
      </c>
      <c r="F120" s="40">
        <v>10225500</v>
      </c>
      <c r="G120" s="40">
        <v>8038700</v>
      </c>
      <c r="H120" s="40">
        <v>8632300</v>
      </c>
      <c r="I120" s="40">
        <v>3557800</v>
      </c>
      <c r="J120" s="40">
        <v>0</v>
      </c>
      <c r="K120" s="40">
        <v>0</v>
      </c>
      <c r="L120" s="40">
        <v>64994151</v>
      </c>
      <c r="M120" s="40">
        <v>0</v>
      </c>
      <c r="N120" s="40">
        <v>717</v>
      </c>
      <c r="O120" s="40">
        <v>378</v>
      </c>
      <c r="P120" s="40">
        <v>989600</v>
      </c>
      <c r="Q120" s="40">
        <v>267500</v>
      </c>
      <c r="R120" s="40">
        <v>75000</v>
      </c>
      <c r="S120" s="40">
        <v>637100</v>
      </c>
      <c r="T120" s="40">
        <v>431650</v>
      </c>
      <c r="U120" s="40">
        <v>233000</v>
      </c>
      <c r="V120" s="40">
        <v>989600</v>
      </c>
      <c r="W120" s="40">
        <v>138000</v>
      </c>
      <c r="X120" s="40">
        <v>75000</v>
      </c>
      <c r="Y120" s="40">
        <v>637100</v>
      </c>
      <c r="Z120" s="40">
        <v>536650</v>
      </c>
      <c r="AA120" s="40">
        <v>233000</v>
      </c>
      <c r="AB120" s="40">
        <v>-1818000</v>
      </c>
      <c r="AC120" s="40">
        <v>-816</v>
      </c>
      <c r="AD120" s="40">
        <v>87837</v>
      </c>
      <c r="AE120" s="40">
        <v>0</v>
      </c>
      <c r="AF120" s="40">
        <v>0</v>
      </c>
      <c r="AG120" s="40">
        <v>116455</v>
      </c>
      <c r="AH120" s="40">
        <v>6657549</v>
      </c>
      <c r="AI120" s="40">
        <v>0</v>
      </c>
      <c r="AJ120" s="40">
        <v>0</v>
      </c>
      <c r="AK120" s="1">
        <v>38422264</v>
      </c>
      <c r="AL120" s="1">
        <v>535812</v>
      </c>
      <c r="AM120" s="40">
        <v>0</v>
      </c>
      <c r="AN120" s="40">
        <v>4552847</v>
      </c>
      <c r="AO120" s="40">
        <v>11868</v>
      </c>
      <c r="AP120" s="40">
        <v>406606</v>
      </c>
      <c r="AQ120" s="40">
        <v>10567407</v>
      </c>
      <c r="AR120" s="40">
        <v>3023791</v>
      </c>
      <c r="AS120" s="40">
        <v>0</v>
      </c>
      <c r="AT120" s="40">
        <v>0</v>
      </c>
      <c r="AU120" s="40">
        <v>0</v>
      </c>
      <c r="AV120" s="40">
        <v>0</v>
      </c>
      <c r="AW120" s="40">
        <v>0</v>
      </c>
      <c r="AX120" s="40">
        <v>0</v>
      </c>
      <c r="AY120" s="40">
        <v>0</v>
      </c>
      <c r="AZ120" s="1">
        <v>2386248.5499999998</v>
      </c>
      <c r="BA120" s="1">
        <v>1216987</v>
      </c>
      <c r="BB120" s="1"/>
      <c r="BC120" s="15">
        <v>0</v>
      </c>
      <c r="BD120" s="15">
        <v>0</v>
      </c>
      <c r="BE120" s="20">
        <v>169277</v>
      </c>
      <c r="BF120" s="20">
        <v>169277</v>
      </c>
      <c r="BG120" s="20">
        <v>19966994</v>
      </c>
      <c r="BH120" s="20">
        <v>19941129</v>
      </c>
      <c r="BI120" s="44"/>
      <c r="BJ120" s="44"/>
      <c r="BK120" s="44"/>
      <c r="BL120" s="5">
        <v>231609765</v>
      </c>
      <c r="BM120" s="5">
        <v>171324296</v>
      </c>
      <c r="BN120" s="15">
        <v>512000</v>
      </c>
      <c r="BO120" s="3"/>
      <c r="BP120" s="1"/>
      <c r="BQ120" s="1"/>
      <c r="BR120" s="5"/>
      <c r="BS120" s="5"/>
      <c r="BT120" s="5"/>
    </row>
    <row r="121" spans="1:72" ht="15.75" thickBot="1" x14ac:dyDescent="0.3">
      <c r="A121" s="9" t="s">
        <v>175</v>
      </c>
      <c r="B121" s="48">
        <v>1267545140</v>
      </c>
      <c r="C121" s="48">
        <v>499893925</v>
      </c>
      <c r="D121" s="48">
        <v>241159010</v>
      </c>
      <c r="E121" s="48">
        <v>0</v>
      </c>
      <c r="F121" s="48">
        <v>58703100</v>
      </c>
      <c r="G121" s="48">
        <v>6354000</v>
      </c>
      <c r="H121" s="48">
        <v>7133900</v>
      </c>
      <c r="I121" s="48">
        <v>272000</v>
      </c>
      <c r="J121" s="48">
        <v>170000</v>
      </c>
      <c r="K121" s="48">
        <v>34000</v>
      </c>
      <c r="L121" s="48">
        <v>1019371540</v>
      </c>
      <c r="M121" s="48">
        <v>255458900</v>
      </c>
      <c r="N121" s="48">
        <v>1960</v>
      </c>
      <c r="O121" s="48">
        <v>196</v>
      </c>
      <c r="P121" s="48">
        <v>9711000</v>
      </c>
      <c r="Q121" s="48">
        <v>2638000</v>
      </c>
      <c r="R121" s="48">
        <v>516000</v>
      </c>
      <c r="S121" s="48">
        <v>302800</v>
      </c>
      <c r="T121" s="48">
        <v>100000</v>
      </c>
      <c r="U121" s="48">
        <v>2096600</v>
      </c>
      <c r="V121" s="48">
        <v>9711000</v>
      </c>
      <c r="W121" s="48">
        <v>2638000</v>
      </c>
      <c r="X121" s="48">
        <v>516000</v>
      </c>
      <c r="Y121" s="48">
        <v>302800</v>
      </c>
      <c r="Z121" s="48">
        <v>100000</v>
      </c>
      <c r="AA121" s="48">
        <v>2096600</v>
      </c>
      <c r="AB121" s="48">
        <v>-2515900</v>
      </c>
      <c r="AC121" s="48">
        <v>-1187559</v>
      </c>
      <c r="AD121" s="48">
        <v>0</v>
      </c>
      <c r="AE121" s="48">
        <v>0</v>
      </c>
      <c r="AF121" s="48">
        <v>0</v>
      </c>
      <c r="AG121" s="48">
        <v>106981</v>
      </c>
      <c r="AH121" s="48"/>
      <c r="AI121" s="48"/>
      <c r="AJ121" s="48"/>
      <c r="AK121" s="37">
        <v>170655454</v>
      </c>
      <c r="AL121" s="37">
        <v>5276995</v>
      </c>
      <c r="AM121" s="48">
        <v>0</v>
      </c>
      <c r="AN121" s="48">
        <v>34733478</v>
      </c>
      <c r="AO121" s="48">
        <v>8421325</v>
      </c>
      <c r="AP121" s="48">
        <v>213200473</v>
      </c>
      <c r="AQ121" s="48">
        <v>92595025</v>
      </c>
      <c r="AR121" s="48">
        <v>39900985</v>
      </c>
      <c r="AS121" s="48">
        <v>13208359</v>
      </c>
      <c r="AT121" s="48">
        <v>187814241</v>
      </c>
      <c r="AU121" s="48">
        <v>0</v>
      </c>
      <c r="AV121" s="48">
        <v>0</v>
      </c>
      <c r="AW121" s="48">
        <v>0</v>
      </c>
      <c r="AX121" s="48">
        <v>2319</v>
      </c>
      <c r="AY121" s="48">
        <v>756500</v>
      </c>
      <c r="AZ121" s="21">
        <v>10598707.310000001</v>
      </c>
      <c r="BA121" s="21">
        <v>5405341</v>
      </c>
      <c r="BB121" s="37"/>
      <c r="BC121" s="23">
        <v>1079912</v>
      </c>
      <c r="BD121" s="23">
        <v>2117475</v>
      </c>
      <c r="BE121" s="23">
        <v>9374424</v>
      </c>
      <c r="BF121" s="23">
        <v>8657988</v>
      </c>
      <c r="BG121" s="23">
        <v>31784981</v>
      </c>
      <c r="BH121" s="23">
        <v>31575543</v>
      </c>
      <c r="BI121" s="51">
        <v>47148776</v>
      </c>
      <c r="BJ121" s="51"/>
      <c r="BK121" s="51"/>
      <c r="BL121" s="25">
        <v>2414147912</v>
      </c>
      <c r="BM121" s="25">
        <v>2144347903</v>
      </c>
      <c r="BN121" s="23">
        <v>1879910</v>
      </c>
      <c r="BO121" s="16"/>
      <c r="BP121" s="1"/>
      <c r="BQ121" s="1"/>
      <c r="BR121" s="5"/>
      <c r="BS121" s="5"/>
      <c r="BT121" s="5"/>
    </row>
    <row r="122" spans="1:72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40"/>
      <c r="BC122" s="3"/>
      <c r="BD122" s="3"/>
      <c r="BE122" s="27"/>
      <c r="BF122" s="27"/>
      <c r="BG122" s="27"/>
      <c r="BH122" s="27"/>
      <c r="BI122" s="40"/>
      <c r="BJ122" s="40"/>
      <c r="BK122" s="3"/>
      <c r="BL122" s="3"/>
      <c r="BM122" s="3"/>
      <c r="BN122" s="3"/>
      <c r="BO122" s="3"/>
      <c r="BP122" s="3"/>
      <c r="BQ122" s="3"/>
      <c r="BR122" s="3"/>
      <c r="BS122" s="3"/>
      <c r="BT122" s="3"/>
    </row>
    <row r="123" spans="1:72" x14ac:dyDescent="0.25">
      <c r="B123" s="52">
        <v>147370769632</v>
      </c>
      <c r="C123" s="52">
        <v>18280173678</v>
      </c>
      <c r="D123" s="52">
        <v>54516085273</v>
      </c>
      <c r="E123" s="52">
        <v>2540145467</v>
      </c>
      <c r="F123" s="52">
        <v>9101484537</v>
      </c>
      <c r="G123" s="52">
        <v>2050652999</v>
      </c>
      <c r="H123" s="52">
        <v>1417011426</v>
      </c>
      <c r="I123" s="52">
        <v>270877766</v>
      </c>
      <c r="J123" s="52">
        <v>20765530</v>
      </c>
      <c r="K123" s="52">
        <v>3261730</v>
      </c>
      <c r="L123" s="52">
        <v>32432906283</v>
      </c>
      <c r="M123" s="52">
        <v>12061986074</v>
      </c>
      <c r="N123" s="52">
        <v>323660</v>
      </c>
      <c r="O123" s="52">
        <v>78794</v>
      </c>
      <c r="P123" s="52">
        <v>1532369615</v>
      </c>
      <c r="Q123" s="52">
        <v>280655469</v>
      </c>
      <c r="R123" s="52">
        <v>709429366</v>
      </c>
      <c r="S123" s="52">
        <v>1389663251</v>
      </c>
      <c r="T123" s="52">
        <v>148637036</v>
      </c>
      <c r="U123" s="52">
        <v>537971445</v>
      </c>
      <c r="V123" s="52">
        <v>1532369615</v>
      </c>
      <c r="W123" s="52">
        <v>364464605</v>
      </c>
      <c r="X123" s="52">
        <v>709429456</v>
      </c>
      <c r="Y123" s="52">
        <v>1389715764</v>
      </c>
      <c r="Z123" s="52">
        <v>243114570</v>
      </c>
      <c r="AA123" s="52">
        <v>537971445</v>
      </c>
      <c r="AB123" s="52">
        <v>-413718725</v>
      </c>
      <c r="AC123" s="52">
        <v>-309042316</v>
      </c>
      <c r="AD123" s="52">
        <v>7477381</v>
      </c>
      <c r="AE123" s="52">
        <v>1934057</v>
      </c>
      <c r="AF123" s="52">
        <v>2477538269</v>
      </c>
      <c r="AG123" s="52">
        <v>49282727</v>
      </c>
      <c r="AH123" s="52">
        <v>259116223</v>
      </c>
      <c r="AI123" s="52">
        <v>1368841713</v>
      </c>
      <c r="AJ123" s="52">
        <v>2093622615</v>
      </c>
      <c r="AK123" s="52">
        <v>24529154547</v>
      </c>
      <c r="AL123" s="52">
        <v>766064517</v>
      </c>
      <c r="AM123" s="52">
        <v>95522540</v>
      </c>
      <c r="AN123" s="52">
        <v>10443051669</v>
      </c>
      <c r="AO123" s="52">
        <v>884722853</v>
      </c>
      <c r="AP123" s="52">
        <v>15578214429</v>
      </c>
      <c r="AQ123" s="52">
        <v>8891332127</v>
      </c>
      <c r="AR123" s="52">
        <v>9425542288</v>
      </c>
      <c r="AS123" s="52">
        <v>6743462813</v>
      </c>
      <c r="AT123" s="52">
        <v>6287645852</v>
      </c>
      <c r="AU123" s="52">
        <v>60083891</v>
      </c>
      <c r="AV123" s="52">
        <v>49104068</v>
      </c>
      <c r="AW123" s="52">
        <v>880313803</v>
      </c>
      <c r="AX123" s="52">
        <v>86434466</v>
      </c>
      <c r="AY123" s="52">
        <v>368127702</v>
      </c>
      <c r="AZ123" s="52">
        <v>1523404751.7599993</v>
      </c>
      <c r="BA123" s="52">
        <v>776936421</v>
      </c>
      <c r="BB123" s="53">
        <v>853082897.2299999</v>
      </c>
      <c r="BC123" s="53">
        <v>286960812</v>
      </c>
      <c r="BD123" s="53">
        <v>562668257</v>
      </c>
      <c r="BE123" s="29">
        <v>3981732293</v>
      </c>
      <c r="BF123" s="29">
        <v>3931993046</v>
      </c>
      <c r="BG123" s="29">
        <v>9206407014</v>
      </c>
      <c r="BH123" s="29">
        <v>8467775956</v>
      </c>
      <c r="BI123" s="53">
        <v>1149184673</v>
      </c>
      <c r="BJ123" s="53">
        <v>131194476</v>
      </c>
      <c r="BK123" s="53">
        <v>0</v>
      </c>
      <c r="BL123" s="30">
        <v>284133039893</v>
      </c>
      <c r="BM123" s="30">
        <v>244093775445</v>
      </c>
      <c r="BN123" s="30">
        <v>427522791</v>
      </c>
      <c r="BO123" s="14"/>
      <c r="BP123" s="4"/>
      <c r="BQ123" s="4"/>
      <c r="BR123" s="4"/>
      <c r="BS123" s="4"/>
      <c r="BT123" s="3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T123"/>
  <sheetViews>
    <sheetView workbookViewId="0"/>
  </sheetViews>
  <sheetFormatPr defaultColWidth="9.140625" defaultRowHeight="15" x14ac:dyDescent="0.25"/>
  <cols>
    <col min="1" max="1" width="15" bestFit="1" customWidth="1"/>
    <col min="2" max="2" width="16" bestFit="1" customWidth="1"/>
    <col min="3" max="4" width="15" bestFit="1" customWidth="1"/>
    <col min="5" max="5" width="14" bestFit="1" customWidth="1"/>
    <col min="6" max="6" width="15" bestFit="1" customWidth="1"/>
    <col min="7" max="8" width="14" bestFit="1" customWidth="1"/>
    <col min="9" max="9" width="12.28515625" bestFit="1" customWidth="1"/>
    <col min="10" max="10" width="15.7109375" customWidth="1"/>
    <col min="11" max="11" width="13.85546875" customWidth="1"/>
    <col min="12" max="13" width="15" bestFit="1" customWidth="1"/>
    <col min="15" max="15" width="14.5703125" customWidth="1"/>
    <col min="16" max="16" width="14" bestFit="1" customWidth="1"/>
    <col min="17" max="17" width="12.28515625" bestFit="1" customWidth="1"/>
    <col min="18" max="19" width="14" bestFit="1" customWidth="1"/>
    <col min="20" max="21" width="12.28515625" bestFit="1" customWidth="1"/>
    <col min="22" max="22" width="14" bestFit="1" customWidth="1"/>
    <col min="23" max="23" width="12.28515625" bestFit="1" customWidth="1"/>
    <col min="24" max="25" width="14" bestFit="1" customWidth="1"/>
    <col min="26" max="27" width="12.28515625" bestFit="1" customWidth="1"/>
    <col min="28" max="29" width="12.85546875" bestFit="1" customWidth="1"/>
    <col min="30" max="30" width="11.28515625" bestFit="1" customWidth="1"/>
    <col min="31" max="31" width="10.28515625" bestFit="1" customWidth="1"/>
    <col min="32" max="32" width="14" bestFit="1" customWidth="1"/>
    <col min="33" max="33" width="11.28515625" bestFit="1" customWidth="1"/>
    <col min="34" max="34" width="12.28515625" bestFit="1" customWidth="1"/>
    <col min="35" max="35" width="14.7109375" customWidth="1"/>
    <col min="36" max="36" width="14" bestFit="1" customWidth="1"/>
    <col min="37" max="37" width="15" bestFit="1" customWidth="1"/>
    <col min="38" max="39" width="12.28515625" bestFit="1" customWidth="1"/>
    <col min="40" max="40" width="15" bestFit="1" customWidth="1"/>
    <col min="41" max="41" width="12.28515625" bestFit="1" customWidth="1"/>
    <col min="42" max="42" width="15" bestFit="1" customWidth="1"/>
    <col min="43" max="43" width="14" bestFit="1" customWidth="1"/>
    <col min="44" max="45" width="15" bestFit="1" customWidth="1"/>
    <col min="46" max="46" width="14" bestFit="1" customWidth="1"/>
    <col min="47" max="48" width="11.28515625" bestFit="1" customWidth="1"/>
    <col min="49" max="49" width="14" bestFit="1" customWidth="1"/>
    <col min="50" max="51" width="12.28515625" bestFit="1" customWidth="1"/>
    <col min="52" max="52" width="14" bestFit="1" customWidth="1"/>
    <col min="53" max="53" width="12.28515625" bestFit="1" customWidth="1"/>
    <col min="54" max="54" width="14" bestFit="1" customWidth="1"/>
    <col min="55" max="56" width="12.28515625" bestFit="1" customWidth="1"/>
    <col min="57" max="58" width="13.42578125" bestFit="1" customWidth="1"/>
    <col min="59" max="60" width="14.42578125" bestFit="1" customWidth="1"/>
    <col min="61" max="61" width="14" bestFit="1" customWidth="1"/>
    <col min="62" max="62" width="12.28515625" bestFit="1" customWidth="1"/>
    <col min="63" max="63" width="12.42578125" customWidth="1"/>
    <col min="64" max="65" width="16" bestFit="1" customWidth="1"/>
    <col min="66" max="66" width="12.28515625" bestFit="1" customWidth="1"/>
    <col min="67" max="67" width="10.28515625" bestFit="1" customWidth="1"/>
    <col min="68" max="68" width="15" bestFit="1" customWidth="1"/>
    <col min="69" max="69" width="13.42578125" bestFit="1" customWidth="1"/>
    <col min="70" max="70" width="15" bestFit="1" customWidth="1"/>
    <col min="71" max="71" width="16" bestFit="1" customWidth="1"/>
    <col min="72" max="72" width="15" bestFit="1" customWidth="1"/>
  </cols>
  <sheetData>
    <row r="1" spans="1:72" ht="72" customHeight="1" thickBot="1" x14ac:dyDescent="0.3">
      <c r="A1" s="7" t="s">
        <v>254</v>
      </c>
      <c r="B1" s="38" t="s">
        <v>0</v>
      </c>
      <c r="C1" s="38" t="s">
        <v>1</v>
      </c>
      <c r="D1" s="38" t="s">
        <v>2</v>
      </c>
      <c r="E1" s="38" t="s">
        <v>3</v>
      </c>
      <c r="F1" s="38" t="s">
        <v>4</v>
      </c>
      <c r="G1" s="38" t="s">
        <v>5</v>
      </c>
      <c r="H1" s="38" t="s">
        <v>6</v>
      </c>
      <c r="I1" s="39" t="s">
        <v>7</v>
      </c>
      <c r="J1" s="38" t="s">
        <v>8</v>
      </c>
      <c r="K1" s="38" t="s">
        <v>9</v>
      </c>
      <c r="L1" s="38" t="s">
        <v>10</v>
      </c>
      <c r="M1" s="38" t="s">
        <v>11</v>
      </c>
      <c r="N1" s="38" t="s">
        <v>12</v>
      </c>
      <c r="O1" s="38" t="s">
        <v>13</v>
      </c>
      <c r="P1" s="38" t="s">
        <v>255</v>
      </c>
      <c r="Q1" s="38" t="s">
        <v>256</v>
      </c>
      <c r="R1" s="38" t="s">
        <v>257</v>
      </c>
      <c r="S1" s="38" t="s">
        <v>258</v>
      </c>
      <c r="T1" s="38" t="s">
        <v>259</v>
      </c>
      <c r="U1" s="38" t="s">
        <v>260</v>
      </c>
      <c r="V1" s="38" t="s">
        <v>261</v>
      </c>
      <c r="W1" s="38" t="s">
        <v>262</v>
      </c>
      <c r="X1" s="38" t="s">
        <v>263</v>
      </c>
      <c r="Y1" s="38" t="s">
        <v>264</v>
      </c>
      <c r="Z1" s="38" t="s">
        <v>265</v>
      </c>
      <c r="AA1" s="38" t="s">
        <v>266</v>
      </c>
      <c r="AB1" s="38" t="s">
        <v>267</v>
      </c>
      <c r="AC1" s="38" t="s">
        <v>268</v>
      </c>
      <c r="AD1" s="38" t="s">
        <v>14</v>
      </c>
      <c r="AE1" s="38" t="s">
        <v>15</v>
      </c>
      <c r="AF1" s="38" t="s">
        <v>16</v>
      </c>
      <c r="AG1" s="38" t="s">
        <v>17</v>
      </c>
      <c r="AH1" s="38" t="s">
        <v>18</v>
      </c>
      <c r="AI1" s="38" t="s">
        <v>19</v>
      </c>
      <c r="AJ1" s="60" t="s">
        <v>269</v>
      </c>
      <c r="AK1" s="38" t="s">
        <v>21</v>
      </c>
      <c r="AL1" s="38" t="s">
        <v>22</v>
      </c>
      <c r="AM1" s="38" t="s">
        <v>23</v>
      </c>
      <c r="AN1" s="38" t="s">
        <v>24</v>
      </c>
      <c r="AO1" s="38" t="s">
        <v>25</v>
      </c>
      <c r="AP1" s="38" t="s">
        <v>26</v>
      </c>
      <c r="AQ1" s="38" t="s">
        <v>27</v>
      </c>
      <c r="AR1" s="38" t="s">
        <v>28</v>
      </c>
      <c r="AS1" s="38" t="s">
        <v>29</v>
      </c>
      <c r="AT1" s="38" t="s">
        <v>30</v>
      </c>
      <c r="AU1" s="38" t="s">
        <v>31</v>
      </c>
      <c r="AV1" s="38" t="s">
        <v>32</v>
      </c>
      <c r="AW1" s="38" t="s">
        <v>33</v>
      </c>
      <c r="AX1" s="38" t="s">
        <v>34</v>
      </c>
      <c r="AY1" s="38" t="s">
        <v>35</v>
      </c>
      <c r="AZ1" s="38" t="s">
        <v>40</v>
      </c>
      <c r="BA1" s="38" t="s">
        <v>41</v>
      </c>
      <c r="BB1" s="38" t="s">
        <v>42</v>
      </c>
      <c r="BC1" s="38" t="s">
        <v>270</v>
      </c>
      <c r="BD1" s="38" t="s">
        <v>43</v>
      </c>
      <c r="BE1" s="38" t="s">
        <v>44</v>
      </c>
      <c r="BF1" s="38" t="s">
        <v>271</v>
      </c>
      <c r="BG1" s="38" t="s">
        <v>45</v>
      </c>
      <c r="BH1" s="38" t="s">
        <v>272</v>
      </c>
      <c r="BI1" s="38" t="s">
        <v>46</v>
      </c>
      <c r="BJ1" s="38" t="s">
        <v>47</v>
      </c>
      <c r="BK1" s="38" t="s">
        <v>48</v>
      </c>
      <c r="BL1" s="17" t="s">
        <v>49</v>
      </c>
      <c r="BM1" s="17" t="s">
        <v>50</v>
      </c>
      <c r="BN1" s="17" t="s">
        <v>51</v>
      </c>
      <c r="BO1" s="17"/>
      <c r="BP1" s="2"/>
      <c r="BQ1" s="2"/>
      <c r="BR1" s="2"/>
      <c r="BS1" s="2"/>
      <c r="BT1" s="2"/>
    </row>
    <row r="2" spans="1:72" x14ac:dyDescent="0.25">
      <c r="A2" s="8" t="s">
        <v>56</v>
      </c>
      <c r="B2" s="40">
        <v>281315450</v>
      </c>
      <c r="C2" s="40">
        <v>149554095</v>
      </c>
      <c r="D2" s="40">
        <v>95106000</v>
      </c>
      <c r="E2" s="40">
        <v>0</v>
      </c>
      <c r="F2" s="40">
        <v>37851400</v>
      </c>
      <c r="G2" s="40">
        <v>12349600</v>
      </c>
      <c r="H2" s="40">
        <v>19079200</v>
      </c>
      <c r="I2" s="40">
        <v>3040600</v>
      </c>
      <c r="J2" s="40">
        <v>34000</v>
      </c>
      <c r="K2" s="40">
        <v>0</v>
      </c>
      <c r="L2" s="40">
        <v>381441875</v>
      </c>
      <c r="M2" s="40">
        <v>1041675</v>
      </c>
      <c r="N2" s="40">
        <v>1765</v>
      </c>
      <c r="O2" s="40">
        <v>528</v>
      </c>
      <c r="P2" s="40">
        <v>2686000</v>
      </c>
      <c r="Q2" s="40">
        <v>930000</v>
      </c>
      <c r="R2" s="40">
        <v>104400</v>
      </c>
      <c r="S2" s="40">
        <v>139000</v>
      </c>
      <c r="T2" s="40">
        <v>93000</v>
      </c>
      <c r="U2" s="40">
        <v>55000</v>
      </c>
      <c r="V2" s="40">
        <v>2686000</v>
      </c>
      <c r="W2" s="40">
        <v>943000</v>
      </c>
      <c r="X2" s="40">
        <v>104400</v>
      </c>
      <c r="Y2" s="40">
        <v>139000</v>
      </c>
      <c r="Z2" s="40">
        <v>78000</v>
      </c>
      <c r="AA2" s="40">
        <v>55000</v>
      </c>
      <c r="AB2" s="40">
        <v>-43500</v>
      </c>
      <c r="AC2" s="40">
        <v>0</v>
      </c>
      <c r="AD2" s="40">
        <v>10229905</v>
      </c>
      <c r="AE2" s="40">
        <v>1012012</v>
      </c>
      <c r="AF2" s="40">
        <v>0</v>
      </c>
      <c r="AG2" s="40">
        <v>1236034</v>
      </c>
      <c r="AH2" s="40">
        <v>4938655.7377049178</v>
      </c>
      <c r="AI2" s="40">
        <v>411991.80327868852</v>
      </c>
      <c r="AJ2" s="46">
        <v>0</v>
      </c>
      <c r="AK2" s="1">
        <v>89822341</v>
      </c>
      <c r="AL2" s="1">
        <v>3012556</v>
      </c>
      <c r="AM2" s="40">
        <v>542993</v>
      </c>
      <c r="AN2" s="40">
        <v>18029211</v>
      </c>
      <c r="AO2" s="40">
        <v>487054</v>
      </c>
      <c r="AP2" s="40">
        <v>17451776</v>
      </c>
      <c r="AQ2" s="40">
        <v>17948724</v>
      </c>
      <c r="AR2" s="40">
        <v>20693722</v>
      </c>
      <c r="AS2" s="40">
        <v>0</v>
      </c>
      <c r="AT2" s="40">
        <v>88337</v>
      </c>
      <c r="AU2" s="40">
        <v>0</v>
      </c>
      <c r="AV2" s="40">
        <v>0</v>
      </c>
      <c r="AW2" s="40">
        <v>12465</v>
      </c>
      <c r="AX2" s="40">
        <v>440297</v>
      </c>
      <c r="AY2" s="40">
        <v>501139</v>
      </c>
      <c r="AZ2" s="1">
        <v>6767255.0599999996</v>
      </c>
      <c r="BA2" s="1">
        <v>3451300</v>
      </c>
      <c r="BB2" s="1"/>
      <c r="BC2" s="15">
        <v>0</v>
      </c>
      <c r="BD2" s="15">
        <v>0</v>
      </c>
      <c r="BE2" s="20">
        <v>18990405</v>
      </c>
      <c r="BF2" s="20">
        <v>18990405</v>
      </c>
      <c r="BG2" s="20">
        <v>35702670</v>
      </c>
      <c r="BH2" s="20">
        <v>35643332</v>
      </c>
      <c r="BI2" s="44"/>
      <c r="BJ2" s="44"/>
      <c r="BK2" s="44"/>
      <c r="BL2" s="5">
        <v>718711115.54098368</v>
      </c>
      <c r="BM2" s="5">
        <v>567791181.54098368</v>
      </c>
      <c r="BN2" s="15">
        <v>272500</v>
      </c>
      <c r="BO2" s="3"/>
      <c r="BP2" s="1"/>
      <c r="BQ2" s="1"/>
      <c r="BR2" s="5"/>
      <c r="BS2" s="5"/>
      <c r="BT2" s="5"/>
    </row>
    <row r="3" spans="1:72" x14ac:dyDescent="0.25">
      <c r="A3" s="6" t="s">
        <v>57</v>
      </c>
      <c r="B3" s="40">
        <v>398754143</v>
      </c>
      <c r="C3" s="40">
        <v>154294321</v>
      </c>
      <c r="D3" s="40">
        <v>89810332</v>
      </c>
      <c r="E3" s="40">
        <v>8400000</v>
      </c>
      <c r="F3" s="40">
        <v>40584580</v>
      </c>
      <c r="G3" s="40">
        <v>11479625</v>
      </c>
      <c r="H3" s="40">
        <v>16275590</v>
      </c>
      <c r="I3" s="40">
        <v>2112330</v>
      </c>
      <c r="J3" s="40">
        <v>101500</v>
      </c>
      <c r="K3" s="40">
        <v>0</v>
      </c>
      <c r="L3" s="40">
        <v>269437746</v>
      </c>
      <c r="M3" s="40">
        <v>101662191</v>
      </c>
      <c r="N3" s="40">
        <v>1751</v>
      </c>
      <c r="O3" s="40">
        <v>415</v>
      </c>
      <c r="P3" s="40">
        <v>5495676</v>
      </c>
      <c r="Q3" s="40">
        <v>3024813</v>
      </c>
      <c r="R3" s="40">
        <v>1555600</v>
      </c>
      <c r="S3" s="40">
        <v>3567375</v>
      </c>
      <c r="T3" s="40">
        <v>813830</v>
      </c>
      <c r="U3" s="40">
        <v>391125</v>
      </c>
      <c r="V3" s="40">
        <v>5495676</v>
      </c>
      <c r="W3" s="40">
        <v>3307603</v>
      </c>
      <c r="X3" s="40">
        <v>1555600</v>
      </c>
      <c r="Y3" s="40">
        <v>3567375</v>
      </c>
      <c r="Z3" s="40">
        <v>1766971</v>
      </c>
      <c r="AA3" s="40">
        <v>391125</v>
      </c>
      <c r="AB3" s="40">
        <v>-3245551</v>
      </c>
      <c r="AC3" s="40">
        <v>30040</v>
      </c>
      <c r="AD3" s="40">
        <v>889</v>
      </c>
      <c r="AE3" s="40">
        <v>0</v>
      </c>
      <c r="AF3" s="40">
        <v>0</v>
      </c>
      <c r="AG3" s="40">
        <v>0</v>
      </c>
      <c r="AH3" s="40">
        <v>1452073.7704918033</v>
      </c>
      <c r="AI3" s="40">
        <v>308549.18032786885</v>
      </c>
      <c r="AJ3" s="46">
        <v>0</v>
      </c>
      <c r="AK3" s="1">
        <v>88722469</v>
      </c>
      <c r="AL3" s="1">
        <v>5412987</v>
      </c>
      <c r="AM3" s="40">
        <v>0</v>
      </c>
      <c r="AN3" s="40">
        <v>22461890</v>
      </c>
      <c r="AO3" s="40">
        <v>1850141</v>
      </c>
      <c r="AP3" s="40">
        <v>71114865</v>
      </c>
      <c r="AQ3" s="40">
        <v>29931575</v>
      </c>
      <c r="AR3" s="40">
        <v>12072503</v>
      </c>
      <c r="AS3" s="40">
        <v>36539475</v>
      </c>
      <c r="AT3" s="40">
        <v>233546</v>
      </c>
      <c r="AU3" s="40">
        <v>0</v>
      </c>
      <c r="AV3" s="40">
        <v>0</v>
      </c>
      <c r="AW3" s="40">
        <v>0</v>
      </c>
      <c r="AX3" s="40">
        <v>9644</v>
      </c>
      <c r="AY3" s="40">
        <v>17000</v>
      </c>
      <c r="AZ3" s="1">
        <v>6684390.2199999997</v>
      </c>
      <c r="BA3" s="1">
        <v>3409039</v>
      </c>
      <c r="BB3" s="1"/>
      <c r="BC3" s="15">
        <v>0</v>
      </c>
      <c r="BD3" s="15">
        <v>0</v>
      </c>
      <c r="BE3" s="20">
        <v>13852745</v>
      </c>
      <c r="BF3" s="20">
        <v>13852745</v>
      </c>
      <c r="BG3" s="20">
        <v>37665611</v>
      </c>
      <c r="BH3" s="20">
        <v>37658004</v>
      </c>
      <c r="BI3" s="44"/>
      <c r="BJ3" s="44"/>
      <c r="BK3" s="44"/>
      <c r="BL3" s="5">
        <v>847918268.95081973</v>
      </c>
      <c r="BM3" s="5">
        <v>698863024.95081973</v>
      </c>
      <c r="BN3" s="15">
        <v>1484777</v>
      </c>
      <c r="BO3" s="3"/>
      <c r="BP3" s="1"/>
      <c r="BQ3" s="1"/>
      <c r="BR3" s="5"/>
      <c r="BS3" s="5"/>
      <c r="BT3" s="5"/>
    </row>
    <row r="4" spans="1:72" x14ac:dyDescent="0.25">
      <c r="A4" s="6" t="s">
        <v>58</v>
      </c>
      <c r="B4" s="40">
        <v>870962673</v>
      </c>
      <c r="C4" s="40">
        <v>195704166</v>
      </c>
      <c r="D4" s="40">
        <v>210189497</v>
      </c>
      <c r="E4" s="40">
        <v>0</v>
      </c>
      <c r="F4" s="40">
        <v>47399100</v>
      </c>
      <c r="G4" s="40">
        <v>8304000</v>
      </c>
      <c r="H4" s="40">
        <v>10132000</v>
      </c>
      <c r="I4" s="40">
        <v>1530000</v>
      </c>
      <c r="J4" s="40">
        <v>102000</v>
      </c>
      <c r="K4" s="40">
        <v>0</v>
      </c>
      <c r="L4" s="40">
        <v>158396282</v>
      </c>
      <c r="M4" s="40">
        <v>122715706</v>
      </c>
      <c r="N4" s="40">
        <v>1723</v>
      </c>
      <c r="O4" s="40">
        <v>300</v>
      </c>
      <c r="P4" s="40">
        <v>5185000</v>
      </c>
      <c r="Q4" s="40">
        <v>666000</v>
      </c>
      <c r="R4" s="40">
        <v>513500</v>
      </c>
      <c r="S4" s="40">
        <v>7649414</v>
      </c>
      <c r="T4" s="40">
        <v>3299965</v>
      </c>
      <c r="U4" s="40">
        <v>1558700</v>
      </c>
      <c r="V4" s="40">
        <v>5185000</v>
      </c>
      <c r="W4" s="40">
        <v>303800</v>
      </c>
      <c r="X4" s="40">
        <v>513500</v>
      </c>
      <c r="Y4" s="40">
        <v>7649414</v>
      </c>
      <c r="Z4" s="40">
        <v>1990000</v>
      </c>
      <c r="AA4" s="40">
        <v>1558700</v>
      </c>
      <c r="AB4" s="40">
        <v>-2436100</v>
      </c>
      <c r="AC4" s="40">
        <v>-100175</v>
      </c>
      <c r="AD4" s="40">
        <v>0</v>
      </c>
      <c r="AE4" s="40">
        <v>0</v>
      </c>
      <c r="AF4" s="40">
        <v>0</v>
      </c>
      <c r="AG4" s="40">
        <v>31230316</v>
      </c>
      <c r="AH4" s="40">
        <v>0</v>
      </c>
      <c r="AI4" s="40">
        <v>101811.47540983607</v>
      </c>
      <c r="AJ4" s="46">
        <v>0</v>
      </c>
      <c r="AK4" s="1">
        <v>138513873</v>
      </c>
      <c r="AL4" s="1">
        <v>4245390</v>
      </c>
      <c r="AM4" s="40">
        <v>0</v>
      </c>
      <c r="AN4" s="40">
        <v>20454654</v>
      </c>
      <c r="AO4" s="40">
        <v>5070325</v>
      </c>
      <c r="AP4" s="40">
        <v>94856237</v>
      </c>
      <c r="AQ4" s="40">
        <v>31016353</v>
      </c>
      <c r="AR4" s="40">
        <v>54828254</v>
      </c>
      <c r="AS4" s="40">
        <v>26383871</v>
      </c>
      <c r="AT4" s="40">
        <v>414217</v>
      </c>
      <c r="AU4" s="40">
        <v>0</v>
      </c>
      <c r="AV4" s="40">
        <v>0</v>
      </c>
      <c r="AW4" s="40">
        <v>3639025</v>
      </c>
      <c r="AX4" s="40">
        <v>0</v>
      </c>
      <c r="AY4" s="40">
        <v>32500</v>
      </c>
      <c r="AZ4" s="1">
        <v>10435696.710000001</v>
      </c>
      <c r="BA4" s="1">
        <v>5322205</v>
      </c>
      <c r="BB4" s="1"/>
      <c r="BC4" s="15">
        <v>1450309</v>
      </c>
      <c r="BD4" s="15">
        <v>2843743</v>
      </c>
      <c r="BE4" s="20">
        <v>13336078</v>
      </c>
      <c r="BF4" s="20">
        <v>13336078</v>
      </c>
      <c r="BG4" s="20">
        <v>29715500</v>
      </c>
      <c r="BH4" s="20">
        <v>28402349</v>
      </c>
      <c r="BI4" s="20">
        <v>80452002</v>
      </c>
      <c r="BJ4" s="44"/>
      <c r="BK4" s="44"/>
      <c r="BL4" s="5">
        <v>1605221685.4754097</v>
      </c>
      <c r="BM4" s="5">
        <v>1333499479.4754097</v>
      </c>
      <c r="BN4" s="15">
        <v>973848</v>
      </c>
      <c r="BO4" s="3"/>
      <c r="BP4" s="1"/>
      <c r="BQ4" s="1"/>
      <c r="BR4" s="5"/>
      <c r="BS4" s="5"/>
      <c r="BT4" s="5"/>
    </row>
    <row r="5" spans="1:72" x14ac:dyDescent="0.25">
      <c r="A5" s="6" t="s">
        <v>59</v>
      </c>
      <c r="B5" s="40">
        <v>154164747</v>
      </c>
      <c r="C5" s="40">
        <v>117778475</v>
      </c>
      <c r="D5" s="40">
        <v>89587714</v>
      </c>
      <c r="E5" s="40">
        <v>0</v>
      </c>
      <c r="F5" s="40">
        <v>21993700</v>
      </c>
      <c r="G5" s="40">
        <v>4286500</v>
      </c>
      <c r="H5" s="40">
        <v>6040157</v>
      </c>
      <c r="I5" s="40">
        <v>442000</v>
      </c>
      <c r="J5" s="40">
        <v>45000</v>
      </c>
      <c r="K5" s="40">
        <v>0</v>
      </c>
      <c r="L5" s="40">
        <v>231018201</v>
      </c>
      <c r="M5" s="40">
        <v>41203246</v>
      </c>
      <c r="N5" s="40">
        <v>866</v>
      </c>
      <c r="O5" s="40">
        <v>157</v>
      </c>
      <c r="P5" s="40">
        <v>3810600</v>
      </c>
      <c r="Q5" s="40">
        <v>1092200</v>
      </c>
      <c r="R5" s="40">
        <v>7138000</v>
      </c>
      <c r="S5" s="40">
        <v>1280691</v>
      </c>
      <c r="T5" s="40">
        <v>102432</v>
      </c>
      <c r="U5" s="40">
        <v>126000</v>
      </c>
      <c r="V5" s="40">
        <v>3810600</v>
      </c>
      <c r="W5" s="40">
        <v>1092200</v>
      </c>
      <c r="X5" s="40">
        <v>7138000</v>
      </c>
      <c r="Y5" s="40">
        <v>1280691</v>
      </c>
      <c r="Z5" s="40">
        <v>102432</v>
      </c>
      <c r="AA5" s="40">
        <v>126000</v>
      </c>
      <c r="AB5" s="40">
        <v>-2112137</v>
      </c>
      <c r="AC5" s="40">
        <v>-547467</v>
      </c>
      <c r="AD5" s="40">
        <v>34422</v>
      </c>
      <c r="AE5" s="40">
        <v>6114</v>
      </c>
      <c r="AF5" s="40">
        <v>8266</v>
      </c>
      <c r="AG5" s="40">
        <v>142265</v>
      </c>
      <c r="AH5" s="40">
        <v>0</v>
      </c>
      <c r="AI5" s="40">
        <v>83852.459016393448</v>
      </c>
      <c r="AJ5" s="46">
        <v>0</v>
      </c>
      <c r="AK5" s="1">
        <v>65004421</v>
      </c>
      <c r="AL5" s="1">
        <v>2348294</v>
      </c>
      <c r="AM5" s="40">
        <v>0</v>
      </c>
      <c r="AN5" s="40">
        <v>28583899</v>
      </c>
      <c r="AO5" s="40">
        <v>18566336</v>
      </c>
      <c r="AP5" s="40">
        <v>158263948</v>
      </c>
      <c r="AQ5" s="40">
        <v>10553837</v>
      </c>
      <c r="AR5" s="40">
        <v>8888915</v>
      </c>
      <c r="AS5" s="40">
        <v>745286</v>
      </c>
      <c r="AT5" s="40">
        <v>356990</v>
      </c>
      <c r="AU5" s="40">
        <v>0</v>
      </c>
      <c r="AV5" s="40">
        <v>0</v>
      </c>
      <c r="AW5" s="40">
        <v>22451452</v>
      </c>
      <c r="AX5" s="40">
        <v>0</v>
      </c>
      <c r="AY5" s="40">
        <v>8700</v>
      </c>
      <c r="AZ5" s="1">
        <v>4897461.95</v>
      </c>
      <c r="BA5" s="1">
        <v>2497706</v>
      </c>
      <c r="BB5" s="1">
        <v>22849741</v>
      </c>
      <c r="BC5" s="15">
        <v>591827</v>
      </c>
      <c r="BD5" s="15">
        <v>1160446</v>
      </c>
      <c r="BE5" s="20">
        <v>19035943</v>
      </c>
      <c r="BF5" s="20">
        <v>19035943</v>
      </c>
      <c r="BG5" s="20">
        <v>44028875</v>
      </c>
      <c r="BH5" s="20">
        <v>39861646</v>
      </c>
      <c r="BI5" s="44"/>
      <c r="BJ5" s="44"/>
      <c r="BK5" s="44"/>
      <c r="BL5" s="5">
        <v>548658697.45901632</v>
      </c>
      <c r="BM5" s="5">
        <v>419318860.45901638</v>
      </c>
      <c r="BN5" s="15">
        <v>2166473</v>
      </c>
      <c r="BO5" s="3"/>
      <c r="BP5" s="1"/>
      <c r="BQ5" s="1"/>
      <c r="BR5" s="5"/>
      <c r="BS5" s="5"/>
      <c r="BT5" s="5"/>
    </row>
    <row r="6" spans="1:72" x14ac:dyDescent="0.25">
      <c r="A6" s="6" t="s">
        <v>60</v>
      </c>
      <c r="B6" s="40">
        <v>1052775120</v>
      </c>
      <c r="C6" s="40">
        <v>298370360</v>
      </c>
      <c r="D6" s="40">
        <v>439766492</v>
      </c>
      <c r="E6" s="40">
        <v>5109460</v>
      </c>
      <c r="F6" s="40">
        <v>100588402</v>
      </c>
      <c r="G6" s="40">
        <v>17814499</v>
      </c>
      <c r="H6" s="40">
        <v>24446350</v>
      </c>
      <c r="I6" s="40">
        <v>1897600</v>
      </c>
      <c r="J6" s="40">
        <v>306000</v>
      </c>
      <c r="K6" s="40">
        <v>34000</v>
      </c>
      <c r="L6" s="40">
        <v>365241471</v>
      </c>
      <c r="M6" s="40">
        <v>213666030</v>
      </c>
      <c r="N6" s="40">
        <v>3810</v>
      </c>
      <c r="O6" s="40">
        <v>638</v>
      </c>
      <c r="P6" s="40">
        <v>14293200</v>
      </c>
      <c r="Q6" s="40">
        <v>6328000</v>
      </c>
      <c r="R6" s="40">
        <v>6216000</v>
      </c>
      <c r="S6" s="40">
        <v>11877100</v>
      </c>
      <c r="T6" s="40">
        <v>5839230</v>
      </c>
      <c r="U6" s="40">
        <v>19461100</v>
      </c>
      <c r="V6" s="40">
        <v>14293200</v>
      </c>
      <c r="W6" s="40">
        <v>7939300</v>
      </c>
      <c r="X6" s="40">
        <v>6216000</v>
      </c>
      <c r="Y6" s="40">
        <v>11877100</v>
      </c>
      <c r="Z6" s="40">
        <v>5915760</v>
      </c>
      <c r="AA6" s="40">
        <v>19461100</v>
      </c>
      <c r="AB6" s="40">
        <v>-5915500</v>
      </c>
      <c r="AC6" s="40">
        <v>80494</v>
      </c>
      <c r="AD6" s="40">
        <v>47</v>
      </c>
      <c r="AE6" s="40">
        <v>0</v>
      </c>
      <c r="AF6" s="40">
        <v>0</v>
      </c>
      <c r="AG6" s="40">
        <v>267295</v>
      </c>
      <c r="AH6" s="40">
        <v>946295.08196721319</v>
      </c>
      <c r="AI6" s="54">
        <v>174139.34426229508</v>
      </c>
      <c r="AJ6" s="55">
        <v>0</v>
      </c>
      <c r="AK6" s="1">
        <v>237129969</v>
      </c>
      <c r="AL6" s="1">
        <v>10852973</v>
      </c>
      <c r="AM6" s="40">
        <v>1779544</v>
      </c>
      <c r="AN6" s="40">
        <v>73632787</v>
      </c>
      <c r="AO6" s="40">
        <v>10288624</v>
      </c>
      <c r="AP6" s="40">
        <v>302645650</v>
      </c>
      <c r="AQ6" s="40">
        <v>110632772</v>
      </c>
      <c r="AR6" s="40">
        <v>69015073</v>
      </c>
      <c r="AS6" s="40">
        <v>15341031</v>
      </c>
      <c r="AT6" s="40">
        <v>0</v>
      </c>
      <c r="AU6" s="40">
        <v>2309</v>
      </c>
      <c r="AV6" s="40">
        <v>322239</v>
      </c>
      <c r="AW6" s="40">
        <v>15661742</v>
      </c>
      <c r="AX6" s="40">
        <v>4681545</v>
      </c>
      <c r="AY6" s="40">
        <v>1254855</v>
      </c>
      <c r="AZ6" s="1">
        <v>17865477.170000002</v>
      </c>
      <c r="BA6" s="1">
        <v>9111393</v>
      </c>
      <c r="BB6" s="1"/>
      <c r="BC6" s="15">
        <v>1721186</v>
      </c>
      <c r="BD6" s="15">
        <v>3374875</v>
      </c>
      <c r="BE6" s="20">
        <v>26816901</v>
      </c>
      <c r="BF6" s="20">
        <v>26441252</v>
      </c>
      <c r="BG6" s="20">
        <v>82431364</v>
      </c>
      <c r="BH6" s="20">
        <v>80088639</v>
      </c>
      <c r="BI6" s="44"/>
      <c r="BJ6" s="44">
        <v>23956313</v>
      </c>
      <c r="BK6" s="44"/>
      <c r="BL6" s="5">
        <v>2375888314.4262295</v>
      </c>
      <c r="BM6" s="5">
        <v>1986586589.4262295</v>
      </c>
      <c r="BN6" s="15">
        <v>5892422</v>
      </c>
      <c r="BO6" s="3"/>
      <c r="BP6" s="1"/>
      <c r="BQ6" s="1"/>
      <c r="BR6" s="5"/>
      <c r="BS6" s="5"/>
      <c r="BT6" s="5"/>
    </row>
    <row r="7" spans="1:72" x14ac:dyDescent="0.25">
      <c r="A7" s="6" t="s">
        <v>61</v>
      </c>
      <c r="B7" s="40">
        <v>170454050</v>
      </c>
      <c r="C7" s="40">
        <v>82539850</v>
      </c>
      <c r="D7" s="40">
        <v>33700900</v>
      </c>
      <c r="E7" s="40">
        <v>0</v>
      </c>
      <c r="F7" s="40">
        <v>24982300</v>
      </c>
      <c r="G7" s="40">
        <v>8121000</v>
      </c>
      <c r="H7" s="40">
        <v>7643200</v>
      </c>
      <c r="I7" s="40">
        <v>1686200</v>
      </c>
      <c r="J7" s="40">
        <v>0</v>
      </c>
      <c r="K7" s="40">
        <v>0</v>
      </c>
      <c r="L7" s="40">
        <v>147125025</v>
      </c>
      <c r="M7" s="40">
        <v>50956400</v>
      </c>
      <c r="N7" s="40">
        <v>1048</v>
      </c>
      <c r="O7" s="40">
        <v>331</v>
      </c>
      <c r="P7" s="40">
        <v>3503550</v>
      </c>
      <c r="Q7" s="40">
        <v>2173530</v>
      </c>
      <c r="R7" s="40">
        <v>583000</v>
      </c>
      <c r="S7" s="40">
        <v>4936350</v>
      </c>
      <c r="T7" s="40">
        <v>1063850</v>
      </c>
      <c r="U7" s="40">
        <v>750200</v>
      </c>
      <c r="V7" s="40">
        <v>3503550</v>
      </c>
      <c r="W7" s="40">
        <v>2838400</v>
      </c>
      <c r="X7" s="40">
        <v>583000</v>
      </c>
      <c r="Y7" s="40">
        <v>4936350</v>
      </c>
      <c r="Z7" s="40">
        <v>4027803</v>
      </c>
      <c r="AA7" s="40">
        <v>750200</v>
      </c>
      <c r="AB7" s="40">
        <v>-5452500</v>
      </c>
      <c r="AC7" s="40">
        <v>0</v>
      </c>
      <c r="AD7" s="40">
        <v>0</v>
      </c>
      <c r="AE7" s="40">
        <v>10674</v>
      </c>
      <c r="AF7" s="40">
        <v>11850850</v>
      </c>
      <c r="AG7" s="40">
        <v>146338</v>
      </c>
      <c r="AH7" s="40">
        <v>0</v>
      </c>
      <c r="AI7" s="54">
        <v>0</v>
      </c>
      <c r="AJ7" s="55">
        <v>0</v>
      </c>
      <c r="AK7" s="1">
        <v>56645584</v>
      </c>
      <c r="AL7" s="1">
        <v>1342734</v>
      </c>
      <c r="AM7" s="40">
        <v>0</v>
      </c>
      <c r="AN7" s="40">
        <v>7748668</v>
      </c>
      <c r="AO7" s="40">
        <v>500543</v>
      </c>
      <c r="AP7" s="40">
        <v>2792362</v>
      </c>
      <c r="AQ7" s="40">
        <v>4678916</v>
      </c>
      <c r="AR7" s="40">
        <v>7991674</v>
      </c>
      <c r="AS7" s="40">
        <v>0</v>
      </c>
      <c r="AT7" s="40">
        <v>768795</v>
      </c>
      <c r="AU7" s="40">
        <v>0</v>
      </c>
      <c r="AV7" s="40">
        <v>0</v>
      </c>
      <c r="AW7" s="40">
        <v>20607</v>
      </c>
      <c r="AX7" s="40">
        <v>0</v>
      </c>
      <c r="AY7" s="40">
        <v>0</v>
      </c>
      <c r="AZ7" s="1">
        <v>4267703.46</v>
      </c>
      <c r="BA7" s="1">
        <v>2176529</v>
      </c>
      <c r="BB7" s="1"/>
      <c r="BC7" s="15">
        <v>0</v>
      </c>
      <c r="BD7" s="15">
        <v>0</v>
      </c>
      <c r="BE7" s="20">
        <v>19542590</v>
      </c>
      <c r="BF7" s="20">
        <v>19542590</v>
      </c>
      <c r="BG7" s="20">
        <v>24355388</v>
      </c>
      <c r="BH7" s="20">
        <v>24350824</v>
      </c>
      <c r="BI7" s="44"/>
      <c r="BJ7" s="44"/>
      <c r="BK7" s="44"/>
      <c r="BL7" s="5">
        <v>403681188</v>
      </c>
      <c r="BM7" s="5">
        <v>299622927</v>
      </c>
      <c r="BN7" s="15">
        <v>798500</v>
      </c>
      <c r="BO7" s="3"/>
      <c r="BP7" s="1"/>
      <c r="BQ7" s="1"/>
      <c r="BR7" s="5"/>
      <c r="BS7" s="5"/>
      <c r="BT7" s="5"/>
    </row>
    <row r="8" spans="1:72" x14ac:dyDescent="0.25">
      <c r="A8" s="6" t="s">
        <v>62</v>
      </c>
      <c r="B8" s="40">
        <v>434831100</v>
      </c>
      <c r="C8" s="40">
        <v>25777750</v>
      </c>
      <c r="D8" s="40">
        <v>180337827</v>
      </c>
      <c r="E8" s="40">
        <v>0</v>
      </c>
      <c r="F8" s="40">
        <v>68077100</v>
      </c>
      <c r="G8" s="40">
        <v>22145300</v>
      </c>
      <c r="H8" s="40">
        <v>4090600</v>
      </c>
      <c r="I8" s="40">
        <v>902600</v>
      </c>
      <c r="J8" s="40">
        <v>0</v>
      </c>
      <c r="K8" s="40">
        <v>0</v>
      </c>
      <c r="L8" s="40">
        <v>34943125</v>
      </c>
      <c r="M8" s="40">
        <v>158085</v>
      </c>
      <c r="N8" s="40">
        <v>2525</v>
      </c>
      <c r="O8" s="40">
        <v>853</v>
      </c>
      <c r="P8" s="40">
        <v>1638500</v>
      </c>
      <c r="Q8" s="40">
        <v>99700</v>
      </c>
      <c r="R8" s="40">
        <v>585000</v>
      </c>
      <c r="S8" s="40">
        <v>6352800</v>
      </c>
      <c r="T8" s="40">
        <v>226900</v>
      </c>
      <c r="U8" s="40">
        <v>5932300</v>
      </c>
      <c r="V8" s="40">
        <v>1638500</v>
      </c>
      <c r="W8" s="40">
        <v>104500</v>
      </c>
      <c r="X8" s="40">
        <v>585000</v>
      </c>
      <c r="Y8" s="40">
        <v>6352800</v>
      </c>
      <c r="Z8" s="40">
        <v>163150</v>
      </c>
      <c r="AA8" s="40">
        <v>5932300</v>
      </c>
      <c r="AB8" s="40">
        <v>-6262132</v>
      </c>
      <c r="AC8" s="40">
        <v>-6003730</v>
      </c>
      <c r="AD8" s="40">
        <v>156698</v>
      </c>
      <c r="AE8" s="40">
        <v>0</v>
      </c>
      <c r="AF8" s="40">
        <v>0</v>
      </c>
      <c r="AG8" s="40">
        <v>0</v>
      </c>
      <c r="AH8" s="40">
        <v>16864926.229508195</v>
      </c>
      <c r="AI8" s="54">
        <v>38804605.737704918</v>
      </c>
      <c r="AJ8" s="15">
        <v>37769732</v>
      </c>
      <c r="AK8" s="1">
        <v>120670194</v>
      </c>
      <c r="AL8" s="1">
        <v>1057545</v>
      </c>
      <c r="AM8" s="40">
        <v>0</v>
      </c>
      <c r="AN8" s="40">
        <v>123348379</v>
      </c>
      <c r="AO8" s="40">
        <v>9975198</v>
      </c>
      <c r="AP8" s="40">
        <v>54627986</v>
      </c>
      <c r="AQ8" s="40">
        <v>53730634</v>
      </c>
      <c r="AR8" s="40">
        <v>13410810</v>
      </c>
      <c r="AS8" s="40">
        <v>894604</v>
      </c>
      <c r="AT8" s="40">
        <v>0</v>
      </c>
      <c r="AU8" s="40">
        <v>0</v>
      </c>
      <c r="AV8" s="40">
        <v>0</v>
      </c>
      <c r="AW8" s="40">
        <v>0</v>
      </c>
      <c r="AX8" s="40">
        <v>30543</v>
      </c>
      <c r="AY8" s="40">
        <v>250390</v>
      </c>
      <c r="AZ8" s="1">
        <v>9091346.0099999998</v>
      </c>
      <c r="BA8" s="1">
        <v>4636586</v>
      </c>
      <c r="BB8" s="1"/>
      <c r="BC8" s="15">
        <v>6978255</v>
      </c>
      <c r="BD8" s="15">
        <v>13682853</v>
      </c>
      <c r="BE8" s="20">
        <v>36273445</v>
      </c>
      <c r="BF8" s="20">
        <v>36273445</v>
      </c>
      <c r="BG8" s="20">
        <v>61606448</v>
      </c>
      <c r="BH8" s="20">
        <v>56845489</v>
      </c>
      <c r="BI8" s="44"/>
      <c r="BJ8" s="44"/>
      <c r="BK8" s="44"/>
      <c r="BL8" s="5">
        <v>1147901665.9672132</v>
      </c>
      <c r="BM8" s="5">
        <v>921440151.96721303</v>
      </c>
      <c r="BN8" s="15">
        <v>2436300</v>
      </c>
      <c r="BO8" s="3"/>
      <c r="BP8" s="1"/>
      <c r="BQ8" s="1"/>
      <c r="BR8" s="5"/>
      <c r="BS8" s="5"/>
      <c r="BT8" s="5"/>
    </row>
    <row r="9" spans="1:72" x14ac:dyDescent="0.25">
      <c r="A9" s="6" t="s">
        <v>63</v>
      </c>
      <c r="B9" s="40">
        <v>6065080846</v>
      </c>
      <c r="C9" s="40">
        <v>258728423</v>
      </c>
      <c r="D9" s="40">
        <v>3663586873</v>
      </c>
      <c r="E9" s="40">
        <v>60192886</v>
      </c>
      <c r="F9" s="40">
        <v>213318560</v>
      </c>
      <c r="G9" s="40">
        <v>19455150</v>
      </c>
      <c r="H9" s="40">
        <v>13500000</v>
      </c>
      <c r="I9" s="40">
        <v>620700</v>
      </c>
      <c r="J9" s="40">
        <v>510000</v>
      </c>
      <c r="K9" s="40">
        <v>0</v>
      </c>
      <c r="L9" s="40">
        <v>826262467</v>
      </c>
      <c r="M9" s="40">
        <v>0</v>
      </c>
      <c r="N9" s="40">
        <v>6794</v>
      </c>
      <c r="O9" s="40">
        <v>620</v>
      </c>
      <c r="P9" s="40">
        <v>41229420</v>
      </c>
      <c r="Q9" s="40">
        <v>4307550</v>
      </c>
      <c r="R9" s="40">
        <v>42225960</v>
      </c>
      <c r="S9" s="40">
        <v>42240050</v>
      </c>
      <c r="T9" s="40">
        <v>3297375</v>
      </c>
      <c r="U9" s="40">
        <v>45864562</v>
      </c>
      <c r="V9" s="40">
        <v>41229420</v>
      </c>
      <c r="W9" s="40">
        <v>4673660</v>
      </c>
      <c r="X9" s="40">
        <v>42225960</v>
      </c>
      <c r="Y9" s="40">
        <v>42240050</v>
      </c>
      <c r="Z9" s="40">
        <v>11176283</v>
      </c>
      <c r="AA9" s="40">
        <v>45864562</v>
      </c>
      <c r="AB9" s="40">
        <v>-13690314</v>
      </c>
      <c r="AC9" s="40">
        <v>-157238765</v>
      </c>
      <c r="AD9" s="40">
        <v>0</v>
      </c>
      <c r="AE9" s="40">
        <v>0</v>
      </c>
      <c r="AF9" s="40">
        <v>0</v>
      </c>
      <c r="AG9" s="40">
        <v>0</v>
      </c>
      <c r="AH9" s="40">
        <v>0</v>
      </c>
      <c r="AI9" s="54">
        <v>558106.55737704923</v>
      </c>
      <c r="AJ9" s="55">
        <v>0</v>
      </c>
      <c r="AK9" s="1">
        <v>881701500</v>
      </c>
      <c r="AL9" s="1">
        <v>16694064</v>
      </c>
      <c r="AM9" s="40">
        <v>122300</v>
      </c>
      <c r="AN9" s="40">
        <v>653603245</v>
      </c>
      <c r="AO9" s="40">
        <v>30650205</v>
      </c>
      <c r="AP9" s="40">
        <v>996848862</v>
      </c>
      <c r="AQ9" s="40">
        <v>692148303</v>
      </c>
      <c r="AR9" s="40">
        <v>454989937</v>
      </c>
      <c r="AS9" s="40">
        <v>1135594955</v>
      </c>
      <c r="AT9" s="40">
        <v>537025377</v>
      </c>
      <c r="AU9" s="40">
        <v>0</v>
      </c>
      <c r="AV9" s="40">
        <v>1115850</v>
      </c>
      <c r="AW9" s="40">
        <v>13005118</v>
      </c>
      <c r="AX9" s="40">
        <v>4670291</v>
      </c>
      <c r="AY9" s="40">
        <v>16863400</v>
      </c>
      <c r="AZ9" s="1">
        <v>66427782.579999998</v>
      </c>
      <c r="BA9" s="1">
        <v>33878169</v>
      </c>
      <c r="BB9" s="1">
        <v>30466321</v>
      </c>
      <c r="BC9" s="15">
        <v>1049121</v>
      </c>
      <c r="BD9" s="15">
        <v>2057100</v>
      </c>
      <c r="BE9" s="20">
        <v>252545123</v>
      </c>
      <c r="BF9" s="20">
        <v>252545123</v>
      </c>
      <c r="BG9" s="20">
        <v>702147385</v>
      </c>
      <c r="BH9" s="20">
        <v>461941726</v>
      </c>
      <c r="BI9" s="44"/>
      <c r="BJ9" s="44"/>
      <c r="BK9" s="44"/>
      <c r="BL9" s="5">
        <v>13012165704.557377</v>
      </c>
      <c r="BM9" s="5">
        <v>11364356001.557377</v>
      </c>
      <c r="BN9" s="15">
        <v>4567910</v>
      </c>
      <c r="BO9" s="3"/>
      <c r="BP9" s="1"/>
      <c r="BQ9" s="1"/>
      <c r="BR9" s="5"/>
      <c r="BS9" s="5"/>
      <c r="BT9" s="5"/>
    </row>
    <row r="10" spans="1:72" x14ac:dyDescent="0.25">
      <c r="A10" s="6" t="s">
        <v>64</v>
      </c>
      <c r="B10" s="40">
        <v>568797704</v>
      </c>
      <c r="C10" s="40">
        <v>307539903</v>
      </c>
      <c r="D10" s="40">
        <v>161120706</v>
      </c>
      <c r="E10" s="40">
        <v>2495000</v>
      </c>
      <c r="F10" s="40">
        <v>43873400</v>
      </c>
      <c r="G10" s="40">
        <v>7606700</v>
      </c>
      <c r="H10" s="40">
        <v>9380600</v>
      </c>
      <c r="I10" s="40">
        <v>646000</v>
      </c>
      <c r="J10" s="40">
        <v>102000</v>
      </c>
      <c r="K10" s="40">
        <v>0</v>
      </c>
      <c r="L10" s="40">
        <v>808380768</v>
      </c>
      <c r="M10" s="40">
        <v>181322100</v>
      </c>
      <c r="N10" s="40">
        <v>1593</v>
      </c>
      <c r="O10" s="40">
        <v>252</v>
      </c>
      <c r="P10" s="40">
        <v>3020000</v>
      </c>
      <c r="Q10" s="40">
        <v>3110192</v>
      </c>
      <c r="R10" s="40">
        <v>957500</v>
      </c>
      <c r="S10" s="40">
        <v>5617356</v>
      </c>
      <c r="T10" s="40">
        <v>1250061</v>
      </c>
      <c r="U10" s="40">
        <v>1261080</v>
      </c>
      <c r="V10" s="40">
        <v>3020000</v>
      </c>
      <c r="W10" s="40">
        <v>2790500</v>
      </c>
      <c r="X10" s="40">
        <v>957500</v>
      </c>
      <c r="Y10" s="40">
        <v>5617356</v>
      </c>
      <c r="Z10" s="40">
        <v>5582983</v>
      </c>
      <c r="AA10" s="40">
        <v>1261080</v>
      </c>
      <c r="AB10" s="40">
        <v>-2298900</v>
      </c>
      <c r="AC10" s="40">
        <v>-5847477</v>
      </c>
      <c r="AD10" s="40">
        <v>0</v>
      </c>
      <c r="AE10" s="40">
        <v>0</v>
      </c>
      <c r="AF10" s="40">
        <v>0</v>
      </c>
      <c r="AG10" s="40">
        <v>176051</v>
      </c>
      <c r="AH10" s="40">
        <v>0</v>
      </c>
      <c r="AI10" s="54">
        <v>470655.73770491808</v>
      </c>
      <c r="AJ10" s="55">
        <v>0</v>
      </c>
      <c r="AK10" s="1">
        <v>136695281</v>
      </c>
      <c r="AL10" s="1">
        <v>2865571</v>
      </c>
      <c r="AM10" s="40">
        <v>0</v>
      </c>
      <c r="AN10" s="40">
        <v>31415916</v>
      </c>
      <c r="AO10" s="40">
        <v>13055054</v>
      </c>
      <c r="AP10" s="40">
        <v>147690127</v>
      </c>
      <c r="AQ10" s="40">
        <v>25608596</v>
      </c>
      <c r="AR10" s="40">
        <v>58793796</v>
      </c>
      <c r="AS10" s="40">
        <v>21859901</v>
      </c>
      <c r="AT10" s="40">
        <v>177299019</v>
      </c>
      <c r="AU10" s="40">
        <v>0</v>
      </c>
      <c r="AV10" s="40">
        <v>24102</v>
      </c>
      <c r="AW10" s="40">
        <v>35000</v>
      </c>
      <c r="AX10" s="40">
        <v>9269</v>
      </c>
      <c r="AY10" s="40">
        <v>25250</v>
      </c>
      <c r="AZ10" s="1">
        <v>10298683.18</v>
      </c>
      <c r="BA10" s="1">
        <v>5252328</v>
      </c>
      <c r="BB10" s="1"/>
      <c r="BC10" s="15">
        <v>2025848</v>
      </c>
      <c r="BD10" s="15">
        <v>3972250</v>
      </c>
      <c r="BE10" s="20">
        <v>13116363</v>
      </c>
      <c r="BF10" s="20">
        <v>13116363</v>
      </c>
      <c r="BG10" s="20">
        <v>42866462</v>
      </c>
      <c r="BH10" s="20">
        <v>38971907</v>
      </c>
      <c r="BI10" s="44"/>
      <c r="BJ10" s="44"/>
      <c r="BK10" s="44"/>
      <c r="BL10" s="5">
        <v>1306935832.7377048</v>
      </c>
      <c r="BM10" s="5">
        <v>1108008534.7377048</v>
      </c>
      <c r="BN10" s="15">
        <v>1478430</v>
      </c>
      <c r="BO10" s="3"/>
      <c r="BP10" s="1"/>
      <c r="BQ10" s="1"/>
      <c r="BR10" s="5"/>
      <c r="BS10" s="5"/>
      <c r="BT10" s="5"/>
    </row>
    <row r="11" spans="1:72" x14ac:dyDescent="0.25">
      <c r="A11" s="6" t="s">
        <v>65</v>
      </c>
      <c r="B11" s="40">
        <v>1119712293</v>
      </c>
      <c r="C11" s="40">
        <v>80104315</v>
      </c>
      <c r="D11" s="40">
        <v>575288523</v>
      </c>
      <c r="E11" s="40">
        <v>0</v>
      </c>
      <c r="F11" s="40">
        <v>139207560</v>
      </c>
      <c r="G11" s="40">
        <v>35504300</v>
      </c>
      <c r="H11" s="40">
        <v>8153700</v>
      </c>
      <c r="I11" s="40">
        <v>1644600</v>
      </c>
      <c r="J11" s="40">
        <v>537500</v>
      </c>
      <c r="K11" s="40">
        <v>89100</v>
      </c>
      <c r="L11" s="40">
        <v>43945615</v>
      </c>
      <c r="M11" s="40">
        <v>72685010</v>
      </c>
      <c r="N11" s="40">
        <v>4658</v>
      </c>
      <c r="O11" s="40">
        <v>1205</v>
      </c>
      <c r="P11" s="40">
        <v>4412350</v>
      </c>
      <c r="Q11" s="40">
        <v>1346370</v>
      </c>
      <c r="R11" s="40">
        <v>3128100</v>
      </c>
      <c r="S11" s="40">
        <v>5353050</v>
      </c>
      <c r="T11" s="40">
        <v>311600</v>
      </c>
      <c r="U11" s="40">
        <v>1707800</v>
      </c>
      <c r="V11" s="40">
        <v>4412350</v>
      </c>
      <c r="W11" s="40">
        <v>1795920</v>
      </c>
      <c r="X11" s="40">
        <v>3128100</v>
      </c>
      <c r="Y11" s="40">
        <v>5353050</v>
      </c>
      <c r="Z11" s="40">
        <v>336500</v>
      </c>
      <c r="AA11" s="40">
        <v>1707800</v>
      </c>
      <c r="AB11" s="56">
        <v>-9400400</v>
      </c>
      <c r="AC11" s="56">
        <v>-36498930</v>
      </c>
      <c r="AD11" s="40">
        <v>22336</v>
      </c>
      <c r="AE11" s="40">
        <v>0</v>
      </c>
      <c r="AF11" s="40">
        <v>0</v>
      </c>
      <c r="AG11" s="40">
        <v>1072</v>
      </c>
      <c r="AH11" s="40">
        <v>61844.262295081971</v>
      </c>
      <c r="AI11" s="54">
        <v>3519354.9180327873</v>
      </c>
      <c r="AJ11" s="15">
        <v>301000.00000000006</v>
      </c>
      <c r="AK11" s="1">
        <v>309010635</v>
      </c>
      <c r="AL11" s="1">
        <v>6656778</v>
      </c>
      <c r="AM11" s="40">
        <v>0</v>
      </c>
      <c r="AN11" s="40">
        <v>135195415</v>
      </c>
      <c r="AO11" s="40">
        <v>12887941</v>
      </c>
      <c r="AP11" s="40">
        <v>470457929</v>
      </c>
      <c r="AQ11" s="40">
        <v>115345344</v>
      </c>
      <c r="AR11" s="40">
        <v>206704220</v>
      </c>
      <c r="AS11" s="40">
        <v>19963311</v>
      </c>
      <c r="AT11" s="40">
        <v>1306956204</v>
      </c>
      <c r="AU11" s="40">
        <v>0</v>
      </c>
      <c r="AV11" s="40">
        <v>0</v>
      </c>
      <c r="AW11" s="40">
        <v>0</v>
      </c>
      <c r="AX11" s="40">
        <v>236151</v>
      </c>
      <c r="AY11" s="40">
        <v>22500</v>
      </c>
      <c r="AZ11" s="1">
        <v>23280998.469999999</v>
      </c>
      <c r="BA11" s="1">
        <v>11873309</v>
      </c>
      <c r="BB11" s="1">
        <v>17098445</v>
      </c>
      <c r="BC11" s="15">
        <v>5656447</v>
      </c>
      <c r="BD11" s="15">
        <v>11091072</v>
      </c>
      <c r="BE11" s="20">
        <v>56845220</v>
      </c>
      <c r="BF11" s="20">
        <v>56845220</v>
      </c>
      <c r="BG11" s="20">
        <v>111625831</v>
      </c>
      <c r="BH11" s="20">
        <v>107385886</v>
      </c>
      <c r="BI11" s="44"/>
      <c r="BJ11" s="44"/>
      <c r="BK11" s="44"/>
      <c r="BL11" s="5">
        <v>2539844305.1803279</v>
      </c>
      <c r="BM11" s="5">
        <v>2042416030.1803279</v>
      </c>
      <c r="BN11" s="15">
        <v>5857500</v>
      </c>
      <c r="BO11" s="3"/>
      <c r="BP11" s="1"/>
      <c r="BQ11" s="1"/>
      <c r="BR11" s="5"/>
      <c r="BS11" s="5"/>
      <c r="BT11" s="5"/>
    </row>
    <row r="12" spans="1:72" x14ac:dyDescent="0.25">
      <c r="A12" s="6" t="s">
        <v>66</v>
      </c>
      <c r="B12" s="40">
        <v>979148671</v>
      </c>
      <c r="C12" s="40">
        <v>161705535</v>
      </c>
      <c r="D12" s="40">
        <v>412513500</v>
      </c>
      <c r="E12" s="40">
        <v>0</v>
      </c>
      <c r="F12" s="40">
        <v>81394100</v>
      </c>
      <c r="G12" s="40">
        <v>12201000</v>
      </c>
      <c r="H12" s="40">
        <v>9717500</v>
      </c>
      <c r="I12" s="40">
        <v>1190000</v>
      </c>
      <c r="J12" s="40">
        <v>136000</v>
      </c>
      <c r="K12" s="40">
        <v>0</v>
      </c>
      <c r="L12" s="40">
        <v>263134265</v>
      </c>
      <c r="M12" s="40">
        <v>135317700</v>
      </c>
      <c r="N12" s="40">
        <v>2764</v>
      </c>
      <c r="O12" s="40">
        <v>417</v>
      </c>
      <c r="P12" s="40">
        <v>4910500</v>
      </c>
      <c r="Q12" s="40">
        <v>993000</v>
      </c>
      <c r="R12" s="40">
        <v>1887000</v>
      </c>
      <c r="S12" s="40">
        <v>10959750</v>
      </c>
      <c r="T12" s="40">
        <v>277900</v>
      </c>
      <c r="U12" s="40">
        <v>6298000</v>
      </c>
      <c r="V12" s="40">
        <v>4910500</v>
      </c>
      <c r="W12" s="40">
        <v>993000</v>
      </c>
      <c r="X12" s="40">
        <v>1887000</v>
      </c>
      <c r="Y12" s="40">
        <v>10959750</v>
      </c>
      <c r="Z12" s="40">
        <v>1556270</v>
      </c>
      <c r="AA12" s="40">
        <v>6298000</v>
      </c>
      <c r="AB12" s="40">
        <v>-2058648</v>
      </c>
      <c r="AC12" s="40">
        <v>-295165</v>
      </c>
      <c r="AD12" s="40">
        <v>14829</v>
      </c>
      <c r="AE12" s="40">
        <v>0</v>
      </c>
      <c r="AF12" s="40">
        <v>0</v>
      </c>
      <c r="AG12" s="40">
        <v>98329</v>
      </c>
      <c r="AH12" s="40">
        <v>0</v>
      </c>
      <c r="AI12" s="54">
        <v>232147.5409836066</v>
      </c>
      <c r="AJ12" s="55">
        <v>0</v>
      </c>
      <c r="AK12" s="1">
        <v>157047234</v>
      </c>
      <c r="AL12" s="1">
        <v>5156964</v>
      </c>
      <c r="AM12" s="40">
        <v>0</v>
      </c>
      <c r="AN12" s="40">
        <v>83985975</v>
      </c>
      <c r="AO12" s="40">
        <v>8558993</v>
      </c>
      <c r="AP12" s="40">
        <v>253002819</v>
      </c>
      <c r="AQ12" s="40">
        <v>64534643</v>
      </c>
      <c r="AR12" s="40">
        <v>73495027</v>
      </c>
      <c r="AS12" s="40">
        <v>146133373</v>
      </c>
      <c r="AT12" s="40">
        <v>792452</v>
      </c>
      <c r="AU12" s="40">
        <v>0</v>
      </c>
      <c r="AV12" s="40">
        <v>0</v>
      </c>
      <c r="AW12" s="40">
        <v>2425620</v>
      </c>
      <c r="AX12" s="40">
        <v>40840</v>
      </c>
      <c r="AY12" s="40">
        <v>4530430</v>
      </c>
      <c r="AZ12" s="1">
        <v>11832008.35</v>
      </c>
      <c r="BA12" s="1">
        <v>6034324</v>
      </c>
      <c r="BB12" s="1"/>
      <c r="BC12" s="15">
        <v>2688260</v>
      </c>
      <c r="BD12" s="15">
        <v>5271098</v>
      </c>
      <c r="BE12" s="20">
        <v>43833578</v>
      </c>
      <c r="BF12" s="20">
        <v>43833578</v>
      </c>
      <c r="BG12" s="20">
        <v>50784392</v>
      </c>
      <c r="BH12" s="20">
        <v>46279937</v>
      </c>
      <c r="BI12" s="44"/>
      <c r="BJ12" s="44"/>
      <c r="BK12" s="44"/>
      <c r="BL12" s="5">
        <v>1971719761.5409837</v>
      </c>
      <c r="BM12" s="5">
        <v>1710679464.5409837</v>
      </c>
      <c r="BN12" s="15">
        <v>2920000</v>
      </c>
      <c r="BO12" s="3"/>
      <c r="BP12" s="1"/>
      <c r="BQ12" s="1"/>
      <c r="BR12" s="5"/>
      <c r="BS12" s="5"/>
      <c r="BT12" s="5"/>
    </row>
    <row r="13" spans="1:72" x14ac:dyDescent="0.25">
      <c r="A13" s="6" t="s">
        <v>67</v>
      </c>
      <c r="B13" s="40">
        <v>137909346</v>
      </c>
      <c r="C13" s="40">
        <v>101597855</v>
      </c>
      <c r="D13" s="40">
        <v>24695165</v>
      </c>
      <c r="E13" s="40">
        <v>0</v>
      </c>
      <c r="F13" s="40">
        <v>16594300</v>
      </c>
      <c r="G13" s="40">
        <v>4168650</v>
      </c>
      <c r="H13" s="40">
        <v>7044100</v>
      </c>
      <c r="I13" s="40">
        <v>1037150</v>
      </c>
      <c r="J13" s="40">
        <v>0</v>
      </c>
      <c r="K13" s="40">
        <v>0</v>
      </c>
      <c r="L13" s="40">
        <v>75910538</v>
      </c>
      <c r="M13" s="40">
        <v>56490555</v>
      </c>
      <c r="N13" s="40">
        <v>752</v>
      </c>
      <c r="O13" s="40">
        <v>175</v>
      </c>
      <c r="P13" s="40">
        <v>1263450</v>
      </c>
      <c r="Q13" s="40">
        <v>822200</v>
      </c>
      <c r="R13" s="40">
        <v>26000</v>
      </c>
      <c r="S13" s="40">
        <v>1399725</v>
      </c>
      <c r="T13" s="40">
        <v>905999</v>
      </c>
      <c r="U13" s="40">
        <v>1046900</v>
      </c>
      <c r="V13" s="40">
        <v>1263450</v>
      </c>
      <c r="W13" s="40">
        <v>883600</v>
      </c>
      <c r="X13" s="40">
        <v>26000</v>
      </c>
      <c r="Y13" s="40">
        <v>1399725</v>
      </c>
      <c r="Z13" s="40">
        <v>1413638</v>
      </c>
      <c r="AA13" s="40">
        <v>1046900</v>
      </c>
      <c r="AB13" s="40">
        <v>-819900</v>
      </c>
      <c r="AC13" s="40">
        <v>0</v>
      </c>
      <c r="AD13" s="40">
        <v>0</v>
      </c>
      <c r="AE13" s="40">
        <v>0</v>
      </c>
      <c r="AF13" s="40">
        <v>0</v>
      </c>
      <c r="AG13" s="40">
        <v>117186</v>
      </c>
      <c r="AH13" s="40">
        <v>0</v>
      </c>
      <c r="AI13" s="40">
        <v>0</v>
      </c>
      <c r="AJ13" s="57">
        <v>0</v>
      </c>
      <c r="AK13" s="1">
        <v>46588650</v>
      </c>
      <c r="AL13" s="1">
        <v>906083</v>
      </c>
      <c r="AM13" s="40">
        <v>0</v>
      </c>
      <c r="AN13" s="40">
        <v>8169641</v>
      </c>
      <c r="AO13" s="40">
        <v>19939</v>
      </c>
      <c r="AP13" s="40">
        <v>27042560</v>
      </c>
      <c r="AQ13" s="40">
        <v>2915934</v>
      </c>
      <c r="AR13" s="40">
        <v>10105875</v>
      </c>
      <c r="AS13" s="40">
        <v>3082308</v>
      </c>
      <c r="AT13" s="40">
        <v>19821</v>
      </c>
      <c r="AU13" s="40">
        <v>0</v>
      </c>
      <c r="AV13" s="40">
        <v>0</v>
      </c>
      <c r="AW13" s="40">
        <v>0</v>
      </c>
      <c r="AX13" s="40">
        <v>0</v>
      </c>
      <c r="AY13" s="40">
        <v>0</v>
      </c>
      <c r="AZ13" s="1">
        <v>3510009.58</v>
      </c>
      <c r="BA13" s="1">
        <v>1790105</v>
      </c>
      <c r="BB13" s="1">
        <v>15000000</v>
      </c>
      <c r="BC13" s="15">
        <v>1315172</v>
      </c>
      <c r="BD13" s="15">
        <v>2578769</v>
      </c>
      <c r="BE13" s="20">
        <v>12802090</v>
      </c>
      <c r="BF13" s="20">
        <v>12802090</v>
      </c>
      <c r="BG13" s="20">
        <v>32001759</v>
      </c>
      <c r="BH13" s="20">
        <v>26773749</v>
      </c>
      <c r="BI13" s="44"/>
      <c r="BJ13" s="44"/>
      <c r="BK13" s="44"/>
      <c r="BL13" s="5">
        <v>365483729</v>
      </c>
      <c r="BM13" s="5">
        <v>275307880</v>
      </c>
      <c r="BN13" s="15">
        <v>263540</v>
      </c>
      <c r="BO13" s="3"/>
      <c r="BP13" s="1"/>
      <c r="BQ13" s="1"/>
      <c r="BR13" s="5"/>
      <c r="BS13" s="5"/>
      <c r="BT13" s="5"/>
    </row>
    <row r="14" spans="1:72" x14ac:dyDescent="0.25">
      <c r="A14" s="6" t="s">
        <v>68</v>
      </c>
      <c r="B14" s="40">
        <v>137183987</v>
      </c>
      <c r="C14" s="40">
        <v>81977127</v>
      </c>
      <c r="D14" s="40">
        <v>55292033</v>
      </c>
      <c r="E14" s="40">
        <v>0</v>
      </c>
      <c r="F14" s="40">
        <v>18955640</v>
      </c>
      <c r="G14" s="40">
        <v>34033220</v>
      </c>
      <c r="H14" s="40">
        <v>9363136</v>
      </c>
      <c r="I14" s="40">
        <v>10579146</v>
      </c>
      <c r="J14" s="40">
        <v>102000</v>
      </c>
      <c r="K14" s="40">
        <v>169700</v>
      </c>
      <c r="L14" s="40">
        <v>49374408</v>
      </c>
      <c r="M14" s="40">
        <v>49257830</v>
      </c>
      <c r="N14" s="40">
        <v>918</v>
      </c>
      <c r="O14" s="40">
        <v>1528</v>
      </c>
      <c r="P14" s="40">
        <v>1180264</v>
      </c>
      <c r="Q14" s="40">
        <v>346641</v>
      </c>
      <c r="R14" s="40">
        <v>100000</v>
      </c>
      <c r="S14" s="40">
        <v>1684000</v>
      </c>
      <c r="T14" s="40">
        <v>1166517</v>
      </c>
      <c r="U14" s="40">
        <v>282200</v>
      </c>
      <c r="V14" s="40">
        <v>1180264</v>
      </c>
      <c r="W14" s="40">
        <v>346641</v>
      </c>
      <c r="X14" s="40">
        <v>100000</v>
      </c>
      <c r="Y14" s="40">
        <v>1684000</v>
      </c>
      <c r="Z14" s="40">
        <v>1166517</v>
      </c>
      <c r="AA14" s="40">
        <v>282200</v>
      </c>
      <c r="AB14" s="40">
        <v>-3499450</v>
      </c>
      <c r="AC14" s="40">
        <v>-18824</v>
      </c>
      <c r="AD14" s="40">
        <v>245992</v>
      </c>
      <c r="AE14" s="40">
        <v>0</v>
      </c>
      <c r="AF14" s="40">
        <v>0</v>
      </c>
      <c r="AG14" s="40">
        <v>358387</v>
      </c>
      <c r="AH14" s="40">
        <v>935581.96721311484</v>
      </c>
      <c r="AI14" s="40">
        <v>3179006.5573770492</v>
      </c>
      <c r="AJ14" s="15">
        <v>113109243</v>
      </c>
      <c r="AK14" s="1">
        <v>63673399</v>
      </c>
      <c r="AL14" s="1">
        <v>1105104</v>
      </c>
      <c r="AM14" s="40">
        <v>0</v>
      </c>
      <c r="AN14" s="40">
        <v>31384412</v>
      </c>
      <c r="AO14" s="40">
        <v>812227</v>
      </c>
      <c r="AP14" s="40">
        <v>12567007</v>
      </c>
      <c r="AQ14" s="40">
        <v>11471181</v>
      </c>
      <c r="AR14" s="40">
        <v>9413497</v>
      </c>
      <c r="AS14" s="40">
        <v>0</v>
      </c>
      <c r="AT14" s="40">
        <v>410601</v>
      </c>
      <c r="AU14" s="40">
        <v>0</v>
      </c>
      <c r="AV14" s="40">
        <v>0</v>
      </c>
      <c r="AW14" s="40">
        <v>0</v>
      </c>
      <c r="AX14" s="40">
        <v>0</v>
      </c>
      <c r="AY14" s="40">
        <v>60000</v>
      </c>
      <c r="AZ14" s="1">
        <v>4797182.16</v>
      </c>
      <c r="BA14" s="1">
        <v>2446563</v>
      </c>
      <c r="BB14" s="1"/>
      <c r="BC14" s="15">
        <v>2192959</v>
      </c>
      <c r="BD14" s="15">
        <v>4299920</v>
      </c>
      <c r="BE14" s="20">
        <v>6342812</v>
      </c>
      <c r="BF14" s="20">
        <v>6325070</v>
      </c>
      <c r="BG14" s="20">
        <v>40359152</v>
      </c>
      <c r="BH14" s="20">
        <v>33445091</v>
      </c>
      <c r="BI14" s="44"/>
      <c r="BJ14" s="44"/>
      <c r="BK14" s="44"/>
      <c r="BL14" s="5">
        <v>544532984.52459013</v>
      </c>
      <c r="BM14" s="5">
        <v>435344798.52459013</v>
      </c>
      <c r="BN14" s="15">
        <v>1187197</v>
      </c>
      <c r="BO14" s="3"/>
      <c r="BP14" s="1"/>
      <c r="BQ14" s="1"/>
      <c r="BR14" s="5"/>
      <c r="BS14" s="5"/>
      <c r="BT14" s="5"/>
    </row>
    <row r="15" spans="1:72" x14ac:dyDescent="0.25">
      <c r="A15" s="6" t="s">
        <v>69</v>
      </c>
      <c r="B15" s="40">
        <v>492342411</v>
      </c>
      <c r="C15" s="40">
        <v>207320516</v>
      </c>
      <c r="D15" s="40">
        <v>68539583</v>
      </c>
      <c r="E15" s="40">
        <v>0</v>
      </c>
      <c r="F15" s="40">
        <v>43791973</v>
      </c>
      <c r="G15" s="40">
        <v>11588050</v>
      </c>
      <c r="H15" s="40">
        <v>17176380</v>
      </c>
      <c r="I15" s="40">
        <v>2628938</v>
      </c>
      <c r="J15" s="40">
        <v>34000</v>
      </c>
      <c r="K15" s="40">
        <v>0</v>
      </c>
      <c r="L15" s="40">
        <v>336301996</v>
      </c>
      <c r="M15" s="40">
        <v>114393950</v>
      </c>
      <c r="N15" s="40">
        <v>1925</v>
      </c>
      <c r="O15" s="40">
        <v>492</v>
      </c>
      <c r="P15" s="40">
        <v>5780950</v>
      </c>
      <c r="Q15" s="40">
        <v>3665250</v>
      </c>
      <c r="R15" s="40">
        <v>2186500</v>
      </c>
      <c r="S15" s="40">
        <v>6104260</v>
      </c>
      <c r="T15" s="40">
        <v>843850</v>
      </c>
      <c r="U15" s="40">
        <v>1030508</v>
      </c>
      <c r="V15" s="40">
        <v>5780950</v>
      </c>
      <c r="W15" s="40">
        <v>3766820</v>
      </c>
      <c r="X15" s="40">
        <v>2186500</v>
      </c>
      <c r="Y15" s="40">
        <v>6104260</v>
      </c>
      <c r="Z15" s="40">
        <v>1023100</v>
      </c>
      <c r="AA15" s="40">
        <v>1030508</v>
      </c>
      <c r="AB15" s="40">
        <v>-1621445</v>
      </c>
      <c r="AC15" s="40">
        <v>-147685</v>
      </c>
      <c r="AD15" s="40">
        <v>145706</v>
      </c>
      <c r="AE15" s="40">
        <v>0</v>
      </c>
      <c r="AF15" s="40">
        <v>0</v>
      </c>
      <c r="AG15" s="40">
        <v>352221</v>
      </c>
      <c r="AH15" s="40">
        <v>53377.049180327878</v>
      </c>
      <c r="AI15" s="40">
        <v>2042758.1967213117</v>
      </c>
      <c r="AJ15" s="57">
        <v>0</v>
      </c>
      <c r="AK15" s="1">
        <v>109942405</v>
      </c>
      <c r="AL15" s="1">
        <v>13909745</v>
      </c>
      <c r="AM15" s="40">
        <v>513932</v>
      </c>
      <c r="AN15" s="40">
        <v>18924053</v>
      </c>
      <c r="AO15" s="40">
        <v>228772</v>
      </c>
      <c r="AP15" s="40">
        <v>11730883</v>
      </c>
      <c r="AQ15" s="40">
        <v>15773801</v>
      </c>
      <c r="AR15" s="40">
        <v>13254223</v>
      </c>
      <c r="AS15" s="40">
        <v>0</v>
      </c>
      <c r="AT15" s="40">
        <v>903298</v>
      </c>
      <c r="AU15" s="40">
        <v>0</v>
      </c>
      <c r="AV15" s="40">
        <v>0</v>
      </c>
      <c r="AW15" s="40">
        <v>905202</v>
      </c>
      <c r="AX15" s="40">
        <v>0</v>
      </c>
      <c r="AY15" s="40">
        <v>230700</v>
      </c>
      <c r="AZ15" s="1">
        <v>8283109.6200000001</v>
      </c>
      <c r="BA15" s="1">
        <v>4224386</v>
      </c>
      <c r="BB15" s="1">
        <v>17564767</v>
      </c>
      <c r="BC15" s="15">
        <v>1791168</v>
      </c>
      <c r="BD15" s="15">
        <v>3512094</v>
      </c>
      <c r="BE15" s="20">
        <v>19859202</v>
      </c>
      <c r="BF15" s="20">
        <v>19859202</v>
      </c>
      <c r="BG15" s="20">
        <v>65715268</v>
      </c>
      <c r="BH15" s="20">
        <v>62601079</v>
      </c>
      <c r="BI15" s="44"/>
      <c r="BJ15" s="44"/>
      <c r="BK15" s="44"/>
      <c r="BL15" s="5">
        <v>1017553256.2459016</v>
      </c>
      <c r="BM15" s="5">
        <v>805225271.24590158</v>
      </c>
      <c r="BN15" s="15">
        <v>2119213</v>
      </c>
      <c r="BO15" s="3"/>
      <c r="BP15" s="1"/>
      <c r="BQ15" s="1"/>
      <c r="BR15" s="5"/>
      <c r="BS15" s="5"/>
      <c r="BT15" s="5"/>
    </row>
    <row r="16" spans="1:72" x14ac:dyDescent="0.25">
      <c r="A16" s="6" t="s">
        <v>70</v>
      </c>
      <c r="B16" s="40">
        <v>3436161182</v>
      </c>
      <c r="C16" s="40">
        <v>232600733</v>
      </c>
      <c r="D16" s="40">
        <v>882328607</v>
      </c>
      <c r="E16" s="40">
        <v>23841565</v>
      </c>
      <c r="F16" s="40">
        <v>165104401</v>
      </c>
      <c r="G16" s="40">
        <v>29105888</v>
      </c>
      <c r="H16" s="40">
        <v>14978034</v>
      </c>
      <c r="I16" s="40">
        <v>2342788</v>
      </c>
      <c r="J16" s="40">
        <v>170000</v>
      </c>
      <c r="K16" s="40">
        <v>0</v>
      </c>
      <c r="L16" s="40">
        <v>356624837</v>
      </c>
      <c r="M16" s="40">
        <v>157488474</v>
      </c>
      <c r="N16" s="40">
        <v>5390</v>
      </c>
      <c r="O16" s="40">
        <v>964</v>
      </c>
      <c r="P16" s="40">
        <v>41428089</v>
      </c>
      <c r="Q16" s="40">
        <v>7524150</v>
      </c>
      <c r="R16" s="40">
        <v>11370440</v>
      </c>
      <c r="S16" s="40">
        <v>14461576</v>
      </c>
      <c r="T16" s="40">
        <v>4232350</v>
      </c>
      <c r="U16" s="40">
        <v>21462158</v>
      </c>
      <c r="V16" s="40">
        <v>41428089</v>
      </c>
      <c r="W16" s="40">
        <v>14522247</v>
      </c>
      <c r="X16" s="40">
        <v>11370440</v>
      </c>
      <c r="Y16" s="40">
        <v>14461576</v>
      </c>
      <c r="Z16" s="40">
        <v>3975283</v>
      </c>
      <c r="AA16" s="40">
        <v>21462158</v>
      </c>
      <c r="AB16" s="40">
        <v>-13791364</v>
      </c>
      <c r="AC16" s="40">
        <v>2262342</v>
      </c>
      <c r="AD16" s="40">
        <v>26454</v>
      </c>
      <c r="AE16" s="40">
        <v>557</v>
      </c>
      <c r="AF16" s="40">
        <v>13661974</v>
      </c>
      <c r="AG16" s="40">
        <v>89968</v>
      </c>
      <c r="AH16" s="40">
        <v>0</v>
      </c>
      <c r="AI16" s="40">
        <v>859909.83606557385</v>
      </c>
      <c r="AJ16" s="57">
        <v>0</v>
      </c>
      <c r="AK16" s="1">
        <v>469545458</v>
      </c>
      <c r="AL16" s="1">
        <v>16617649</v>
      </c>
      <c r="AM16" s="40">
        <v>21000</v>
      </c>
      <c r="AN16" s="40">
        <v>112859554</v>
      </c>
      <c r="AO16" s="40">
        <v>2669058</v>
      </c>
      <c r="AP16" s="40">
        <v>127409827</v>
      </c>
      <c r="AQ16" s="40">
        <v>210151281</v>
      </c>
      <c r="AR16" s="40">
        <v>634539036</v>
      </c>
      <c r="AS16" s="40">
        <v>2198856164</v>
      </c>
      <c r="AT16" s="40">
        <v>331948485</v>
      </c>
      <c r="AU16" s="40">
        <v>0</v>
      </c>
      <c r="AV16" s="40">
        <v>0</v>
      </c>
      <c r="AW16" s="40">
        <v>10003314</v>
      </c>
      <c r="AX16" s="40">
        <v>2659004</v>
      </c>
      <c r="AY16" s="40">
        <v>238300</v>
      </c>
      <c r="AZ16" s="1">
        <v>35375763.329999998</v>
      </c>
      <c r="BA16" s="1">
        <v>18041639</v>
      </c>
      <c r="BB16" s="1"/>
      <c r="BC16" s="15">
        <v>2521752</v>
      </c>
      <c r="BD16" s="15">
        <v>4944612</v>
      </c>
      <c r="BE16" s="20">
        <v>25730651</v>
      </c>
      <c r="BF16" s="20">
        <v>25621200</v>
      </c>
      <c r="BG16" s="20">
        <v>98439236</v>
      </c>
      <c r="BH16" s="20">
        <v>94129375</v>
      </c>
      <c r="BI16" s="20">
        <v>251112586</v>
      </c>
      <c r="BJ16" s="44"/>
      <c r="BK16" s="44"/>
      <c r="BL16" s="5">
        <v>5755219983.8360653</v>
      </c>
      <c r="BM16" s="5">
        <v>4877630324.8360653</v>
      </c>
      <c r="BN16" s="15">
        <v>2840975</v>
      </c>
      <c r="BO16" s="3"/>
      <c r="BP16" s="1"/>
      <c r="BQ16" s="1"/>
      <c r="BR16" s="5"/>
      <c r="BS16" s="5"/>
      <c r="BT16" s="5"/>
    </row>
    <row r="17" spans="1:72" x14ac:dyDescent="0.25">
      <c r="A17" s="6" t="s">
        <v>71</v>
      </c>
      <c r="B17" s="40">
        <v>173741000</v>
      </c>
      <c r="C17" s="40">
        <v>110516717</v>
      </c>
      <c r="D17" s="40">
        <v>57382500</v>
      </c>
      <c r="E17" s="40">
        <v>0</v>
      </c>
      <c r="F17" s="40">
        <v>20568250</v>
      </c>
      <c r="G17" s="40">
        <v>8505000</v>
      </c>
      <c r="H17" s="40">
        <v>11363800</v>
      </c>
      <c r="I17" s="40">
        <v>2832200</v>
      </c>
      <c r="J17" s="40">
        <v>34000</v>
      </c>
      <c r="K17" s="40">
        <v>0</v>
      </c>
      <c r="L17" s="40">
        <v>228523292</v>
      </c>
      <c r="M17" s="40">
        <v>67475081</v>
      </c>
      <c r="N17" s="40">
        <v>1023</v>
      </c>
      <c r="O17" s="40">
        <v>392</v>
      </c>
      <c r="P17" s="40">
        <v>1615400</v>
      </c>
      <c r="Q17" s="40">
        <v>729150</v>
      </c>
      <c r="R17" s="40">
        <v>500000</v>
      </c>
      <c r="S17" s="40">
        <v>1710225</v>
      </c>
      <c r="T17" s="40">
        <v>568390</v>
      </c>
      <c r="U17" s="40">
        <v>938386</v>
      </c>
      <c r="V17" s="40">
        <v>1615400</v>
      </c>
      <c r="W17" s="40">
        <v>807300</v>
      </c>
      <c r="X17" s="40">
        <v>500000</v>
      </c>
      <c r="Y17" s="40">
        <v>1710225</v>
      </c>
      <c r="Z17" s="40">
        <v>896482</v>
      </c>
      <c r="AA17" s="40">
        <v>938386</v>
      </c>
      <c r="AB17" s="40">
        <v>-979000</v>
      </c>
      <c r="AC17" s="40">
        <v>0</v>
      </c>
      <c r="AD17" s="40">
        <v>147793</v>
      </c>
      <c r="AE17" s="40">
        <v>84040</v>
      </c>
      <c r="AF17" s="40">
        <v>20847319</v>
      </c>
      <c r="AG17" s="40">
        <v>252547</v>
      </c>
      <c r="AH17" s="40">
        <v>1070729.5081967213</v>
      </c>
      <c r="AI17" s="40">
        <v>345773.7704918033</v>
      </c>
      <c r="AJ17" s="57">
        <v>0</v>
      </c>
      <c r="AK17" s="1">
        <v>70113983</v>
      </c>
      <c r="AL17" s="1">
        <v>1997364</v>
      </c>
      <c r="AM17" s="40">
        <v>0</v>
      </c>
      <c r="AN17" s="40">
        <v>13075820</v>
      </c>
      <c r="AO17" s="40">
        <v>487966</v>
      </c>
      <c r="AP17" s="40">
        <v>45241064</v>
      </c>
      <c r="AQ17" s="40">
        <v>8469233</v>
      </c>
      <c r="AR17" s="40">
        <v>19219326</v>
      </c>
      <c r="AS17" s="40">
        <v>569588</v>
      </c>
      <c r="AT17" s="40">
        <v>2398735</v>
      </c>
      <c r="AU17" s="40">
        <v>0</v>
      </c>
      <c r="AV17" s="40">
        <v>0</v>
      </c>
      <c r="AW17" s="40">
        <v>0</v>
      </c>
      <c r="AX17" s="40">
        <v>0</v>
      </c>
      <c r="AY17" s="40">
        <v>74000</v>
      </c>
      <c r="AZ17" s="1">
        <v>5282418.62</v>
      </c>
      <c r="BA17" s="1">
        <v>2694033</v>
      </c>
      <c r="BB17" s="1"/>
      <c r="BC17" s="15">
        <v>0</v>
      </c>
      <c r="BD17" s="15">
        <v>0</v>
      </c>
      <c r="BE17" s="20">
        <v>2937134</v>
      </c>
      <c r="BF17" s="20">
        <v>2937134</v>
      </c>
      <c r="BG17" s="20">
        <v>21674428</v>
      </c>
      <c r="BH17" s="20">
        <v>21674428</v>
      </c>
      <c r="BI17" s="44"/>
      <c r="BJ17" s="44"/>
      <c r="BK17" s="44"/>
      <c r="BL17" s="5">
        <v>453579176.27868849</v>
      </c>
      <c r="BM17" s="5">
        <v>354162234.27868849</v>
      </c>
      <c r="BN17" s="15">
        <v>1184600</v>
      </c>
      <c r="BO17" s="3"/>
      <c r="BP17" s="1"/>
      <c r="BQ17" s="1"/>
      <c r="BR17" s="5"/>
      <c r="BS17" s="5"/>
      <c r="BT17" s="5"/>
    </row>
    <row r="18" spans="1:72" x14ac:dyDescent="0.25">
      <c r="A18" s="6" t="s">
        <v>72</v>
      </c>
      <c r="B18" s="40">
        <v>215017177</v>
      </c>
      <c r="C18" s="40">
        <v>102780609</v>
      </c>
      <c r="D18" s="40">
        <v>76757600</v>
      </c>
      <c r="E18" s="40">
        <v>8744517</v>
      </c>
      <c r="F18" s="40">
        <v>35779769</v>
      </c>
      <c r="G18" s="40">
        <v>8009123</v>
      </c>
      <c r="H18" s="40">
        <v>9105234</v>
      </c>
      <c r="I18" s="40">
        <v>1912068</v>
      </c>
      <c r="J18" s="40">
        <v>86000</v>
      </c>
      <c r="K18" s="40">
        <v>44000</v>
      </c>
      <c r="L18" s="40">
        <v>207744925</v>
      </c>
      <c r="M18" s="40">
        <v>56142993</v>
      </c>
      <c r="N18" s="40">
        <v>1392</v>
      </c>
      <c r="O18" s="40">
        <v>331</v>
      </c>
      <c r="P18" s="40">
        <v>3929286</v>
      </c>
      <c r="Q18" s="40">
        <v>1019512</v>
      </c>
      <c r="R18" s="40">
        <v>7533730</v>
      </c>
      <c r="S18" s="40">
        <v>2184222</v>
      </c>
      <c r="T18" s="40">
        <v>604145</v>
      </c>
      <c r="U18" s="40">
        <v>1348599</v>
      </c>
      <c r="V18" s="40">
        <v>3929286</v>
      </c>
      <c r="W18" s="40">
        <v>1055890</v>
      </c>
      <c r="X18" s="40">
        <v>7533730</v>
      </c>
      <c r="Y18" s="40">
        <v>2184222</v>
      </c>
      <c r="Z18" s="40">
        <v>1170086</v>
      </c>
      <c r="AA18" s="40">
        <v>1348599</v>
      </c>
      <c r="AB18" s="40">
        <v>-1971115</v>
      </c>
      <c r="AC18" s="40">
        <v>-200973</v>
      </c>
      <c r="AD18" s="40">
        <v>24904</v>
      </c>
      <c r="AE18" s="40">
        <v>46596</v>
      </c>
      <c r="AF18" s="40">
        <v>28206137</v>
      </c>
      <c r="AG18" s="40">
        <v>199739</v>
      </c>
      <c r="AH18" s="40">
        <v>199032.78688524591</v>
      </c>
      <c r="AI18" s="40">
        <v>2916631.1475409837</v>
      </c>
      <c r="AJ18" s="57">
        <v>0</v>
      </c>
      <c r="AK18" s="1">
        <v>82140987</v>
      </c>
      <c r="AL18" s="1">
        <v>2569550</v>
      </c>
      <c r="AM18" s="40">
        <v>0</v>
      </c>
      <c r="AN18" s="40">
        <v>16683007</v>
      </c>
      <c r="AO18" s="40">
        <v>3787695</v>
      </c>
      <c r="AP18" s="40">
        <v>113694060</v>
      </c>
      <c r="AQ18" s="40">
        <v>27663471</v>
      </c>
      <c r="AR18" s="40">
        <v>19725621</v>
      </c>
      <c r="AS18" s="40">
        <v>4025641</v>
      </c>
      <c r="AT18" s="40">
        <v>0</v>
      </c>
      <c r="AU18" s="40">
        <v>0</v>
      </c>
      <c r="AV18" s="40">
        <v>3362565</v>
      </c>
      <c r="AW18" s="40">
        <v>0</v>
      </c>
      <c r="AX18" s="40">
        <v>14113</v>
      </c>
      <c r="AY18" s="40">
        <v>637000</v>
      </c>
      <c r="AZ18" s="1">
        <v>6188538.4400000004</v>
      </c>
      <c r="BA18" s="1">
        <v>3156155</v>
      </c>
      <c r="BB18" s="1"/>
      <c r="BC18" s="15">
        <v>1277768</v>
      </c>
      <c r="BD18" s="15">
        <v>2505428</v>
      </c>
      <c r="BE18" s="20">
        <v>13482547</v>
      </c>
      <c r="BF18" s="20">
        <v>10800747</v>
      </c>
      <c r="BG18" s="20">
        <v>24719891</v>
      </c>
      <c r="BH18" s="20">
        <v>22361278</v>
      </c>
      <c r="BI18" s="44"/>
      <c r="BJ18" s="44">
        <v>5791527</v>
      </c>
      <c r="BK18" s="44"/>
      <c r="BL18" s="5">
        <v>573903234.93442631</v>
      </c>
      <c r="BM18" s="5">
        <v>445805222.93442625</v>
      </c>
      <c r="BN18" s="15">
        <v>399000</v>
      </c>
      <c r="BO18" s="3"/>
      <c r="BP18" s="1"/>
      <c r="BQ18" s="1"/>
      <c r="BR18" s="5"/>
      <c r="BS18" s="5"/>
      <c r="BT18" s="5"/>
    </row>
    <row r="19" spans="1:72" x14ac:dyDescent="0.25">
      <c r="A19" s="6" t="s">
        <v>73</v>
      </c>
      <c r="B19" s="40">
        <v>1173121643</v>
      </c>
      <c r="C19" s="40">
        <v>226275110</v>
      </c>
      <c r="D19" s="40">
        <v>294125997</v>
      </c>
      <c r="E19" s="40">
        <v>0</v>
      </c>
      <c r="F19" s="40">
        <v>88468392</v>
      </c>
      <c r="G19" s="40">
        <v>10872018</v>
      </c>
      <c r="H19" s="40">
        <v>16410300</v>
      </c>
      <c r="I19" s="40">
        <v>1301000</v>
      </c>
      <c r="J19" s="40">
        <v>136000</v>
      </c>
      <c r="K19" s="40">
        <v>0</v>
      </c>
      <c r="L19" s="40">
        <v>417988460</v>
      </c>
      <c r="M19" s="40">
        <v>141915615</v>
      </c>
      <c r="N19" s="40">
        <v>3229</v>
      </c>
      <c r="O19" s="40">
        <v>411</v>
      </c>
      <c r="P19" s="40">
        <v>12124150</v>
      </c>
      <c r="Q19" s="40">
        <v>4757300</v>
      </c>
      <c r="R19" s="40">
        <v>5220508</v>
      </c>
      <c r="S19" s="40">
        <v>5658517</v>
      </c>
      <c r="T19" s="40">
        <v>698000</v>
      </c>
      <c r="U19" s="40">
        <v>389050</v>
      </c>
      <c r="V19" s="40">
        <v>12124150</v>
      </c>
      <c r="W19" s="40">
        <v>4931648</v>
      </c>
      <c r="X19" s="40">
        <v>5220508</v>
      </c>
      <c r="Y19" s="40">
        <v>5658517</v>
      </c>
      <c r="Z19" s="40">
        <v>1535906</v>
      </c>
      <c r="AA19" s="40">
        <v>389050</v>
      </c>
      <c r="AB19" s="40">
        <v>-6082970</v>
      </c>
      <c r="AC19" s="40">
        <v>-330472</v>
      </c>
      <c r="AD19" s="40">
        <v>66683</v>
      </c>
      <c r="AE19" s="40">
        <v>4681</v>
      </c>
      <c r="AF19" s="40">
        <v>2340250</v>
      </c>
      <c r="AG19" s="40">
        <v>204018</v>
      </c>
      <c r="AH19" s="40">
        <v>0</v>
      </c>
      <c r="AI19" s="40">
        <v>181762.29508196723</v>
      </c>
      <c r="AJ19" s="57">
        <v>0</v>
      </c>
      <c r="AK19" s="1">
        <v>219026833</v>
      </c>
      <c r="AL19" s="1">
        <v>11275360</v>
      </c>
      <c r="AM19" s="3"/>
      <c r="AN19" s="40">
        <v>64397402</v>
      </c>
      <c r="AO19" s="40">
        <v>4967401</v>
      </c>
      <c r="AP19" s="40">
        <v>127914666</v>
      </c>
      <c r="AQ19" s="40">
        <v>81409524</v>
      </c>
      <c r="AR19" s="40">
        <v>67003006</v>
      </c>
      <c r="AS19" s="40">
        <v>81105059</v>
      </c>
      <c r="AT19" s="40">
        <v>1988401</v>
      </c>
      <c r="AU19" s="40">
        <v>0</v>
      </c>
      <c r="AV19" s="40">
        <v>105835</v>
      </c>
      <c r="AW19" s="40">
        <v>1678187</v>
      </c>
      <c r="AX19" s="40">
        <v>25766</v>
      </c>
      <c r="AY19" s="40">
        <v>2728920</v>
      </c>
      <c r="AZ19" s="1">
        <v>16501578.869999999</v>
      </c>
      <c r="BA19" s="1">
        <v>8415805</v>
      </c>
      <c r="BB19" s="1">
        <v>7266839</v>
      </c>
      <c r="BC19" s="15">
        <v>732997</v>
      </c>
      <c r="BD19" s="15">
        <v>1437250</v>
      </c>
      <c r="BE19" s="20">
        <v>2730107</v>
      </c>
      <c r="BF19" s="20">
        <v>2730107</v>
      </c>
      <c r="BG19" s="20">
        <v>46945799</v>
      </c>
      <c r="BH19" s="20">
        <v>46849874</v>
      </c>
      <c r="BI19" s="44"/>
      <c r="BJ19" s="44">
        <v>10084552</v>
      </c>
      <c r="BK19" s="44"/>
      <c r="BL19" s="5">
        <v>2143594367.2950819</v>
      </c>
      <c r="BM19" s="5">
        <v>1844478839.2950819</v>
      </c>
      <c r="BN19" s="15">
        <v>2866008</v>
      </c>
      <c r="BO19" s="3"/>
      <c r="BP19" s="1"/>
      <c r="BQ19" s="1"/>
      <c r="BR19" s="5"/>
      <c r="BS19" s="5"/>
      <c r="BT19" s="5"/>
    </row>
    <row r="20" spans="1:72" x14ac:dyDescent="0.25">
      <c r="A20" s="6" t="s">
        <v>74</v>
      </c>
      <c r="B20" s="40">
        <v>4056884736</v>
      </c>
      <c r="C20" s="40">
        <v>171628836</v>
      </c>
      <c r="D20" s="40">
        <v>1017899501</v>
      </c>
      <c r="E20" s="40">
        <v>0</v>
      </c>
      <c r="F20" s="40">
        <v>217549813</v>
      </c>
      <c r="G20" s="40">
        <v>18838453</v>
      </c>
      <c r="H20" s="40">
        <v>13167500</v>
      </c>
      <c r="I20" s="40">
        <v>714000</v>
      </c>
      <c r="J20" s="40">
        <v>675900</v>
      </c>
      <c r="K20" s="40">
        <v>68000</v>
      </c>
      <c r="L20" s="40">
        <v>279544789</v>
      </c>
      <c r="M20" s="40">
        <v>451173625</v>
      </c>
      <c r="N20" s="40">
        <v>6860</v>
      </c>
      <c r="O20" s="40">
        <v>596</v>
      </c>
      <c r="P20" s="40">
        <v>35385024</v>
      </c>
      <c r="Q20" s="40">
        <v>2705864</v>
      </c>
      <c r="R20" s="40">
        <v>12217255</v>
      </c>
      <c r="S20" s="40">
        <v>61072087</v>
      </c>
      <c r="T20" s="40">
        <v>2211500</v>
      </c>
      <c r="U20" s="40">
        <v>19645081</v>
      </c>
      <c r="V20" s="40">
        <v>35385024</v>
      </c>
      <c r="W20" s="40">
        <v>2779064</v>
      </c>
      <c r="X20" s="40">
        <v>12217255</v>
      </c>
      <c r="Y20" s="40">
        <v>61072087</v>
      </c>
      <c r="Z20" s="40">
        <v>2211500</v>
      </c>
      <c r="AA20" s="40">
        <v>19645081</v>
      </c>
      <c r="AB20" s="40">
        <v>-12762663</v>
      </c>
      <c r="AC20" s="40">
        <v>-274932</v>
      </c>
      <c r="AD20" s="40">
        <v>0</v>
      </c>
      <c r="AE20" s="40">
        <v>0</v>
      </c>
      <c r="AF20" s="40">
        <v>0</v>
      </c>
      <c r="AG20" s="40">
        <v>0</v>
      </c>
      <c r="AH20" s="40">
        <v>0</v>
      </c>
      <c r="AI20" s="40">
        <v>0</v>
      </c>
      <c r="AJ20" s="57">
        <v>0</v>
      </c>
      <c r="AK20" s="1">
        <v>556149861</v>
      </c>
      <c r="AL20" s="1">
        <v>9212292</v>
      </c>
      <c r="AM20" s="40">
        <v>15000</v>
      </c>
      <c r="AN20" s="40">
        <v>150130496</v>
      </c>
      <c r="AO20" s="40">
        <v>10445807</v>
      </c>
      <c r="AP20" s="40">
        <v>252141558</v>
      </c>
      <c r="AQ20" s="40">
        <v>134405878</v>
      </c>
      <c r="AR20" s="40">
        <v>65686067</v>
      </c>
      <c r="AS20" s="40">
        <v>26125741</v>
      </c>
      <c r="AT20" s="40">
        <v>301509</v>
      </c>
      <c r="AU20" s="40">
        <v>0</v>
      </c>
      <c r="AV20" s="40">
        <v>0</v>
      </c>
      <c r="AW20" s="40">
        <v>26618</v>
      </c>
      <c r="AX20" s="40">
        <v>5394941</v>
      </c>
      <c r="AY20" s="40">
        <v>0</v>
      </c>
      <c r="AZ20" s="1">
        <v>41900577.520000003</v>
      </c>
      <c r="BA20" s="1">
        <v>21369295</v>
      </c>
      <c r="BB20" s="1">
        <v>23238341</v>
      </c>
      <c r="BC20" s="15">
        <v>1856927</v>
      </c>
      <c r="BD20" s="15">
        <v>3641032</v>
      </c>
      <c r="BE20" s="20">
        <v>73914242</v>
      </c>
      <c r="BF20" s="20">
        <v>73914242</v>
      </c>
      <c r="BG20" s="20">
        <v>139505801</v>
      </c>
      <c r="BH20" s="20">
        <v>132559599</v>
      </c>
      <c r="BI20" s="44"/>
      <c r="BJ20" s="44"/>
      <c r="BK20" s="44"/>
      <c r="BL20" s="5">
        <v>6336457470</v>
      </c>
      <c r="BM20" s="5">
        <v>5541395254</v>
      </c>
      <c r="BN20" s="15">
        <v>7527110</v>
      </c>
      <c r="BO20" s="3"/>
      <c r="BP20" s="1"/>
      <c r="BQ20" s="1"/>
      <c r="BR20" s="5"/>
      <c r="BS20" s="5"/>
      <c r="BT20" s="5"/>
    </row>
    <row r="21" spans="1:72" x14ac:dyDescent="0.25">
      <c r="A21" s="6" t="s">
        <v>75</v>
      </c>
      <c r="B21" s="40">
        <v>73217213</v>
      </c>
      <c r="C21" s="40">
        <v>62432680</v>
      </c>
      <c r="D21" s="40">
        <v>15943027</v>
      </c>
      <c r="E21" s="40">
        <v>0</v>
      </c>
      <c r="F21" s="40">
        <v>12139815</v>
      </c>
      <c r="G21" s="40">
        <v>4103625</v>
      </c>
      <c r="H21" s="40">
        <v>5474280</v>
      </c>
      <c r="I21" s="40">
        <v>901200</v>
      </c>
      <c r="J21" s="40">
        <v>0</v>
      </c>
      <c r="K21" s="40">
        <v>0</v>
      </c>
      <c r="L21" s="40">
        <v>123974473</v>
      </c>
      <c r="M21" s="40">
        <v>27246626</v>
      </c>
      <c r="N21" s="40">
        <v>572</v>
      </c>
      <c r="O21" s="40">
        <v>180</v>
      </c>
      <c r="P21" s="40">
        <v>3015344</v>
      </c>
      <c r="Q21" s="40">
        <v>1677122</v>
      </c>
      <c r="R21" s="40">
        <v>1069700</v>
      </c>
      <c r="S21" s="40">
        <v>1066848</v>
      </c>
      <c r="T21" s="40">
        <v>488453</v>
      </c>
      <c r="U21" s="40">
        <v>735400</v>
      </c>
      <c r="V21" s="40">
        <v>3015344</v>
      </c>
      <c r="W21" s="40">
        <v>4936293</v>
      </c>
      <c r="X21" s="40">
        <v>1069700</v>
      </c>
      <c r="Y21" s="40">
        <v>1066848</v>
      </c>
      <c r="Z21" s="40">
        <v>421410</v>
      </c>
      <c r="AA21" s="40">
        <v>735400</v>
      </c>
      <c r="AB21" s="40">
        <v>-1908675</v>
      </c>
      <c r="AC21" s="40">
        <v>0</v>
      </c>
      <c r="AD21" s="40">
        <v>27546</v>
      </c>
      <c r="AE21" s="40">
        <v>69495</v>
      </c>
      <c r="AF21" s="40">
        <v>15901158</v>
      </c>
      <c r="AG21" s="40">
        <v>23627</v>
      </c>
      <c r="AH21" s="40">
        <v>0</v>
      </c>
      <c r="AI21" s="40">
        <v>84901.639344262294</v>
      </c>
      <c r="AJ21" s="46">
        <v>0</v>
      </c>
      <c r="AK21" s="1">
        <v>35556024</v>
      </c>
      <c r="AL21" s="1">
        <v>1124515</v>
      </c>
      <c r="AM21" s="40">
        <v>0</v>
      </c>
      <c r="AN21" s="40">
        <v>5024469</v>
      </c>
      <c r="AO21" s="40">
        <v>4200</v>
      </c>
      <c r="AP21" s="40">
        <v>187199</v>
      </c>
      <c r="AQ21" s="40">
        <v>1470699</v>
      </c>
      <c r="AR21" s="40">
        <v>1680307</v>
      </c>
      <c r="AS21" s="40">
        <v>0</v>
      </c>
      <c r="AT21" s="40">
        <v>507023</v>
      </c>
      <c r="AU21" s="40">
        <v>0</v>
      </c>
      <c r="AV21" s="40">
        <v>0</v>
      </c>
      <c r="AW21" s="40">
        <v>0</v>
      </c>
      <c r="AX21" s="40">
        <v>400</v>
      </c>
      <c r="AY21" s="40">
        <v>0</v>
      </c>
      <c r="AZ21" s="1">
        <v>2678806.64</v>
      </c>
      <c r="BA21" s="1">
        <v>1366191</v>
      </c>
      <c r="BB21" s="1">
        <v>9715026</v>
      </c>
      <c r="BC21" s="15">
        <v>742047</v>
      </c>
      <c r="BD21" s="15">
        <v>1454993</v>
      </c>
      <c r="BE21" s="20">
        <v>9111095</v>
      </c>
      <c r="BF21" s="20">
        <v>9111095</v>
      </c>
      <c r="BG21" s="20">
        <v>21498123</v>
      </c>
      <c r="BH21" s="20">
        <v>17434714</v>
      </c>
      <c r="BI21" s="44"/>
      <c r="BJ21" s="44"/>
      <c r="BK21" s="44"/>
      <c r="BL21" s="5">
        <v>223511775.63934427</v>
      </c>
      <c r="BM21" s="5">
        <v>158177189.63934427</v>
      </c>
      <c r="BN21" s="15">
        <v>297450</v>
      </c>
      <c r="BO21" s="3"/>
      <c r="BP21" s="1"/>
      <c r="BQ21" s="1"/>
      <c r="BR21" s="5"/>
      <c r="BS21" s="5"/>
      <c r="BT21" s="5"/>
    </row>
    <row r="22" spans="1:72" x14ac:dyDescent="0.25">
      <c r="A22" s="6" t="s">
        <v>76</v>
      </c>
      <c r="B22" s="40">
        <v>226776740</v>
      </c>
      <c r="C22" s="40">
        <v>59581150</v>
      </c>
      <c r="D22" s="40">
        <v>193024546</v>
      </c>
      <c r="E22" s="40">
        <v>1058951011</v>
      </c>
      <c r="F22" s="40">
        <v>21032800</v>
      </c>
      <c r="G22" s="40">
        <v>3110800</v>
      </c>
      <c r="H22" s="40">
        <v>4603300</v>
      </c>
      <c r="I22" s="40">
        <v>510000</v>
      </c>
      <c r="J22" s="40">
        <v>117000</v>
      </c>
      <c r="K22" s="40">
        <v>0</v>
      </c>
      <c r="L22" s="40">
        <v>130266690</v>
      </c>
      <c r="M22" s="40">
        <v>41964500</v>
      </c>
      <c r="N22" s="40">
        <v>794</v>
      </c>
      <c r="O22" s="40">
        <v>122</v>
      </c>
      <c r="P22" s="40">
        <v>1505000</v>
      </c>
      <c r="Q22" s="40">
        <v>256000</v>
      </c>
      <c r="R22" s="40">
        <v>4443000</v>
      </c>
      <c r="S22" s="40">
        <v>3228350</v>
      </c>
      <c r="T22" s="40">
        <v>167600</v>
      </c>
      <c r="U22" s="40">
        <v>2503500</v>
      </c>
      <c r="V22" s="40">
        <v>1505000</v>
      </c>
      <c r="W22" s="40">
        <v>282600</v>
      </c>
      <c r="X22" s="40">
        <v>4443000</v>
      </c>
      <c r="Y22" s="40">
        <v>3228350</v>
      </c>
      <c r="Z22" s="40">
        <v>363100</v>
      </c>
      <c r="AA22" s="40">
        <v>2503500</v>
      </c>
      <c r="AB22" s="40">
        <v>-709500</v>
      </c>
      <c r="AC22" s="40">
        <v>-284952</v>
      </c>
      <c r="AD22" s="40">
        <v>22600</v>
      </c>
      <c r="AE22" s="40">
        <v>0</v>
      </c>
      <c r="AF22" s="40">
        <v>0</v>
      </c>
      <c r="AG22" s="40">
        <v>68628</v>
      </c>
      <c r="AH22" s="40">
        <v>0</v>
      </c>
      <c r="AI22" s="40">
        <v>491975.40983606561</v>
      </c>
      <c r="AJ22" s="46">
        <v>0</v>
      </c>
      <c r="AK22" s="1">
        <v>58744705</v>
      </c>
      <c r="AL22" s="1">
        <v>1978983</v>
      </c>
      <c r="AM22" s="40">
        <v>0</v>
      </c>
      <c r="AN22" s="40">
        <v>27514568</v>
      </c>
      <c r="AO22" s="40">
        <v>61037641</v>
      </c>
      <c r="AP22" s="40">
        <v>177494144</v>
      </c>
      <c r="AQ22" s="40">
        <v>54717850</v>
      </c>
      <c r="AR22" s="40">
        <v>219733650</v>
      </c>
      <c r="AS22" s="40">
        <v>43898867</v>
      </c>
      <c r="AT22" s="40">
        <v>235312881</v>
      </c>
      <c r="AU22" s="40">
        <v>0</v>
      </c>
      <c r="AV22" s="40">
        <v>0</v>
      </c>
      <c r="AW22" s="40">
        <v>0</v>
      </c>
      <c r="AX22" s="40">
        <v>0</v>
      </c>
      <c r="AY22" s="40">
        <v>714000</v>
      </c>
      <c r="AZ22" s="1">
        <v>4425852.16</v>
      </c>
      <c r="BA22" s="1">
        <v>2257185</v>
      </c>
      <c r="BB22" s="1">
        <v>17700777</v>
      </c>
      <c r="BC22" s="15">
        <v>1923288</v>
      </c>
      <c r="BD22" s="15">
        <v>3771154</v>
      </c>
      <c r="BE22" s="20">
        <v>43404774</v>
      </c>
      <c r="BF22" s="20">
        <v>43404774</v>
      </c>
      <c r="BG22" s="20">
        <v>41962737</v>
      </c>
      <c r="BH22" s="20">
        <v>39490703</v>
      </c>
      <c r="BI22" s="44"/>
      <c r="BJ22" s="44"/>
      <c r="BK22" s="44"/>
      <c r="BL22" s="5">
        <v>770944108.40983605</v>
      </c>
      <c r="BM22" s="5">
        <v>623144470.40983605</v>
      </c>
      <c r="BN22" s="15">
        <v>745774</v>
      </c>
      <c r="BO22" s="3"/>
      <c r="BP22" s="1"/>
      <c r="BQ22" s="1"/>
      <c r="BR22" s="5"/>
      <c r="BS22" s="5"/>
      <c r="BT22" s="5"/>
    </row>
    <row r="23" spans="1:72" x14ac:dyDescent="0.25">
      <c r="A23" s="6" t="s">
        <v>77</v>
      </c>
      <c r="B23" s="40">
        <v>372531476</v>
      </c>
      <c r="C23" s="40">
        <v>124941031</v>
      </c>
      <c r="D23" s="40">
        <v>140023836</v>
      </c>
      <c r="E23" s="40">
        <v>0</v>
      </c>
      <c r="F23" s="40">
        <v>43398620</v>
      </c>
      <c r="G23" s="40">
        <v>28311500</v>
      </c>
      <c r="H23" s="40">
        <v>18408500</v>
      </c>
      <c r="I23" s="40">
        <v>7089750</v>
      </c>
      <c r="J23" s="40">
        <v>132000</v>
      </c>
      <c r="K23" s="40">
        <v>98000</v>
      </c>
      <c r="L23" s="40">
        <v>56687297</v>
      </c>
      <c r="M23" s="40">
        <v>44859000</v>
      </c>
      <c r="N23" s="40">
        <v>2172</v>
      </c>
      <c r="O23" s="40">
        <v>1325</v>
      </c>
      <c r="P23" s="40">
        <v>5438500</v>
      </c>
      <c r="Q23" s="40">
        <v>1861500</v>
      </c>
      <c r="R23" s="40">
        <v>497000</v>
      </c>
      <c r="S23" s="40">
        <v>2615110</v>
      </c>
      <c r="T23" s="40">
        <v>149440</v>
      </c>
      <c r="U23" s="40">
        <v>1432830</v>
      </c>
      <c r="V23" s="40">
        <v>5438500</v>
      </c>
      <c r="W23" s="40">
        <v>1303500</v>
      </c>
      <c r="X23" s="40">
        <v>497000</v>
      </c>
      <c r="Y23" s="40">
        <v>2615110</v>
      </c>
      <c r="Z23" s="40">
        <v>110000</v>
      </c>
      <c r="AA23" s="40">
        <v>1432830</v>
      </c>
      <c r="AB23" s="40">
        <v>-7682250</v>
      </c>
      <c r="AC23" s="40">
        <v>-268931</v>
      </c>
      <c r="AD23" s="40">
        <v>144292</v>
      </c>
      <c r="AE23" s="40">
        <v>0</v>
      </c>
      <c r="AF23" s="40">
        <v>0</v>
      </c>
      <c r="AG23" s="40">
        <v>220124</v>
      </c>
      <c r="AH23" s="40">
        <v>0</v>
      </c>
      <c r="AI23" s="40">
        <v>1220778.6885245903</v>
      </c>
      <c r="AJ23" s="46">
        <v>56000</v>
      </c>
      <c r="AK23" s="1">
        <v>159263739</v>
      </c>
      <c r="AL23" s="1">
        <v>4317034</v>
      </c>
      <c r="AM23" s="40">
        <v>188000</v>
      </c>
      <c r="AN23" s="40">
        <v>19256561</v>
      </c>
      <c r="AO23" s="40">
        <v>1996945</v>
      </c>
      <c r="AP23" s="40">
        <v>32398155</v>
      </c>
      <c r="AQ23" s="40">
        <v>28511034</v>
      </c>
      <c r="AR23" s="40">
        <v>7638055</v>
      </c>
      <c r="AS23" s="40">
        <v>0</v>
      </c>
      <c r="AT23" s="40">
        <v>540034</v>
      </c>
      <c r="AU23" s="40">
        <v>0</v>
      </c>
      <c r="AV23" s="40">
        <v>0</v>
      </c>
      <c r="AW23" s="40">
        <v>0</v>
      </c>
      <c r="AX23" s="40">
        <v>600926</v>
      </c>
      <c r="AY23" s="40">
        <v>47500</v>
      </c>
      <c r="AZ23" s="1">
        <v>11999000.83</v>
      </c>
      <c r="BA23" s="1">
        <v>6119490</v>
      </c>
      <c r="BB23" s="1"/>
      <c r="BC23" s="15">
        <v>0</v>
      </c>
      <c r="BD23" s="15">
        <v>0</v>
      </c>
      <c r="BE23" s="20">
        <v>24601202</v>
      </c>
      <c r="BF23" s="20">
        <v>24601202</v>
      </c>
      <c r="BG23" s="20">
        <v>64531965</v>
      </c>
      <c r="BH23" s="20">
        <v>63735809</v>
      </c>
      <c r="BI23" s="44"/>
      <c r="BJ23" s="44"/>
      <c r="BK23" s="44"/>
      <c r="BL23" s="5">
        <v>946574935.6885246</v>
      </c>
      <c r="BM23" s="5">
        <v>688537661.6885246</v>
      </c>
      <c r="BN23" s="15">
        <v>14825291</v>
      </c>
      <c r="BO23" s="3"/>
      <c r="BP23" s="1"/>
      <c r="BQ23" s="1"/>
      <c r="BR23" s="5"/>
      <c r="BS23" s="5"/>
      <c r="BT23" s="5"/>
    </row>
    <row r="24" spans="1:72" x14ac:dyDescent="0.25">
      <c r="A24" s="6" t="s">
        <v>78</v>
      </c>
      <c r="B24" s="40">
        <v>213085827</v>
      </c>
      <c r="C24" s="40">
        <v>166816850</v>
      </c>
      <c r="D24" s="40">
        <v>56877250</v>
      </c>
      <c r="E24" s="40">
        <v>0</v>
      </c>
      <c r="F24" s="40">
        <v>35047000</v>
      </c>
      <c r="G24" s="40">
        <v>8146100</v>
      </c>
      <c r="H24" s="40">
        <v>19837200</v>
      </c>
      <c r="I24" s="40">
        <v>2769300</v>
      </c>
      <c r="J24" s="40">
        <v>34000</v>
      </c>
      <c r="K24" s="40">
        <v>0</v>
      </c>
      <c r="L24" s="40">
        <v>279706170</v>
      </c>
      <c r="M24" s="40">
        <v>98880500</v>
      </c>
      <c r="N24" s="40">
        <v>1744</v>
      </c>
      <c r="O24" s="40">
        <v>381</v>
      </c>
      <c r="P24" s="40">
        <v>1206500</v>
      </c>
      <c r="Q24" s="40">
        <v>1120500</v>
      </c>
      <c r="R24" s="40">
        <v>290000</v>
      </c>
      <c r="S24" s="40">
        <v>220700</v>
      </c>
      <c r="T24" s="40">
        <v>278000</v>
      </c>
      <c r="U24" s="40">
        <v>0</v>
      </c>
      <c r="V24" s="40">
        <v>1206500</v>
      </c>
      <c r="W24" s="40">
        <v>1120500</v>
      </c>
      <c r="X24" s="40">
        <v>290000</v>
      </c>
      <c r="Y24" s="40">
        <v>220700</v>
      </c>
      <c r="Z24" s="40">
        <v>444000</v>
      </c>
      <c r="AA24" s="40">
        <v>0</v>
      </c>
      <c r="AB24" s="40">
        <v>-2177700</v>
      </c>
      <c r="AC24" s="40">
        <v>0</v>
      </c>
      <c r="AD24" s="40">
        <v>147055</v>
      </c>
      <c r="AE24" s="40">
        <v>0</v>
      </c>
      <c r="AF24" s="40">
        <v>0</v>
      </c>
      <c r="AG24" s="40">
        <v>263689</v>
      </c>
      <c r="AH24" s="40">
        <v>27868.852459016394</v>
      </c>
      <c r="AI24" s="40">
        <v>135516.39344262297</v>
      </c>
      <c r="AJ24" s="46">
        <v>0</v>
      </c>
      <c r="AK24" s="1">
        <v>75338590</v>
      </c>
      <c r="AL24" s="1">
        <v>2060417</v>
      </c>
      <c r="AM24" s="40">
        <v>0</v>
      </c>
      <c r="AN24" s="40">
        <v>8266337</v>
      </c>
      <c r="AO24" s="40">
        <v>47236</v>
      </c>
      <c r="AP24" s="40">
        <v>13214288</v>
      </c>
      <c r="AQ24" s="40">
        <v>11781206</v>
      </c>
      <c r="AR24" s="40">
        <v>7006689</v>
      </c>
      <c r="AS24" s="40">
        <v>0</v>
      </c>
      <c r="AT24" s="40">
        <v>0</v>
      </c>
      <c r="AU24" s="40">
        <v>0</v>
      </c>
      <c r="AV24" s="40">
        <v>0</v>
      </c>
      <c r="AW24" s="40">
        <v>0</v>
      </c>
      <c r="AX24" s="40">
        <v>0</v>
      </c>
      <c r="AY24" s="40">
        <v>0</v>
      </c>
      <c r="AZ24" s="1">
        <v>5676042.8300000001</v>
      </c>
      <c r="BA24" s="1">
        <v>2894782</v>
      </c>
      <c r="BB24" s="1"/>
      <c r="BC24" s="15">
        <v>0</v>
      </c>
      <c r="BD24" s="15">
        <v>0</v>
      </c>
      <c r="BE24" s="20">
        <v>17892016</v>
      </c>
      <c r="BF24" s="20">
        <v>17892016</v>
      </c>
      <c r="BG24" s="20">
        <v>44697717</v>
      </c>
      <c r="BH24" s="20">
        <v>44671852</v>
      </c>
      <c r="BI24" s="44"/>
      <c r="BJ24" s="44"/>
      <c r="BK24" s="44"/>
      <c r="BL24" s="5">
        <v>599895748.24590158</v>
      </c>
      <c r="BM24" s="5">
        <v>457038091.24590164</v>
      </c>
      <c r="BN24" s="15">
        <v>646000</v>
      </c>
      <c r="BO24" s="3"/>
      <c r="BP24" s="1"/>
      <c r="BQ24" s="1"/>
      <c r="BR24" s="5"/>
      <c r="BS24" s="5"/>
      <c r="BT24" s="5"/>
    </row>
    <row r="25" spans="1:72" x14ac:dyDescent="0.25">
      <c r="A25" s="6" t="s">
        <v>79</v>
      </c>
      <c r="B25" s="40">
        <v>1607482123</v>
      </c>
      <c r="C25" s="40">
        <v>312909807</v>
      </c>
      <c r="D25" s="40">
        <v>653298361</v>
      </c>
      <c r="E25" s="40">
        <v>29293933</v>
      </c>
      <c r="F25" s="40">
        <v>102927763</v>
      </c>
      <c r="G25" s="40">
        <v>15182031</v>
      </c>
      <c r="H25" s="40">
        <v>15145263</v>
      </c>
      <c r="I25" s="40">
        <v>1463491</v>
      </c>
      <c r="J25" s="40">
        <v>102000</v>
      </c>
      <c r="K25" s="40">
        <v>0</v>
      </c>
      <c r="L25" s="40">
        <v>1072566393</v>
      </c>
      <c r="M25" s="40">
        <v>186903689</v>
      </c>
      <c r="N25" s="40">
        <v>3597</v>
      </c>
      <c r="O25" s="40">
        <v>530</v>
      </c>
      <c r="P25" s="40">
        <v>25910519</v>
      </c>
      <c r="Q25" s="40">
        <v>6806343</v>
      </c>
      <c r="R25" s="40">
        <v>19551999</v>
      </c>
      <c r="S25" s="40">
        <v>10845302</v>
      </c>
      <c r="T25" s="40">
        <v>3263362</v>
      </c>
      <c r="U25" s="40">
        <v>5463197</v>
      </c>
      <c r="V25" s="40">
        <v>25910519</v>
      </c>
      <c r="W25" s="40">
        <v>6879419</v>
      </c>
      <c r="X25" s="40">
        <v>19551999</v>
      </c>
      <c r="Y25" s="40">
        <v>10845302</v>
      </c>
      <c r="Z25" s="40">
        <v>5731228</v>
      </c>
      <c r="AA25" s="40">
        <v>5463197</v>
      </c>
      <c r="AB25" s="40">
        <v>-5807920</v>
      </c>
      <c r="AC25" s="40">
        <v>-22947</v>
      </c>
      <c r="AD25" s="40">
        <v>46016</v>
      </c>
      <c r="AE25" s="40">
        <v>2835</v>
      </c>
      <c r="AF25" s="40">
        <v>187035852</v>
      </c>
      <c r="AG25" s="40">
        <v>407737</v>
      </c>
      <c r="AH25" s="40">
        <v>2144868.8524590163</v>
      </c>
      <c r="AI25" s="40">
        <v>3769931.1475409837</v>
      </c>
      <c r="AJ25" s="46">
        <v>0</v>
      </c>
      <c r="AK25" s="1">
        <v>302526146</v>
      </c>
      <c r="AL25" s="1">
        <v>8609322</v>
      </c>
      <c r="AM25" s="40">
        <v>0</v>
      </c>
      <c r="AN25" s="40">
        <v>124433635</v>
      </c>
      <c r="AO25" s="40">
        <v>19690752</v>
      </c>
      <c r="AP25" s="40">
        <v>410214319</v>
      </c>
      <c r="AQ25" s="40">
        <v>181999636</v>
      </c>
      <c r="AR25" s="40">
        <v>163506542</v>
      </c>
      <c r="AS25" s="40">
        <v>40582370</v>
      </c>
      <c r="AT25" s="40">
        <v>2709577</v>
      </c>
      <c r="AU25" s="40">
        <v>18894274</v>
      </c>
      <c r="AV25" s="40">
        <v>327525</v>
      </c>
      <c r="AW25" s="40">
        <v>218692399</v>
      </c>
      <c r="AX25" s="40">
        <v>2024986</v>
      </c>
      <c r="AY25" s="40">
        <v>438286</v>
      </c>
      <c r="AZ25" s="1">
        <v>22792454.190000001</v>
      </c>
      <c r="BA25" s="1">
        <v>11624152</v>
      </c>
      <c r="BB25" s="1"/>
      <c r="BC25" s="15">
        <v>2031881</v>
      </c>
      <c r="BD25" s="15">
        <v>3984080</v>
      </c>
      <c r="BE25" s="20">
        <v>22394312</v>
      </c>
      <c r="BF25" s="20">
        <v>22394312</v>
      </c>
      <c r="BG25" s="20">
        <v>74540849</v>
      </c>
      <c r="BH25" s="20">
        <v>68720267</v>
      </c>
      <c r="BI25" s="44">
        <v>1134</v>
      </c>
      <c r="BJ25" s="44">
        <v>17310178</v>
      </c>
      <c r="BK25" s="44"/>
      <c r="BL25" s="5">
        <v>3338946506</v>
      </c>
      <c r="BM25" s="5">
        <v>2905729114</v>
      </c>
      <c r="BN25" s="15">
        <v>4808463</v>
      </c>
      <c r="BO25" s="3"/>
      <c r="BP25" s="1"/>
      <c r="BQ25" s="1"/>
      <c r="BR25" s="5"/>
      <c r="BS25" s="5"/>
      <c r="BT25" s="5"/>
    </row>
    <row r="26" spans="1:72" x14ac:dyDescent="0.25">
      <c r="A26" s="6" t="s">
        <v>80</v>
      </c>
      <c r="B26" s="40">
        <v>1406275650</v>
      </c>
      <c r="C26" s="40">
        <v>240559000</v>
      </c>
      <c r="D26" s="40">
        <v>510274500</v>
      </c>
      <c r="E26" s="40">
        <v>0</v>
      </c>
      <c r="F26" s="40">
        <v>80469400</v>
      </c>
      <c r="G26" s="40">
        <v>13717000</v>
      </c>
      <c r="H26" s="40">
        <v>11933900</v>
      </c>
      <c r="I26" s="40">
        <v>2138700</v>
      </c>
      <c r="J26" s="40">
        <v>102000</v>
      </c>
      <c r="K26" s="40">
        <v>34000</v>
      </c>
      <c r="L26" s="40">
        <v>479658900</v>
      </c>
      <c r="M26" s="40">
        <v>0</v>
      </c>
      <c r="N26" s="40">
        <v>2783</v>
      </c>
      <c r="O26" s="40">
        <v>488</v>
      </c>
      <c r="P26" s="40">
        <v>7207600</v>
      </c>
      <c r="Q26" s="40">
        <v>551200</v>
      </c>
      <c r="R26" s="40">
        <v>39818000</v>
      </c>
      <c r="S26" s="40">
        <v>6514090</v>
      </c>
      <c r="T26" s="40">
        <v>1030600</v>
      </c>
      <c r="U26" s="40">
        <v>2797300</v>
      </c>
      <c r="V26" s="40">
        <v>7207600</v>
      </c>
      <c r="W26" s="40">
        <v>956600</v>
      </c>
      <c r="X26" s="40">
        <v>39818000</v>
      </c>
      <c r="Y26" s="40">
        <v>6514090</v>
      </c>
      <c r="Z26" s="40">
        <v>2578350</v>
      </c>
      <c r="AA26" s="40">
        <v>2797300</v>
      </c>
      <c r="AB26" s="40">
        <v>-5128500</v>
      </c>
      <c r="AC26" s="40">
        <v>-27787845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6">
        <v>0</v>
      </c>
      <c r="AK26" s="1">
        <v>235437581</v>
      </c>
      <c r="AL26" s="1">
        <v>4588609</v>
      </c>
      <c r="AM26" s="40">
        <v>0</v>
      </c>
      <c r="AN26" s="40">
        <v>73901202</v>
      </c>
      <c r="AO26" s="40">
        <v>9754090</v>
      </c>
      <c r="AP26" s="40">
        <v>246474610</v>
      </c>
      <c r="AQ26" s="40">
        <v>91207403</v>
      </c>
      <c r="AR26" s="40">
        <v>69106918</v>
      </c>
      <c r="AS26" s="40">
        <v>36154885</v>
      </c>
      <c r="AT26" s="40">
        <v>900759</v>
      </c>
      <c r="AU26" s="40">
        <v>0</v>
      </c>
      <c r="AV26" s="40">
        <v>11276</v>
      </c>
      <c r="AW26" s="40">
        <v>2697873</v>
      </c>
      <c r="AX26" s="40">
        <v>15385</v>
      </c>
      <c r="AY26" s="40">
        <v>9900</v>
      </c>
      <c r="AZ26" s="1">
        <v>17737971.91</v>
      </c>
      <c r="BA26" s="1">
        <v>9046366</v>
      </c>
      <c r="BB26" s="1"/>
      <c r="BC26" s="15">
        <v>3087035</v>
      </c>
      <c r="BD26" s="15">
        <v>6053009</v>
      </c>
      <c r="BE26" s="20">
        <v>61773872</v>
      </c>
      <c r="BF26" s="20">
        <v>61544675</v>
      </c>
      <c r="BG26" s="20">
        <v>146214055</v>
      </c>
      <c r="BH26" s="20">
        <v>140913066</v>
      </c>
      <c r="BI26" s="44"/>
      <c r="BJ26" s="44"/>
      <c r="BK26" s="44"/>
      <c r="BL26" s="5">
        <v>2786589177</v>
      </c>
      <c r="BM26" s="5">
        <v>2331971845</v>
      </c>
      <c r="BN26" s="15">
        <v>2243300</v>
      </c>
      <c r="BO26" s="3"/>
      <c r="BP26" s="1"/>
      <c r="BQ26" s="1"/>
      <c r="BR26" s="5"/>
      <c r="BS26" s="5"/>
      <c r="BT26" s="5"/>
    </row>
    <row r="27" spans="1:72" x14ac:dyDescent="0.25">
      <c r="A27" s="6" t="s">
        <v>81</v>
      </c>
      <c r="B27" s="40">
        <v>189173650</v>
      </c>
      <c r="C27" s="40">
        <v>67877900</v>
      </c>
      <c r="D27" s="40">
        <v>70400500</v>
      </c>
      <c r="E27" s="40">
        <v>0</v>
      </c>
      <c r="F27" s="40">
        <v>38672400</v>
      </c>
      <c r="G27" s="40">
        <v>27717900</v>
      </c>
      <c r="H27" s="40">
        <v>12288000</v>
      </c>
      <c r="I27" s="40">
        <v>4527900</v>
      </c>
      <c r="J27" s="40">
        <v>68000</v>
      </c>
      <c r="K27" s="40">
        <v>34000</v>
      </c>
      <c r="L27" s="40">
        <v>67232780</v>
      </c>
      <c r="M27" s="40">
        <v>46377450</v>
      </c>
      <c r="N27" s="40">
        <v>1653</v>
      </c>
      <c r="O27" s="40">
        <v>1182</v>
      </c>
      <c r="P27" s="40">
        <v>4668500</v>
      </c>
      <c r="Q27" s="40">
        <v>833500</v>
      </c>
      <c r="R27" s="40">
        <v>1200000</v>
      </c>
      <c r="S27" s="40">
        <v>4993850</v>
      </c>
      <c r="T27" s="40">
        <v>635800</v>
      </c>
      <c r="U27" s="40">
        <v>963400</v>
      </c>
      <c r="V27" s="40">
        <v>4668500</v>
      </c>
      <c r="W27" s="40">
        <v>833500</v>
      </c>
      <c r="X27" s="40">
        <v>1200000</v>
      </c>
      <c r="Y27" s="40">
        <v>4993850</v>
      </c>
      <c r="Z27" s="40">
        <v>635800</v>
      </c>
      <c r="AA27" s="40">
        <v>963400</v>
      </c>
      <c r="AB27" s="40">
        <v>-2186100</v>
      </c>
      <c r="AC27" s="40">
        <v>-1770</v>
      </c>
      <c r="AD27" s="40">
        <v>183500</v>
      </c>
      <c r="AE27" s="40">
        <v>0</v>
      </c>
      <c r="AF27" s="40">
        <v>0</v>
      </c>
      <c r="AG27" s="40">
        <v>200592</v>
      </c>
      <c r="AH27" s="40">
        <v>2366639.3442622954</v>
      </c>
      <c r="AI27" s="40">
        <v>25737506.557377055</v>
      </c>
      <c r="AJ27" s="46">
        <v>4748938</v>
      </c>
      <c r="AK27" s="1">
        <v>90553788</v>
      </c>
      <c r="AL27" s="1">
        <v>2240086</v>
      </c>
      <c r="AM27" s="40">
        <v>0</v>
      </c>
      <c r="AN27" s="40">
        <v>30207072</v>
      </c>
      <c r="AO27" s="40">
        <v>208633</v>
      </c>
      <c r="AP27" s="40">
        <v>11136456</v>
      </c>
      <c r="AQ27" s="40">
        <v>17413698</v>
      </c>
      <c r="AR27" s="40">
        <v>7802454</v>
      </c>
      <c r="AS27" s="40">
        <v>0</v>
      </c>
      <c r="AT27" s="40">
        <v>213445</v>
      </c>
      <c r="AU27" s="40">
        <v>0</v>
      </c>
      <c r="AV27" s="40">
        <v>0</v>
      </c>
      <c r="AW27" s="40">
        <v>0</v>
      </c>
      <c r="AX27" s="40">
        <v>48759</v>
      </c>
      <c r="AY27" s="40">
        <v>0</v>
      </c>
      <c r="AZ27" s="1">
        <v>6822362.5999999996</v>
      </c>
      <c r="BA27" s="1">
        <v>3479405</v>
      </c>
      <c r="BB27" s="1"/>
      <c r="BC27" s="15">
        <v>821681</v>
      </c>
      <c r="BD27" s="15">
        <v>1611139</v>
      </c>
      <c r="BE27" s="20">
        <v>10676728</v>
      </c>
      <c r="BF27" s="20">
        <v>10676728</v>
      </c>
      <c r="BG27" s="20">
        <v>43270755</v>
      </c>
      <c r="BH27" s="20">
        <v>42654263</v>
      </c>
      <c r="BI27" s="44"/>
      <c r="BJ27" s="44"/>
      <c r="BK27" s="44"/>
      <c r="BL27" s="5">
        <v>558560487.90163934</v>
      </c>
      <c r="BM27" s="5">
        <v>408134536.90163934</v>
      </c>
      <c r="BN27" s="15">
        <v>504700</v>
      </c>
      <c r="BO27" s="3"/>
      <c r="BP27" s="1"/>
      <c r="BQ27" s="1"/>
      <c r="BR27" s="5"/>
      <c r="BS27" s="5"/>
      <c r="BT27" s="5"/>
    </row>
    <row r="28" spans="1:72" x14ac:dyDescent="0.25">
      <c r="A28" s="6" t="s">
        <v>82</v>
      </c>
      <c r="B28" s="40">
        <v>196684359</v>
      </c>
      <c r="C28" s="40">
        <v>72271662</v>
      </c>
      <c r="D28" s="40">
        <v>101058875</v>
      </c>
      <c r="E28" s="40">
        <v>0</v>
      </c>
      <c r="F28" s="40">
        <v>25870100</v>
      </c>
      <c r="G28" s="40">
        <v>9378900</v>
      </c>
      <c r="H28" s="40">
        <v>9185450</v>
      </c>
      <c r="I28" s="40">
        <v>1148500</v>
      </c>
      <c r="J28" s="40">
        <v>34000</v>
      </c>
      <c r="K28" s="40">
        <v>0</v>
      </c>
      <c r="L28" s="40">
        <v>137049826</v>
      </c>
      <c r="M28" s="40">
        <v>49559400</v>
      </c>
      <c r="N28" s="40">
        <v>1110</v>
      </c>
      <c r="O28" s="40">
        <v>355</v>
      </c>
      <c r="P28" s="40">
        <v>2936500</v>
      </c>
      <c r="Q28" s="40">
        <v>1438800</v>
      </c>
      <c r="R28" s="40">
        <v>446500</v>
      </c>
      <c r="S28" s="40">
        <v>3133202</v>
      </c>
      <c r="T28" s="40">
        <v>565815</v>
      </c>
      <c r="U28" s="40">
        <v>1442824</v>
      </c>
      <c r="V28" s="40">
        <v>2936500</v>
      </c>
      <c r="W28" s="40">
        <v>1452000</v>
      </c>
      <c r="X28" s="40">
        <v>446500</v>
      </c>
      <c r="Y28" s="40">
        <v>3133202</v>
      </c>
      <c r="Z28" s="40">
        <v>891970</v>
      </c>
      <c r="AA28" s="40">
        <v>1442824</v>
      </c>
      <c r="AB28" s="40">
        <v>-2022850</v>
      </c>
      <c r="AC28" s="40">
        <v>0</v>
      </c>
      <c r="AD28" s="40">
        <v>48257</v>
      </c>
      <c r="AE28" s="40">
        <v>0</v>
      </c>
      <c r="AF28" s="40">
        <v>0</v>
      </c>
      <c r="AG28" s="40">
        <v>96544</v>
      </c>
      <c r="AH28" s="40">
        <v>5139680.3278688528</v>
      </c>
      <c r="AI28" s="40">
        <v>228114.75409836069</v>
      </c>
      <c r="AJ28" s="46">
        <v>0</v>
      </c>
      <c r="AK28" s="1">
        <v>47569638</v>
      </c>
      <c r="AL28" s="1">
        <v>7208379</v>
      </c>
      <c r="AM28" s="40">
        <v>6497223</v>
      </c>
      <c r="AN28" s="40">
        <v>10010709</v>
      </c>
      <c r="AO28" s="40">
        <v>6434325</v>
      </c>
      <c r="AP28" s="40">
        <v>14228336</v>
      </c>
      <c r="AQ28" s="40">
        <v>9253337</v>
      </c>
      <c r="AR28" s="40">
        <v>1653433</v>
      </c>
      <c r="AS28" s="40">
        <v>41779</v>
      </c>
      <c r="AT28" s="40">
        <v>245146</v>
      </c>
      <c r="AU28" s="40">
        <v>0</v>
      </c>
      <c r="AV28" s="40">
        <v>0</v>
      </c>
      <c r="AW28" s="40">
        <v>0</v>
      </c>
      <c r="AX28" s="40">
        <v>1590</v>
      </c>
      <c r="AY28" s="40">
        <v>20000</v>
      </c>
      <c r="AZ28" s="1">
        <v>3583917.65</v>
      </c>
      <c r="BA28" s="1">
        <v>1827798</v>
      </c>
      <c r="BB28" s="1"/>
      <c r="BC28" s="15">
        <v>0</v>
      </c>
      <c r="BD28" s="15">
        <v>0</v>
      </c>
      <c r="BE28" s="20">
        <v>2246237</v>
      </c>
      <c r="BF28" s="20">
        <v>2246237</v>
      </c>
      <c r="BG28" s="20">
        <v>23032115</v>
      </c>
      <c r="BH28" s="20">
        <v>22851899</v>
      </c>
      <c r="BI28" s="44"/>
      <c r="BJ28" s="44"/>
      <c r="BK28" s="44"/>
      <c r="BL28" s="5">
        <v>482785013.08196723</v>
      </c>
      <c r="BM28" s="5">
        <v>401081062.08196723</v>
      </c>
      <c r="BN28" s="15">
        <v>402056</v>
      </c>
      <c r="BO28" s="3"/>
      <c r="BP28" s="1"/>
      <c r="BQ28" s="1"/>
      <c r="BR28" s="5"/>
      <c r="BS28" s="5"/>
      <c r="BT28" s="5"/>
    </row>
    <row r="29" spans="1:72" x14ac:dyDescent="0.25">
      <c r="A29" s="6" t="s">
        <v>83</v>
      </c>
      <c r="B29" s="40">
        <v>137690424</v>
      </c>
      <c r="C29" s="40">
        <v>122790473</v>
      </c>
      <c r="D29" s="40">
        <v>33271005</v>
      </c>
      <c r="E29" s="40">
        <v>1560000</v>
      </c>
      <c r="F29" s="40">
        <v>23719291</v>
      </c>
      <c r="G29" s="40">
        <v>5053412</v>
      </c>
      <c r="H29" s="40">
        <v>8035795</v>
      </c>
      <c r="I29" s="40">
        <v>1147000</v>
      </c>
      <c r="J29" s="40">
        <v>27500</v>
      </c>
      <c r="K29" s="40">
        <v>0</v>
      </c>
      <c r="L29" s="40">
        <v>144690522</v>
      </c>
      <c r="M29" s="40">
        <v>57146288</v>
      </c>
      <c r="N29" s="40">
        <v>1023</v>
      </c>
      <c r="O29" s="40">
        <v>218</v>
      </c>
      <c r="P29" s="40">
        <v>2386110</v>
      </c>
      <c r="Q29" s="40">
        <v>694035</v>
      </c>
      <c r="R29" s="40">
        <v>372453</v>
      </c>
      <c r="S29" s="40">
        <v>2635767</v>
      </c>
      <c r="T29" s="40">
        <v>222846</v>
      </c>
      <c r="U29" s="40">
        <v>386812</v>
      </c>
      <c r="V29" s="40">
        <v>2386110</v>
      </c>
      <c r="W29" s="40">
        <v>692300</v>
      </c>
      <c r="X29" s="40">
        <v>372453</v>
      </c>
      <c r="Y29" s="40">
        <v>2635767</v>
      </c>
      <c r="Z29" s="40">
        <v>640821</v>
      </c>
      <c r="AA29" s="40">
        <v>386812</v>
      </c>
      <c r="AB29" s="40">
        <v>-2489427</v>
      </c>
      <c r="AC29" s="40">
        <v>150476</v>
      </c>
      <c r="AD29" s="40">
        <v>101365</v>
      </c>
      <c r="AE29" s="40">
        <v>4568</v>
      </c>
      <c r="AF29" s="40">
        <v>780226</v>
      </c>
      <c r="AG29" s="40">
        <v>222739</v>
      </c>
      <c r="AH29" s="40">
        <v>0</v>
      </c>
      <c r="AI29" s="40">
        <v>403336.06557377049</v>
      </c>
      <c r="AJ29" s="46">
        <v>12590.163934426229</v>
      </c>
      <c r="AK29" s="1">
        <v>56808882</v>
      </c>
      <c r="AL29" s="1">
        <v>1828439</v>
      </c>
      <c r="AM29" s="3"/>
      <c r="AN29" s="40">
        <v>7630589</v>
      </c>
      <c r="AO29" s="40">
        <v>74467</v>
      </c>
      <c r="AP29" s="40">
        <v>12001797</v>
      </c>
      <c r="AQ29" s="40">
        <v>5677853</v>
      </c>
      <c r="AR29" s="40">
        <v>24348129</v>
      </c>
      <c r="AS29" s="3"/>
      <c r="AT29" s="40">
        <v>94317</v>
      </c>
      <c r="AU29" s="3"/>
      <c r="AV29" s="3"/>
      <c r="AW29" s="40">
        <v>100776</v>
      </c>
      <c r="AX29" s="40">
        <v>895928</v>
      </c>
      <c r="AY29" s="40">
        <v>61000</v>
      </c>
      <c r="AZ29" s="1">
        <v>4280006.4000000004</v>
      </c>
      <c r="BA29" s="1">
        <v>2182803</v>
      </c>
      <c r="BB29" s="1">
        <v>16593264</v>
      </c>
      <c r="BC29" s="15">
        <v>0</v>
      </c>
      <c r="BD29" s="15">
        <v>0</v>
      </c>
      <c r="BE29" s="20">
        <v>1518098</v>
      </c>
      <c r="BF29" s="20">
        <v>1518098</v>
      </c>
      <c r="BG29" s="20">
        <v>20450508</v>
      </c>
      <c r="BH29" s="20">
        <v>20428781</v>
      </c>
      <c r="BI29" s="44"/>
      <c r="BJ29" s="44"/>
      <c r="BK29" s="44"/>
      <c r="BL29" s="5">
        <v>390317740.22950816</v>
      </c>
      <c r="BM29" s="5">
        <v>307550737.22950816</v>
      </c>
      <c r="BN29" s="15">
        <v>627795</v>
      </c>
      <c r="BO29" s="3"/>
      <c r="BP29" s="1"/>
      <c r="BQ29" s="1"/>
      <c r="BR29" s="5"/>
      <c r="BS29" s="5"/>
      <c r="BT29" s="5"/>
    </row>
    <row r="30" spans="1:72" x14ac:dyDescent="0.25">
      <c r="A30" s="6" t="s">
        <v>84</v>
      </c>
      <c r="B30" s="40">
        <v>129846462</v>
      </c>
      <c r="C30" s="40">
        <v>98549550</v>
      </c>
      <c r="D30" s="40">
        <v>29448830</v>
      </c>
      <c r="E30" s="40">
        <v>0</v>
      </c>
      <c r="F30" s="40">
        <v>15424500</v>
      </c>
      <c r="G30" s="40">
        <v>4569500</v>
      </c>
      <c r="H30" s="40">
        <v>6989400</v>
      </c>
      <c r="I30" s="40">
        <v>776000</v>
      </c>
      <c r="J30" s="40">
        <v>34000</v>
      </c>
      <c r="K30" s="40">
        <v>0</v>
      </c>
      <c r="L30" s="40">
        <v>146112747</v>
      </c>
      <c r="M30" s="40">
        <v>46671075</v>
      </c>
      <c r="N30" s="40">
        <v>689</v>
      </c>
      <c r="O30" s="40">
        <v>180</v>
      </c>
      <c r="P30" s="40">
        <v>1771500</v>
      </c>
      <c r="Q30" s="40">
        <v>1150200</v>
      </c>
      <c r="R30" s="40">
        <v>10000</v>
      </c>
      <c r="S30" s="40">
        <v>1517860</v>
      </c>
      <c r="T30" s="40">
        <v>317770</v>
      </c>
      <c r="U30" s="40">
        <v>918150</v>
      </c>
      <c r="V30" s="40">
        <v>1771500</v>
      </c>
      <c r="W30" s="40">
        <v>1244000</v>
      </c>
      <c r="X30" s="40">
        <v>10000</v>
      </c>
      <c r="Y30" s="40">
        <v>1517860</v>
      </c>
      <c r="Z30" s="40">
        <v>278000</v>
      </c>
      <c r="AA30" s="40">
        <v>918150</v>
      </c>
      <c r="AB30" s="40">
        <v>-1156000</v>
      </c>
      <c r="AC30" s="40">
        <v>0</v>
      </c>
      <c r="AD30" s="40">
        <v>167992</v>
      </c>
      <c r="AE30" s="40">
        <v>0</v>
      </c>
      <c r="AF30" s="40">
        <v>0</v>
      </c>
      <c r="AG30" s="40">
        <v>0</v>
      </c>
      <c r="AH30" s="40">
        <v>3600778.6885245903</v>
      </c>
      <c r="AI30" s="40">
        <v>0</v>
      </c>
      <c r="AJ30" s="46">
        <v>0</v>
      </c>
      <c r="AK30" s="1">
        <v>34096951</v>
      </c>
      <c r="AL30" s="1">
        <v>4832312</v>
      </c>
      <c r="AM30" s="40">
        <v>2445801</v>
      </c>
      <c r="AN30" s="40">
        <v>4741047</v>
      </c>
      <c r="AO30" s="40">
        <v>30933</v>
      </c>
      <c r="AP30" s="40">
        <v>636376</v>
      </c>
      <c r="AQ30" s="40">
        <v>3486144</v>
      </c>
      <c r="AR30" s="40">
        <v>3066190</v>
      </c>
      <c r="AS30" s="40">
        <v>0</v>
      </c>
      <c r="AT30" s="40">
        <v>132584</v>
      </c>
      <c r="AU30" s="40">
        <v>0</v>
      </c>
      <c r="AV30" s="40">
        <v>0</v>
      </c>
      <c r="AW30" s="40">
        <v>0</v>
      </c>
      <c r="AX30" s="40">
        <v>6530</v>
      </c>
      <c r="AY30" s="40">
        <v>18150</v>
      </c>
      <c r="AZ30" s="1">
        <v>2568879.4300000002</v>
      </c>
      <c r="BA30" s="1">
        <v>1310129</v>
      </c>
      <c r="BB30" s="1"/>
      <c r="BC30" s="15">
        <v>0</v>
      </c>
      <c r="BD30" s="15">
        <v>0</v>
      </c>
      <c r="BE30" s="20">
        <v>842402</v>
      </c>
      <c r="BF30" s="20">
        <v>842402</v>
      </c>
      <c r="BG30" s="20">
        <v>17102543</v>
      </c>
      <c r="BH30" s="20">
        <v>17079721</v>
      </c>
      <c r="BI30" s="44"/>
      <c r="BJ30" s="44"/>
      <c r="BK30" s="44"/>
      <c r="BL30" s="5">
        <v>327865259.6885246</v>
      </c>
      <c r="BM30" s="5">
        <v>269703744.6885246</v>
      </c>
      <c r="BN30" s="15">
        <v>293500</v>
      </c>
      <c r="BO30" s="3"/>
      <c r="BP30" s="1"/>
      <c r="BQ30" s="1"/>
      <c r="BR30" s="5"/>
      <c r="BS30" s="5"/>
      <c r="BT30" s="5"/>
    </row>
    <row r="31" spans="1:72" x14ac:dyDescent="0.25">
      <c r="A31" s="6" t="s">
        <v>85</v>
      </c>
      <c r="B31" s="40">
        <v>3111500573</v>
      </c>
      <c r="C31" s="40">
        <v>325004485</v>
      </c>
      <c r="D31" s="40">
        <v>1246366151</v>
      </c>
      <c r="E31" s="40">
        <v>0</v>
      </c>
      <c r="F31" s="40">
        <v>246309035</v>
      </c>
      <c r="G31" s="40">
        <v>29671385</v>
      </c>
      <c r="H31" s="40">
        <v>18306700</v>
      </c>
      <c r="I31" s="40">
        <v>0</v>
      </c>
      <c r="J31" s="40">
        <v>0</v>
      </c>
      <c r="K31" s="40">
        <v>0</v>
      </c>
      <c r="L31" s="40">
        <v>690066970</v>
      </c>
      <c r="M31" s="40">
        <v>188466327</v>
      </c>
      <c r="N31" s="40">
        <v>7904</v>
      </c>
      <c r="O31" s="40">
        <v>908</v>
      </c>
      <c r="P31" s="40">
        <v>46067326</v>
      </c>
      <c r="Q31" s="40">
        <v>12353040</v>
      </c>
      <c r="R31" s="40">
        <v>47860045</v>
      </c>
      <c r="S31" s="40">
        <v>21516765</v>
      </c>
      <c r="T31" s="40">
        <v>5192107</v>
      </c>
      <c r="U31" s="40">
        <v>26507897</v>
      </c>
      <c r="V31" s="40">
        <v>46067326</v>
      </c>
      <c r="W31" s="40">
        <v>77150661</v>
      </c>
      <c r="X31" s="40">
        <v>47860045</v>
      </c>
      <c r="Y31" s="40">
        <v>21516765</v>
      </c>
      <c r="Z31" s="40">
        <v>19509386</v>
      </c>
      <c r="AA31" s="40">
        <v>26507897</v>
      </c>
      <c r="AB31" s="40">
        <v>-17580261</v>
      </c>
      <c r="AC31" s="40">
        <v>4248171</v>
      </c>
      <c r="AD31" s="40">
        <v>0</v>
      </c>
      <c r="AE31" s="40">
        <v>0</v>
      </c>
      <c r="AF31" s="40">
        <v>0</v>
      </c>
      <c r="AG31" s="40">
        <v>249102</v>
      </c>
      <c r="AH31" s="40">
        <v>8258598.360655738</v>
      </c>
      <c r="AI31" s="40">
        <v>176319.67213114756</v>
      </c>
      <c r="AJ31" s="46">
        <v>3110000</v>
      </c>
      <c r="AK31" s="1">
        <v>571004294</v>
      </c>
      <c r="AL31" s="1">
        <v>13651555</v>
      </c>
      <c r="AM31" s="40">
        <v>261535</v>
      </c>
      <c r="AN31" s="40">
        <v>216256166</v>
      </c>
      <c r="AO31" s="40">
        <v>22163254</v>
      </c>
      <c r="AP31" s="40">
        <v>374265436</v>
      </c>
      <c r="AQ31" s="40">
        <v>255784911</v>
      </c>
      <c r="AR31" s="40">
        <v>249667563</v>
      </c>
      <c r="AS31" s="40">
        <v>78354349</v>
      </c>
      <c r="AT31" s="40">
        <v>163558174</v>
      </c>
      <c r="AU31" s="40">
        <v>39532937</v>
      </c>
      <c r="AV31" s="40">
        <v>1561939</v>
      </c>
      <c r="AW31" s="40">
        <v>80444289</v>
      </c>
      <c r="AX31" s="40">
        <v>4925955</v>
      </c>
      <c r="AY31" s="40">
        <v>3199380</v>
      </c>
      <c r="AZ31" s="1">
        <v>43019717.090000004</v>
      </c>
      <c r="BA31" s="1">
        <v>21940056</v>
      </c>
      <c r="BB31" s="1">
        <v>25880830</v>
      </c>
      <c r="BC31" s="15">
        <v>1786342</v>
      </c>
      <c r="BD31" s="15">
        <v>3502631</v>
      </c>
      <c r="BE31" s="20">
        <v>54262409</v>
      </c>
      <c r="BF31" s="20">
        <v>54262409</v>
      </c>
      <c r="BG31" s="20">
        <v>142757789</v>
      </c>
      <c r="BH31" s="20">
        <v>138262617</v>
      </c>
      <c r="BI31" s="20">
        <v>13953847</v>
      </c>
      <c r="BJ31" s="44"/>
      <c r="BK31" s="44"/>
      <c r="BL31" s="5">
        <v>6003481578.0327873</v>
      </c>
      <c r="BM31" s="5">
        <v>5188620458.0327873</v>
      </c>
      <c r="BN31" s="15">
        <v>1681664</v>
      </c>
      <c r="BO31" s="3"/>
      <c r="BP31" s="1"/>
      <c r="BQ31" s="1"/>
      <c r="BR31" s="5"/>
      <c r="BS31" s="5"/>
      <c r="BT31" s="5"/>
    </row>
    <row r="32" spans="1:72" x14ac:dyDescent="0.25">
      <c r="A32" s="6" t="s">
        <v>86</v>
      </c>
      <c r="B32" s="40">
        <v>328076785</v>
      </c>
      <c r="C32" s="40">
        <v>109614407</v>
      </c>
      <c r="D32" s="40">
        <v>43829284</v>
      </c>
      <c r="E32" s="56">
        <v>0</v>
      </c>
      <c r="F32" s="40">
        <v>25140200</v>
      </c>
      <c r="G32" s="40">
        <v>9763500</v>
      </c>
      <c r="H32" s="40">
        <v>13800384</v>
      </c>
      <c r="I32" s="40">
        <v>1868050</v>
      </c>
      <c r="J32" s="40">
        <v>34000</v>
      </c>
      <c r="K32" s="40">
        <v>0</v>
      </c>
      <c r="L32" s="40">
        <v>157375508</v>
      </c>
      <c r="M32" s="40">
        <v>84479233</v>
      </c>
      <c r="N32" s="40">
        <v>1237</v>
      </c>
      <c r="O32" s="40">
        <v>413</v>
      </c>
      <c r="P32" s="40">
        <v>2891500</v>
      </c>
      <c r="Q32" s="40">
        <v>1616382</v>
      </c>
      <c r="R32" s="40">
        <v>1100000</v>
      </c>
      <c r="S32" s="40">
        <v>261000</v>
      </c>
      <c r="T32" s="40">
        <v>143150</v>
      </c>
      <c r="U32" s="40">
        <v>0</v>
      </c>
      <c r="V32" s="40">
        <v>2891500</v>
      </c>
      <c r="W32" s="40">
        <v>2002500</v>
      </c>
      <c r="X32" s="40">
        <v>1100000</v>
      </c>
      <c r="Y32" s="40">
        <v>261000</v>
      </c>
      <c r="Z32" s="40">
        <v>186000</v>
      </c>
      <c r="AA32" s="40">
        <v>0</v>
      </c>
      <c r="AB32" s="40">
        <v>-1620385</v>
      </c>
      <c r="AC32" s="40">
        <v>25905</v>
      </c>
      <c r="AD32" s="40">
        <v>61964</v>
      </c>
      <c r="AE32" s="40">
        <v>7772</v>
      </c>
      <c r="AF32" s="40">
        <v>8879164</v>
      </c>
      <c r="AG32" s="40">
        <v>143444</v>
      </c>
      <c r="AH32" s="40">
        <v>1625065.5737704919</v>
      </c>
      <c r="AI32" s="40">
        <v>332884.42622950824</v>
      </c>
      <c r="AJ32" s="46">
        <v>0</v>
      </c>
      <c r="AK32" s="1">
        <v>57177521</v>
      </c>
      <c r="AL32" s="1">
        <v>6251576</v>
      </c>
      <c r="AM32" s="40">
        <v>117000</v>
      </c>
      <c r="AN32" s="40">
        <v>4895046</v>
      </c>
      <c r="AO32" s="40">
        <v>59177</v>
      </c>
      <c r="AP32" s="40">
        <v>377436</v>
      </c>
      <c r="AQ32" s="40">
        <v>2761792</v>
      </c>
      <c r="AR32" s="40">
        <v>623299</v>
      </c>
      <c r="AS32" s="40">
        <v>0</v>
      </c>
      <c r="AT32" s="40">
        <v>338557</v>
      </c>
      <c r="AU32" s="40">
        <v>0</v>
      </c>
      <c r="AV32" s="40">
        <v>0</v>
      </c>
      <c r="AW32" s="40">
        <v>0</v>
      </c>
      <c r="AX32" s="40">
        <v>0</v>
      </c>
      <c r="AY32" s="40">
        <v>0</v>
      </c>
      <c r="AZ32" s="1">
        <v>4307779.82</v>
      </c>
      <c r="BA32" s="1">
        <v>2196968</v>
      </c>
      <c r="BB32" s="1"/>
      <c r="BC32" s="15">
        <v>267861</v>
      </c>
      <c r="BD32" s="15">
        <v>525217</v>
      </c>
      <c r="BE32" s="20">
        <v>2123700</v>
      </c>
      <c r="BF32" s="20">
        <v>2123700</v>
      </c>
      <c r="BG32" s="20">
        <v>18062945</v>
      </c>
      <c r="BH32" s="20">
        <v>17362216</v>
      </c>
      <c r="BI32" s="44"/>
      <c r="BJ32" s="44"/>
      <c r="BK32" s="44"/>
      <c r="BL32" s="5">
        <v>576574283</v>
      </c>
      <c r="BM32" s="5">
        <v>491194441</v>
      </c>
      <c r="BN32" s="15">
        <v>318800</v>
      </c>
      <c r="BO32" s="3"/>
      <c r="BP32" s="1"/>
      <c r="BQ32" s="1"/>
      <c r="BR32" s="5"/>
      <c r="BS32" s="5"/>
      <c r="BT32" s="5"/>
    </row>
    <row r="33" spans="1:72" x14ac:dyDescent="0.25">
      <c r="A33" s="6" t="s">
        <v>87</v>
      </c>
      <c r="B33" s="40">
        <v>63782538</v>
      </c>
      <c r="C33" s="40">
        <v>57338516</v>
      </c>
      <c r="D33" s="40">
        <v>13222919</v>
      </c>
      <c r="E33" s="40">
        <v>0</v>
      </c>
      <c r="F33" s="40">
        <v>7736855</v>
      </c>
      <c r="G33" s="40">
        <v>7096538</v>
      </c>
      <c r="H33" s="40">
        <v>11231337</v>
      </c>
      <c r="I33" s="40">
        <v>4604226</v>
      </c>
      <c r="J33" s="40">
        <v>0</v>
      </c>
      <c r="K33" s="40">
        <v>0</v>
      </c>
      <c r="L33" s="40">
        <v>88934505</v>
      </c>
      <c r="M33" s="40">
        <v>17</v>
      </c>
      <c r="N33" s="40">
        <v>637</v>
      </c>
      <c r="O33" s="40">
        <v>425</v>
      </c>
      <c r="P33" s="40">
        <v>2830565</v>
      </c>
      <c r="Q33" s="40">
        <v>2515070</v>
      </c>
      <c r="R33" s="40">
        <v>41000</v>
      </c>
      <c r="S33" s="40">
        <v>2012979</v>
      </c>
      <c r="T33" s="40">
        <v>1410308</v>
      </c>
      <c r="U33" s="40">
        <v>403800</v>
      </c>
      <c r="V33" s="40">
        <v>2830565</v>
      </c>
      <c r="W33" s="40">
        <v>2787856</v>
      </c>
      <c r="X33" s="40">
        <v>41000</v>
      </c>
      <c r="Y33" s="40">
        <v>2012979</v>
      </c>
      <c r="Z33" s="40">
        <v>1288505</v>
      </c>
      <c r="AA33" s="40">
        <v>403800</v>
      </c>
      <c r="AB33" s="40">
        <v>-1612289</v>
      </c>
      <c r="AC33" s="40">
        <v>0</v>
      </c>
      <c r="AD33" s="40">
        <v>137</v>
      </c>
      <c r="AE33" s="40">
        <v>0</v>
      </c>
      <c r="AF33" s="40">
        <v>0</v>
      </c>
      <c r="AG33" s="40">
        <v>143</v>
      </c>
      <c r="AH33" s="40">
        <v>1841655.7377049183</v>
      </c>
      <c r="AI33" s="40">
        <v>221045.90163934426</v>
      </c>
      <c r="AJ33" s="46">
        <v>1553516.3934426231</v>
      </c>
      <c r="AK33" s="1">
        <v>29573995</v>
      </c>
      <c r="AL33" s="1">
        <v>881042</v>
      </c>
      <c r="AM33" s="40">
        <v>0</v>
      </c>
      <c r="AN33" s="40">
        <v>2392781</v>
      </c>
      <c r="AO33" s="40">
        <v>41831</v>
      </c>
      <c r="AP33" s="40">
        <v>0</v>
      </c>
      <c r="AQ33" s="40">
        <v>1382095</v>
      </c>
      <c r="AR33" s="40">
        <v>20250</v>
      </c>
      <c r="AS33" s="40">
        <v>0</v>
      </c>
      <c r="AT33" s="40">
        <v>693285</v>
      </c>
      <c r="AU33" s="40">
        <v>0</v>
      </c>
      <c r="AV33" s="40">
        <v>0</v>
      </c>
      <c r="AW33" s="40">
        <v>0</v>
      </c>
      <c r="AX33" s="40">
        <v>0</v>
      </c>
      <c r="AY33" s="40">
        <v>1500</v>
      </c>
      <c r="AZ33" s="1">
        <v>2228117.92</v>
      </c>
      <c r="BA33" s="1">
        <v>1136340</v>
      </c>
      <c r="BB33" s="1"/>
      <c r="BC33" s="15">
        <v>0</v>
      </c>
      <c r="BD33" s="15">
        <v>0</v>
      </c>
      <c r="BE33" s="20">
        <v>1163673</v>
      </c>
      <c r="BF33" s="20">
        <v>1163673</v>
      </c>
      <c r="BG33" s="20">
        <v>22196283</v>
      </c>
      <c r="BH33" s="20">
        <v>22173461</v>
      </c>
      <c r="BI33" s="44"/>
      <c r="BJ33" s="44"/>
      <c r="BK33" s="44"/>
      <c r="BL33" s="5">
        <v>196705409.03278691</v>
      </c>
      <c r="BM33" s="5">
        <v>141776898.03278691</v>
      </c>
      <c r="BN33" s="15">
        <v>215481</v>
      </c>
      <c r="BO33" s="3"/>
      <c r="BP33" s="1"/>
      <c r="BQ33" s="1"/>
      <c r="BR33" s="5"/>
      <c r="BS33" s="5"/>
      <c r="BT33" s="5"/>
    </row>
    <row r="34" spans="1:72" x14ac:dyDescent="0.25">
      <c r="A34" s="6" t="s">
        <v>88</v>
      </c>
      <c r="B34" s="40">
        <v>212251718</v>
      </c>
      <c r="C34" s="40">
        <v>96634671</v>
      </c>
      <c r="D34" s="40">
        <v>58063937</v>
      </c>
      <c r="E34" s="40">
        <v>0</v>
      </c>
      <c r="F34" s="40">
        <v>34300388</v>
      </c>
      <c r="G34" s="40">
        <v>11206350</v>
      </c>
      <c r="H34" s="40">
        <v>9979183</v>
      </c>
      <c r="I34" s="40">
        <v>1916000</v>
      </c>
      <c r="J34" s="40">
        <v>63400</v>
      </c>
      <c r="K34" s="40">
        <v>68000</v>
      </c>
      <c r="L34" s="40">
        <v>69152907</v>
      </c>
      <c r="M34" s="40">
        <v>1591680</v>
      </c>
      <c r="N34" s="40">
        <v>1378</v>
      </c>
      <c r="O34" s="40">
        <v>430</v>
      </c>
      <c r="P34" s="40">
        <v>1835711</v>
      </c>
      <c r="Q34" s="40">
        <v>763600</v>
      </c>
      <c r="R34" s="40">
        <v>8500</v>
      </c>
      <c r="S34" s="40">
        <v>4871321</v>
      </c>
      <c r="T34" s="40">
        <v>3313544</v>
      </c>
      <c r="U34" s="40">
        <v>945749</v>
      </c>
      <c r="V34" s="40">
        <v>1835711</v>
      </c>
      <c r="W34" s="40">
        <v>781600</v>
      </c>
      <c r="X34" s="40">
        <v>8500</v>
      </c>
      <c r="Y34" s="40">
        <v>4871321</v>
      </c>
      <c r="Z34" s="40">
        <v>1711849</v>
      </c>
      <c r="AA34" s="40">
        <v>945749</v>
      </c>
      <c r="AB34" s="40">
        <v>-2114555</v>
      </c>
      <c r="AC34" s="40">
        <v>43943</v>
      </c>
      <c r="AD34" s="40">
        <v>90150</v>
      </c>
      <c r="AE34" s="40">
        <v>12597</v>
      </c>
      <c r="AF34" s="40">
        <v>10775470</v>
      </c>
      <c r="AG34" s="40">
        <v>129297</v>
      </c>
      <c r="AH34" s="40">
        <v>4137647.5409836071</v>
      </c>
      <c r="AI34" s="40">
        <v>53204.918032786882</v>
      </c>
      <c r="AJ34" s="46">
        <v>0</v>
      </c>
      <c r="AK34" s="1">
        <v>68932001</v>
      </c>
      <c r="AL34" s="1">
        <v>1358722</v>
      </c>
      <c r="AM34" s="40">
        <v>0</v>
      </c>
      <c r="AN34" s="40">
        <v>13859951</v>
      </c>
      <c r="AO34" s="40">
        <v>59099</v>
      </c>
      <c r="AP34" s="40">
        <v>870466</v>
      </c>
      <c r="AQ34" s="40">
        <v>5212452</v>
      </c>
      <c r="AR34" s="40">
        <v>2740183</v>
      </c>
      <c r="AS34" s="40">
        <v>0</v>
      </c>
      <c r="AT34" s="40">
        <v>125056</v>
      </c>
      <c r="AU34" s="40">
        <v>0</v>
      </c>
      <c r="AV34" s="40">
        <v>0</v>
      </c>
      <c r="AW34" s="40">
        <v>0</v>
      </c>
      <c r="AX34" s="40">
        <v>64690</v>
      </c>
      <c r="AY34" s="40">
        <v>0</v>
      </c>
      <c r="AZ34" s="1">
        <v>5193367.57</v>
      </c>
      <c r="BA34" s="1">
        <v>2648617</v>
      </c>
      <c r="BB34" s="1"/>
      <c r="BC34" s="15">
        <v>4339465</v>
      </c>
      <c r="BD34" s="15">
        <v>8508754</v>
      </c>
      <c r="BE34" s="20">
        <v>11273591</v>
      </c>
      <c r="BF34" s="20">
        <v>11273591</v>
      </c>
      <c r="BG34" s="20">
        <v>35295170</v>
      </c>
      <c r="BH34" s="20">
        <v>31595995</v>
      </c>
      <c r="BI34" s="44"/>
      <c r="BJ34" s="44"/>
      <c r="BK34" s="44"/>
      <c r="BL34" s="5">
        <v>510421071.45901638</v>
      </c>
      <c r="BM34" s="5">
        <v>390272680.45901638</v>
      </c>
      <c r="BN34" s="15">
        <v>391160</v>
      </c>
      <c r="BO34" s="3"/>
      <c r="BP34" s="1"/>
      <c r="BQ34" s="1"/>
      <c r="BR34" s="5"/>
      <c r="BS34" s="5"/>
      <c r="BT34" s="5"/>
    </row>
    <row r="35" spans="1:72" x14ac:dyDescent="0.25">
      <c r="A35" s="6" t="s">
        <v>89</v>
      </c>
      <c r="B35" s="40">
        <v>15235648200</v>
      </c>
      <c r="C35" s="40">
        <v>897667200</v>
      </c>
      <c r="D35" s="40">
        <v>6523119000</v>
      </c>
      <c r="E35" s="40">
        <v>0</v>
      </c>
      <c r="F35" s="40">
        <v>566938800</v>
      </c>
      <c r="G35" s="40">
        <v>42160800</v>
      </c>
      <c r="H35" s="40">
        <v>11130900</v>
      </c>
      <c r="I35" s="40">
        <v>408000</v>
      </c>
      <c r="J35" s="40">
        <v>850000</v>
      </c>
      <c r="K35" s="40">
        <v>68000</v>
      </c>
      <c r="L35" s="40">
        <v>1657771500</v>
      </c>
      <c r="M35" s="40">
        <v>581770733</v>
      </c>
      <c r="N35" s="40">
        <v>17154</v>
      </c>
      <c r="O35" s="40">
        <v>1298</v>
      </c>
      <c r="P35" s="40">
        <v>108487200</v>
      </c>
      <c r="Q35" s="40">
        <v>5195400</v>
      </c>
      <c r="R35" s="40">
        <v>36245800</v>
      </c>
      <c r="S35" s="40">
        <v>52886100</v>
      </c>
      <c r="T35" s="40">
        <v>3493000</v>
      </c>
      <c r="U35" s="40">
        <v>33036700</v>
      </c>
      <c r="V35" s="40">
        <v>108487200</v>
      </c>
      <c r="W35" s="40">
        <v>5405400</v>
      </c>
      <c r="X35" s="40">
        <v>36245800</v>
      </c>
      <c r="Y35" s="40">
        <v>52886100</v>
      </c>
      <c r="Z35" s="40">
        <v>14222700</v>
      </c>
      <c r="AA35" s="40">
        <v>33036700</v>
      </c>
      <c r="AB35" s="40">
        <v>54156500</v>
      </c>
      <c r="AC35" s="40">
        <v>-5719691</v>
      </c>
      <c r="AD35" s="40">
        <v>0</v>
      </c>
      <c r="AE35" s="40">
        <v>0</v>
      </c>
      <c r="AF35" s="40">
        <v>0</v>
      </c>
      <c r="AG35" s="40">
        <v>0</v>
      </c>
      <c r="AH35" s="40">
        <v>0</v>
      </c>
      <c r="AI35" s="40">
        <v>1499368.8524590165</v>
      </c>
      <c r="AJ35" s="46">
        <v>0</v>
      </c>
      <c r="AK35" s="1">
        <v>1881714584</v>
      </c>
      <c r="AL35" s="1">
        <v>25299805</v>
      </c>
      <c r="AM35" s="40">
        <v>0</v>
      </c>
      <c r="AN35" s="40">
        <v>925390524</v>
      </c>
      <c r="AO35" s="40">
        <v>22922770</v>
      </c>
      <c r="AP35" s="40">
        <v>396644335</v>
      </c>
      <c r="AQ35" s="40">
        <v>732270288</v>
      </c>
      <c r="AR35" s="40">
        <v>302983507</v>
      </c>
      <c r="AS35" s="40">
        <v>283492003</v>
      </c>
      <c r="AT35" s="40">
        <v>679648692</v>
      </c>
      <c r="AU35" s="40">
        <v>23024</v>
      </c>
      <c r="AV35" s="40">
        <v>19883</v>
      </c>
      <c r="AW35" s="40">
        <v>23279594</v>
      </c>
      <c r="AX35" s="40">
        <v>3726634</v>
      </c>
      <c r="AY35" s="40">
        <v>56124955</v>
      </c>
      <c r="AZ35" s="1">
        <v>141769212.43000001</v>
      </c>
      <c r="BA35" s="1">
        <v>72302298</v>
      </c>
      <c r="BB35" s="1"/>
      <c r="BC35" s="15">
        <v>2455993</v>
      </c>
      <c r="BD35" s="15">
        <v>4815673</v>
      </c>
      <c r="BE35" s="20">
        <v>258219828</v>
      </c>
      <c r="BF35" s="20">
        <v>255832055</v>
      </c>
      <c r="BG35" s="20">
        <v>546977799</v>
      </c>
      <c r="BH35" s="20">
        <v>516366624</v>
      </c>
      <c r="BI35" s="44">
        <v>10460</v>
      </c>
      <c r="BJ35" s="44"/>
      <c r="BK35" s="44"/>
      <c r="BL35" s="5">
        <v>27092499169.852459</v>
      </c>
      <c r="BM35" s="5">
        <v>24338517350.852459</v>
      </c>
      <c r="BN35" s="15">
        <v>21985900</v>
      </c>
      <c r="BO35" s="3"/>
      <c r="BP35" s="1"/>
      <c r="BQ35" s="1"/>
      <c r="BR35" s="5"/>
      <c r="BS35" s="5"/>
      <c r="BT35" s="5"/>
    </row>
    <row r="36" spans="1:72" x14ac:dyDescent="0.25">
      <c r="A36" s="6" t="s">
        <v>90</v>
      </c>
      <c r="B36" s="40">
        <v>252760218</v>
      </c>
      <c r="C36" s="40">
        <v>162909825</v>
      </c>
      <c r="D36" s="40">
        <v>54457650</v>
      </c>
      <c r="E36" s="56">
        <v>0</v>
      </c>
      <c r="F36" s="40">
        <v>31011300</v>
      </c>
      <c r="G36" s="40">
        <v>7816420</v>
      </c>
      <c r="H36" s="40">
        <v>11958250</v>
      </c>
      <c r="I36" s="40">
        <v>2075000</v>
      </c>
      <c r="J36" s="40">
        <v>68000</v>
      </c>
      <c r="K36" s="40">
        <v>0</v>
      </c>
      <c r="L36" s="40">
        <v>170326410</v>
      </c>
      <c r="M36" s="40">
        <v>87016016</v>
      </c>
      <c r="N36" s="40">
        <v>1352</v>
      </c>
      <c r="O36" s="40">
        <v>325</v>
      </c>
      <c r="P36" s="40">
        <v>2865250</v>
      </c>
      <c r="Q36" s="40">
        <v>1554800</v>
      </c>
      <c r="R36" s="40">
        <v>665000</v>
      </c>
      <c r="S36" s="40">
        <v>1386700</v>
      </c>
      <c r="T36" s="40">
        <v>974200</v>
      </c>
      <c r="U36" s="40">
        <v>578900</v>
      </c>
      <c r="V36" s="40">
        <v>2865250</v>
      </c>
      <c r="W36" s="40">
        <v>1527800</v>
      </c>
      <c r="X36" s="40">
        <v>665000</v>
      </c>
      <c r="Y36" s="40">
        <v>1386700</v>
      </c>
      <c r="Z36" s="40">
        <v>866000</v>
      </c>
      <c r="AA36" s="40">
        <v>578900</v>
      </c>
      <c r="AB36" s="40">
        <v>-2825400</v>
      </c>
      <c r="AC36" s="40">
        <v>-46064</v>
      </c>
      <c r="AD36" s="40">
        <v>51884</v>
      </c>
      <c r="AE36" s="40">
        <v>46872</v>
      </c>
      <c r="AF36" s="40">
        <v>72402655</v>
      </c>
      <c r="AG36" s="40">
        <v>212938</v>
      </c>
      <c r="AH36" s="40">
        <v>0</v>
      </c>
      <c r="AI36" s="40">
        <v>71893.442622950824</v>
      </c>
      <c r="AJ36" s="46">
        <v>0</v>
      </c>
      <c r="AK36" s="1">
        <v>86400076</v>
      </c>
      <c r="AL36" s="1">
        <v>1329338</v>
      </c>
      <c r="AM36" s="40">
        <v>0</v>
      </c>
      <c r="AN36" s="40">
        <v>14545304</v>
      </c>
      <c r="AO36" s="40">
        <v>544804</v>
      </c>
      <c r="AP36" s="40">
        <v>27026018</v>
      </c>
      <c r="AQ36" s="40">
        <v>19890868</v>
      </c>
      <c r="AR36" s="40">
        <v>9207948</v>
      </c>
      <c r="AS36" s="40">
        <v>0</v>
      </c>
      <c r="AT36" s="40">
        <v>92865</v>
      </c>
      <c r="AU36" s="40">
        <v>0</v>
      </c>
      <c r="AV36" s="40">
        <v>104816</v>
      </c>
      <c r="AW36" s="40">
        <v>0</v>
      </c>
      <c r="AX36" s="40">
        <v>637</v>
      </c>
      <c r="AY36" s="40">
        <v>397500</v>
      </c>
      <c r="AZ36" s="1">
        <v>6509420.0999999996</v>
      </c>
      <c r="BA36" s="1">
        <v>3319804</v>
      </c>
      <c r="BB36" s="1"/>
      <c r="BC36" s="15">
        <v>539341</v>
      </c>
      <c r="BD36" s="15">
        <v>1057532</v>
      </c>
      <c r="BE36" s="20">
        <v>13339009</v>
      </c>
      <c r="BF36" s="20">
        <v>13339009</v>
      </c>
      <c r="BG36" s="20">
        <v>30116067</v>
      </c>
      <c r="BH36" s="20">
        <v>29802897</v>
      </c>
      <c r="BI36" s="44"/>
      <c r="BJ36" s="44"/>
      <c r="BK36" s="44"/>
      <c r="BL36" s="5">
        <v>639911027.4426229</v>
      </c>
      <c r="BM36" s="5">
        <v>505180562.44262296</v>
      </c>
      <c r="BN36" s="15">
        <v>828280</v>
      </c>
      <c r="BO36" s="3"/>
      <c r="BP36" s="1"/>
      <c r="BQ36" s="1"/>
      <c r="BR36" s="5"/>
      <c r="BS36" s="5"/>
      <c r="BT36" s="5"/>
    </row>
    <row r="37" spans="1:72" x14ac:dyDescent="0.25">
      <c r="A37" s="6" t="s">
        <v>91</v>
      </c>
      <c r="B37" s="40">
        <v>611640002</v>
      </c>
      <c r="C37" s="40">
        <v>114691230</v>
      </c>
      <c r="D37" s="40">
        <v>254876970</v>
      </c>
      <c r="E37" s="40">
        <v>0</v>
      </c>
      <c r="F37" s="40">
        <v>88131500</v>
      </c>
      <c r="G37" s="40">
        <v>64174050</v>
      </c>
      <c r="H37" s="40">
        <v>19842984</v>
      </c>
      <c r="I37" s="40">
        <v>8340500</v>
      </c>
      <c r="J37" s="40">
        <v>282500</v>
      </c>
      <c r="K37" s="40">
        <v>204000</v>
      </c>
      <c r="L37" s="40">
        <v>66214356</v>
      </c>
      <c r="M37" s="40">
        <v>60696359</v>
      </c>
      <c r="N37" s="40">
        <v>3606</v>
      </c>
      <c r="O37" s="40">
        <v>2689</v>
      </c>
      <c r="P37" s="40">
        <v>8029500</v>
      </c>
      <c r="Q37" s="40">
        <v>138000</v>
      </c>
      <c r="R37" s="40">
        <v>6947300</v>
      </c>
      <c r="S37" s="40">
        <v>4010500</v>
      </c>
      <c r="T37" s="40">
        <v>723400</v>
      </c>
      <c r="U37" s="40">
        <v>561000</v>
      </c>
      <c r="V37" s="40">
        <v>8029500</v>
      </c>
      <c r="W37" s="40">
        <v>161000</v>
      </c>
      <c r="X37" s="40">
        <v>6947300</v>
      </c>
      <c r="Y37" s="40">
        <v>4010500</v>
      </c>
      <c r="Z37" s="40">
        <v>738000</v>
      </c>
      <c r="AA37" s="40">
        <v>561000</v>
      </c>
      <c r="AB37" s="40">
        <v>-10081000</v>
      </c>
      <c r="AC37" s="40">
        <v>-186517</v>
      </c>
      <c r="AD37" s="40">
        <v>182202</v>
      </c>
      <c r="AE37" s="40">
        <v>0</v>
      </c>
      <c r="AF37" s="40">
        <v>0</v>
      </c>
      <c r="AG37" s="40">
        <v>245487</v>
      </c>
      <c r="AH37" s="40">
        <v>1984975.4098360657</v>
      </c>
      <c r="AI37" s="40">
        <v>130733401.63934427</v>
      </c>
      <c r="AJ37" s="46">
        <v>172661967.21311477</v>
      </c>
      <c r="AK37" s="1">
        <v>268323694</v>
      </c>
      <c r="AL37" s="1">
        <v>6408332</v>
      </c>
      <c r="AM37" s="40">
        <v>0</v>
      </c>
      <c r="AN37" s="40">
        <v>151929046</v>
      </c>
      <c r="AO37" s="40">
        <v>3517773</v>
      </c>
      <c r="AP37" s="40">
        <v>125677774</v>
      </c>
      <c r="AQ37" s="40">
        <v>68033604</v>
      </c>
      <c r="AR37" s="40">
        <v>28678250</v>
      </c>
      <c r="AS37" s="40">
        <v>271699</v>
      </c>
      <c r="AT37" s="40">
        <v>20000</v>
      </c>
      <c r="AU37" s="40">
        <v>0</v>
      </c>
      <c r="AV37" s="40">
        <v>0</v>
      </c>
      <c r="AW37" s="40">
        <v>0</v>
      </c>
      <c r="AX37" s="40">
        <v>0</v>
      </c>
      <c r="AY37" s="40">
        <v>2666000</v>
      </c>
      <c r="AZ37" s="1">
        <v>20215626.27</v>
      </c>
      <c r="BA37" s="1">
        <v>10309969</v>
      </c>
      <c r="BB37" s="1"/>
      <c r="BC37" s="15">
        <v>4607929</v>
      </c>
      <c r="BD37" s="15">
        <v>9035154</v>
      </c>
      <c r="BE37" s="20">
        <v>60305776</v>
      </c>
      <c r="BF37" s="20">
        <v>60305776</v>
      </c>
      <c r="BG37" s="20">
        <v>245056478</v>
      </c>
      <c r="BH37" s="20">
        <v>239899943</v>
      </c>
      <c r="BI37" s="44"/>
      <c r="BJ37" s="44"/>
      <c r="BK37" s="44"/>
      <c r="BL37" s="5">
        <v>2099924612.262295</v>
      </c>
      <c r="BM37" s="5">
        <v>1510068969.262295</v>
      </c>
      <c r="BN37" s="15">
        <v>14779100</v>
      </c>
      <c r="BO37" s="3"/>
      <c r="BP37" s="1"/>
      <c r="BQ37" s="1"/>
      <c r="BR37" s="5"/>
      <c r="BS37" s="5"/>
      <c r="BT37" s="5"/>
    </row>
    <row r="38" spans="1:72" x14ac:dyDescent="0.25">
      <c r="A38" s="6" t="s">
        <v>92</v>
      </c>
      <c r="B38" s="40">
        <v>1907760313</v>
      </c>
      <c r="C38" s="40">
        <v>161742747</v>
      </c>
      <c r="D38" s="40">
        <v>760960924</v>
      </c>
      <c r="E38" s="40">
        <v>0</v>
      </c>
      <c r="F38" s="40">
        <v>131669139</v>
      </c>
      <c r="G38" s="40">
        <v>10602968</v>
      </c>
      <c r="H38" s="40">
        <v>10323580</v>
      </c>
      <c r="I38" s="40">
        <v>543696</v>
      </c>
      <c r="J38" s="40">
        <v>136000</v>
      </c>
      <c r="K38" s="40">
        <v>68000</v>
      </c>
      <c r="L38" s="40">
        <v>158276196</v>
      </c>
      <c r="M38" s="40">
        <v>127346766</v>
      </c>
      <c r="N38" s="40">
        <v>4245</v>
      </c>
      <c r="O38" s="40">
        <v>356</v>
      </c>
      <c r="P38" s="40">
        <v>13152645</v>
      </c>
      <c r="Q38" s="40">
        <v>2048342</v>
      </c>
      <c r="R38" s="40">
        <v>11342000</v>
      </c>
      <c r="S38" s="40">
        <v>9950521</v>
      </c>
      <c r="T38" s="40">
        <v>1185226</v>
      </c>
      <c r="U38" s="40">
        <v>16282248</v>
      </c>
      <c r="V38" s="40">
        <v>13152645</v>
      </c>
      <c r="W38" s="40">
        <v>2425315</v>
      </c>
      <c r="X38" s="40">
        <v>11342000</v>
      </c>
      <c r="Y38" s="40">
        <v>9950521</v>
      </c>
      <c r="Z38" s="40">
        <v>2164928</v>
      </c>
      <c r="AA38" s="40">
        <v>16282248</v>
      </c>
      <c r="AB38" s="40">
        <v>-5724822</v>
      </c>
      <c r="AC38" s="40">
        <v>899687</v>
      </c>
      <c r="AD38" s="40">
        <v>0</v>
      </c>
      <c r="AE38" s="40">
        <v>0</v>
      </c>
      <c r="AF38" s="40">
        <v>0</v>
      </c>
      <c r="AG38" s="40">
        <v>103589</v>
      </c>
      <c r="AH38" s="40">
        <v>0</v>
      </c>
      <c r="AI38" s="40">
        <v>411991.80327868852</v>
      </c>
      <c r="AJ38" s="46">
        <v>0</v>
      </c>
      <c r="AK38" s="1">
        <v>310412621</v>
      </c>
      <c r="AL38" s="1">
        <v>10628150</v>
      </c>
      <c r="AM38" s="40">
        <v>128288</v>
      </c>
      <c r="AN38" s="40">
        <v>105519342</v>
      </c>
      <c r="AO38" s="40">
        <v>8981655</v>
      </c>
      <c r="AP38" s="40">
        <v>206890047</v>
      </c>
      <c r="AQ38" s="40">
        <v>66496211</v>
      </c>
      <c r="AR38" s="40">
        <v>54175464</v>
      </c>
      <c r="AS38" s="40">
        <v>2213598</v>
      </c>
      <c r="AT38" s="40">
        <v>627567</v>
      </c>
      <c r="AU38" s="40">
        <v>0</v>
      </c>
      <c r="AV38" s="40">
        <v>0</v>
      </c>
      <c r="AW38" s="40">
        <v>24188</v>
      </c>
      <c r="AX38" s="40">
        <v>29990</v>
      </c>
      <c r="AY38" s="40">
        <v>1797339</v>
      </c>
      <c r="AZ38" s="1">
        <v>23386624.719999999</v>
      </c>
      <c r="BA38" s="1">
        <v>11927179</v>
      </c>
      <c r="BB38" s="1">
        <v>3011658</v>
      </c>
      <c r="BC38" s="15">
        <v>932686</v>
      </c>
      <c r="BD38" s="15">
        <v>1828797</v>
      </c>
      <c r="BE38" s="20">
        <v>72781715</v>
      </c>
      <c r="BF38" s="20">
        <v>71943580</v>
      </c>
      <c r="BG38" s="20">
        <v>37792046</v>
      </c>
      <c r="BH38" s="20">
        <v>35937595</v>
      </c>
      <c r="BI38" s="44">
        <v>128895541</v>
      </c>
      <c r="BJ38" s="44"/>
      <c r="BK38" s="44"/>
      <c r="BL38" s="5">
        <v>3582550535.8032789</v>
      </c>
      <c r="BM38" s="5">
        <v>3011873183.8032789</v>
      </c>
      <c r="BN38" s="15">
        <v>5618780</v>
      </c>
      <c r="BO38" s="3"/>
      <c r="BP38" s="1"/>
      <c r="BQ38" s="1"/>
      <c r="BR38" s="5"/>
      <c r="BS38" s="5"/>
      <c r="BT38" s="5"/>
    </row>
    <row r="39" spans="1:72" x14ac:dyDescent="0.25">
      <c r="A39" s="6" t="s">
        <v>93</v>
      </c>
      <c r="B39" s="40">
        <v>75462454</v>
      </c>
      <c r="C39" s="40">
        <v>54821821</v>
      </c>
      <c r="D39" s="40">
        <v>63982370</v>
      </c>
      <c r="E39" s="40">
        <v>0</v>
      </c>
      <c r="F39" s="40">
        <v>17694050</v>
      </c>
      <c r="G39" s="40">
        <v>4574755</v>
      </c>
      <c r="H39" s="40">
        <v>3230350</v>
      </c>
      <c r="I39" s="40">
        <v>226820</v>
      </c>
      <c r="J39" s="40">
        <v>0</v>
      </c>
      <c r="K39" s="40">
        <v>15000</v>
      </c>
      <c r="L39" s="40">
        <v>210085735</v>
      </c>
      <c r="M39" s="40">
        <v>14412498</v>
      </c>
      <c r="N39" s="40">
        <v>688</v>
      </c>
      <c r="O39" s="40">
        <v>172</v>
      </c>
      <c r="P39" s="40">
        <v>1134861</v>
      </c>
      <c r="Q39" s="40">
        <v>664140</v>
      </c>
      <c r="R39" s="40">
        <v>415805</v>
      </c>
      <c r="S39" s="40">
        <v>410475</v>
      </c>
      <c r="T39" s="40">
        <v>134697</v>
      </c>
      <c r="U39" s="40">
        <v>1541700</v>
      </c>
      <c r="V39" s="40">
        <v>1134861</v>
      </c>
      <c r="W39" s="40">
        <v>1888199</v>
      </c>
      <c r="X39" s="40">
        <v>415805</v>
      </c>
      <c r="Y39" s="40">
        <v>410475</v>
      </c>
      <c r="Z39" s="40">
        <v>210277</v>
      </c>
      <c r="AA39" s="40">
        <v>1541700</v>
      </c>
      <c r="AB39" s="40">
        <v>-609900</v>
      </c>
      <c r="AC39" s="40">
        <v>-335558</v>
      </c>
      <c r="AD39" s="40">
        <v>22381</v>
      </c>
      <c r="AE39" s="40">
        <v>11611</v>
      </c>
      <c r="AF39" s="40">
        <v>2806999</v>
      </c>
      <c r="AG39" s="40">
        <v>118396</v>
      </c>
      <c r="AH39" s="40">
        <v>0</v>
      </c>
      <c r="AI39" s="40">
        <v>0</v>
      </c>
      <c r="AJ39" s="46">
        <v>0</v>
      </c>
      <c r="AK39" s="1">
        <v>33512459</v>
      </c>
      <c r="AL39" s="1">
        <v>593666</v>
      </c>
      <c r="AM39" s="40">
        <v>0</v>
      </c>
      <c r="AN39" s="40">
        <v>19619908</v>
      </c>
      <c r="AO39" s="40">
        <v>2517488</v>
      </c>
      <c r="AP39" s="40">
        <v>31358909</v>
      </c>
      <c r="AQ39" s="40">
        <v>18156663</v>
      </c>
      <c r="AR39" s="40">
        <v>58249287</v>
      </c>
      <c r="AS39" s="40">
        <v>11092275</v>
      </c>
      <c r="AT39" s="40">
        <v>1540514</v>
      </c>
      <c r="AU39" s="40">
        <v>0</v>
      </c>
      <c r="AV39" s="40">
        <v>7699317</v>
      </c>
      <c r="AW39" s="40">
        <v>9501421</v>
      </c>
      <c r="AX39" s="40">
        <v>0</v>
      </c>
      <c r="AY39" s="40">
        <v>179900</v>
      </c>
      <c r="AZ39" s="1">
        <v>2524843.54</v>
      </c>
      <c r="BA39" s="1">
        <v>1287670</v>
      </c>
      <c r="BB39" s="1">
        <v>35207254</v>
      </c>
      <c r="BC39" s="15">
        <v>558043</v>
      </c>
      <c r="BD39" s="15">
        <v>1094202</v>
      </c>
      <c r="BE39" s="20">
        <v>11251620</v>
      </c>
      <c r="BF39" s="20">
        <v>11251620</v>
      </c>
      <c r="BG39" s="20">
        <v>17048855</v>
      </c>
      <c r="BH39" s="20">
        <v>12334189</v>
      </c>
      <c r="BI39" s="44"/>
      <c r="BJ39" s="44">
        <v>2765040</v>
      </c>
      <c r="BK39" s="44"/>
      <c r="BL39" s="5">
        <v>296863391</v>
      </c>
      <c r="BM39" s="5">
        <v>234560704</v>
      </c>
      <c r="BN39" s="15">
        <v>1143242</v>
      </c>
      <c r="BO39" s="3"/>
      <c r="BP39" s="1"/>
      <c r="BQ39" s="1"/>
      <c r="BR39" s="5"/>
      <c r="BS39" s="5"/>
      <c r="BT39" s="5"/>
    </row>
    <row r="40" spans="1:72" x14ac:dyDescent="0.25">
      <c r="A40" s="6" t="s">
        <v>94</v>
      </c>
      <c r="B40" s="40">
        <v>239690547</v>
      </c>
      <c r="C40" s="40">
        <v>63566246</v>
      </c>
      <c r="D40" s="40">
        <v>84353542</v>
      </c>
      <c r="E40" s="40">
        <v>52961370</v>
      </c>
      <c r="F40" s="40">
        <v>13667669</v>
      </c>
      <c r="G40" s="40">
        <v>5150800</v>
      </c>
      <c r="H40" s="40">
        <v>4410800</v>
      </c>
      <c r="I40" s="40">
        <v>636600</v>
      </c>
      <c r="J40" s="40">
        <v>0</v>
      </c>
      <c r="K40" s="40">
        <v>0</v>
      </c>
      <c r="L40" s="40">
        <v>99116036</v>
      </c>
      <c r="M40" s="40">
        <v>50876055</v>
      </c>
      <c r="N40" s="40">
        <v>551</v>
      </c>
      <c r="O40" s="40">
        <v>182</v>
      </c>
      <c r="P40" s="40">
        <v>3183405</v>
      </c>
      <c r="Q40" s="40">
        <v>3088755</v>
      </c>
      <c r="R40" s="40">
        <v>12462655</v>
      </c>
      <c r="S40" s="40">
        <v>3912274</v>
      </c>
      <c r="T40" s="40">
        <v>898000</v>
      </c>
      <c r="U40" s="40">
        <v>23521009</v>
      </c>
      <c r="V40" s="40">
        <v>3183405</v>
      </c>
      <c r="W40" s="40">
        <v>630300</v>
      </c>
      <c r="X40" s="40">
        <v>12462655</v>
      </c>
      <c r="Y40" s="40">
        <v>3912274</v>
      </c>
      <c r="Z40" s="40">
        <v>294500</v>
      </c>
      <c r="AA40" s="40">
        <v>23521009</v>
      </c>
      <c r="AB40" s="40">
        <v>464700</v>
      </c>
      <c r="AC40" s="40">
        <v>-7967</v>
      </c>
      <c r="AD40" s="40">
        <v>22040</v>
      </c>
      <c r="AE40" s="40">
        <v>0</v>
      </c>
      <c r="AF40" s="40">
        <v>0</v>
      </c>
      <c r="AG40" s="40">
        <v>48638</v>
      </c>
      <c r="AH40" s="40">
        <v>0</v>
      </c>
      <c r="AI40" s="40">
        <v>1843696.7213114754</v>
      </c>
      <c r="AJ40" s="46">
        <v>0</v>
      </c>
      <c r="AK40" s="1">
        <v>47101042</v>
      </c>
      <c r="AL40" s="1">
        <v>2762509</v>
      </c>
      <c r="AM40" s="40">
        <v>345247</v>
      </c>
      <c r="AN40" s="40">
        <v>18947611</v>
      </c>
      <c r="AO40" s="40">
        <v>1828848</v>
      </c>
      <c r="AP40" s="40">
        <v>228851855</v>
      </c>
      <c r="AQ40" s="40">
        <v>54158864</v>
      </c>
      <c r="AR40" s="40">
        <v>92265629</v>
      </c>
      <c r="AS40" s="40">
        <v>21535769</v>
      </c>
      <c r="AT40" s="40">
        <v>110473</v>
      </c>
      <c r="AU40" s="40">
        <v>0</v>
      </c>
      <c r="AV40" s="40">
        <v>0</v>
      </c>
      <c r="AW40" s="40">
        <v>17492619</v>
      </c>
      <c r="AX40" s="40">
        <v>295272</v>
      </c>
      <c r="AY40" s="40">
        <v>25000</v>
      </c>
      <c r="AZ40" s="1">
        <v>3548613.42</v>
      </c>
      <c r="BA40" s="1">
        <v>1809793</v>
      </c>
      <c r="BB40" s="1">
        <v>14300518</v>
      </c>
      <c r="BC40" s="15">
        <v>693783</v>
      </c>
      <c r="BD40" s="15">
        <v>1360360</v>
      </c>
      <c r="BE40" s="20">
        <v>3775457</v>
      </c>
      <c r="BF40" s="20">
        <v>3775457</v>
      </c>
      <c r="BG40" s="20">
        <v>24492199</v>
      </c>
      <c r="BH40" s="20">
        <v>23151800</v>
      </c>
      <c r="BI40" s="44"/>
      <c r="BJ40" s="44"/>
      <c r="BK40" s="44"/>
      <c r="BL40" s="5">
        <v>543683738.72131145</v>
      </c>
      <c r="BM40" s="5">
        <v>464389354.72131145</v>
      </c>
      <c r="BN40" s="15">
        <v>424972</v>
      </c>
      <c r="BO40" s="3"/>
      <c r="BP40" s="1"/>
      <c r="BQ40" s="1"/>
      <c r="BR40" s="5"/>
      <c r="BS40" s="5"/>
      <c r="BT40" s="5"/>
    </row>
    <row r="41" spans="1:72" x14ac:dyDescent="0.25">
      <c r="A41" s="6" t="s">
        <v>95</v>
      </c>
      <c r="B41" s="40">
        <v>490499562</v>
      </c>
      <c r="C41" s="40">
        <v>126897488</v>
      </c>
      <c r="D41" s="40">
        <v>54979062</v>
      </c>
      <c r="E41" s="40">
        <v>0</v>
      </c>
      <c r="F41" s="40">
        <v>38682000</v>
      </c>
      <c r="G41" s="40">
        <v>9771500</v>
      </c>
      <c r="H41" s="40">
        <v>12123200</v>
      </c>
      <c r="I41" s="40">
        <v>2187000</v>
      </c>
      <c r="J41" s="40">
        <v>34000</v>
      </c>
      <c r="K41" s="40">
        <v>34000</v>
      </c>
      <c r="L41" s="40">
        <v>206200632</v>
      </c>
      <c r="M41" s="40">
        <v>90224200</v>
      </c>
      <c r="N41" s="40">
        <v>1518</v>
      </c>
      <c r="O41" s="40">
        <v>375</v>
      </c>
      <c r="P41" s="40">
        <v>696100</v>
      </c>
      <c r="Q41" s="40">
        <v>170000</v>
      </c>
      <c r="R41" s="40">
        <v>120000</v>
      </c>
      <c r="S41" s="40">
        <v>5438376</v>
      </c>
      <c r="T41" s="40">
        <v>560150</v>
      </c>
      <c r="U41" s="40">
        <v>1137240</v>
      </c>
      <c r="V41" s="40">
        <v>696100</v>
      </c>
      <c r="W41" s="40">
        <v>170000</v>
      </c>
      <c r="X41" s="40">
        <v>120000</v>
      </c>
      <c r="Y41" s="40">
        <v>5438376</v>
      </c>
      <c r="Z41" s="40">
        <v>1443050</v>
      </c>
      <c r="AA41" s="40">
        <v>1137240</v>
      </c>
      <c r="AB41" s="40">
        <v>-2790750</v>
      </c>
      <c r="AC41" s="40">
        <v>-111667</v>
      </c>
      <c r="AD41" s="40">
        <v>0</v>
      </c>
      <c r="AE41" s="40">
        <v>0</v>
      </c>
      <c r="AF41" s="40">
        <v>0</v>
      </c>
      <c r="AG41" s="40">
        <v>133922</v>
      </c>
      <c r="AH41" s="40">
        <v>0</v>
      </c>
      <c r="AI41" s="40">
        <v>84377.049180327871</v>
      </c>
      <c r="AJ41" s="46">
        <v>0</v>
      </c>
      <c r="AK41" s="1">
        <v>98859411</v>
      </c>
      <c r="AL41" s="1">
        <v>5850067</v>
      </c>
      <c r="AM41" s="40">
        <v>315486</v>
      </c>
      <c r="AN41" s="40">
        <v>6521149</v>
      </c>
      <c r="AO41" s="40">
        <v>208423</v>
      </c>
      <c r="AP41" s="40">
        <v>8232236</v>
      </c>
      <c r="AQ41" s="40">
        <v>6578063</v>
      </c>
      <c r="AR41" s="40">
        <v>2819767</v>
      </c>
      <c r="AS41" s="40">
        <v>0</v>
      </c>
      <c r="AT41" s="40">
        <v>376800</v>
      </c>
      <c r="AU41" s="40">
        <v>0</v>
      </c>
      <c r="AV41" s="40">
        <v>0</v>
      </c>
      <c r="AW41" s="40">
        <v>1250</v>
      </c>
      <c r="AX41" s="40">
        <v>232377</v>
      </c>
      <c r="AY41" s="40">
        <v>0</v>
      </c>
      <c r="AZ41" s="1">
        <v>7448111.9299999997</v>
      </c>
      <c r="BA41" s="1">
        <v>3798537</v>
      </c>
      <c r="BB41" s="1"/>
      <c r="BC41" s="15">
        <v>0</v>
      </c>
      <c r="BD41" s="15">
        <v>0</v>
      </c>
      <c r="BE41" s="20">
        <v>17781715</v>
      </c>
      <c r="BF41" s="20">
        <v>17781715</v>
      </c>
      <c r="BG41" s="20">
        <v>34503654</v>
      </c>
      <c r="BH41" s="20">
        <v>34502133</v>
      </c>
      <c r="BI41" s="44"/>
      <c r="BJ41" s="44"/>
      <c r="BK41" s="44"/>
      <c r="BL41" s="5">
        <v>846559987.04918027</v>
      </c>
      <c r="BM41" s="5">
        <v>685768124.04918027</v>
      </c>
      <c r="BN41" s="15">
        <v>821600</v>
      </c>
      <c r="BO41" s="3"/>
      <c r="BP41" s="1"/>
      <c r="BQ41" s="1"/>
      <c r="BR41" s="5"/>
      <c r="BS41" s="5"/>
      <c r="BT41" s="5"/>
    </row>
    <row r="42" spans="1:72" x14ac:dyDescent="0.25">
      <c r="A42" s="6" t="s">
        <v>96</v>
      </c>
      <c r="B42" s="40">
        <v>600175261</v>
      </c>
      <c r="C42" s="40">
        <v>202245949</v>
      </c>
      <c r="D42" s="40">
        <v>191890457</v>
      </c>
      <c r="E42" s="40">
        <v>600000</v>
      </c>
      <c r="F42" s="40">
        <v>36462240</v>
      </c>
      <c r="G42" s="40">
        <v>6685750</v>
      </c>
      <c r="H42" s="40">
        <v>17942700</v>
      </c>
      <c r="I42" s="40">
        <v>1712600</v>
      </c>
      <c r="J42" s="40">
        <v>306000</v>
      </c>
      <c r="K42" s="40">
        <v>0</v>
      </c>
      <c r="L42" s="40">
        <v>305008720</v>
      </c>
      <c r="M42" s="40">
        <v>165353600</v>
      </c>
      <c r="N42" s="40">
        <v>1662</v>
      </c>
      <c r="O42" s="40">
        <v>268</v>
      </c>
      <c r="P42" s="40">
        <v>2182800</v>
      </c>
      <c r="Q42" s="40">
        <v>3411100</v>
      </c>
      <c r="R42" s="40">
        <v>748500</v>
      </c>
      <c r="S42" s="40">
        <v>6933550</v>
      </c>
      <c r="T42" s="40">
        <v>1680700</v>
      </c>
      <c r="U42" s="40">
        <v>3945147</v>
      </c>
      <c r="V42" s="40">
        <v>2182800</v>
      </c>
      <c r="W42" s="40">
        <v>2533000</v>
      </c>
      <c r="X42" s="40">
        <v>748500</v>
      </c>
      <c r="Y42" s="40">
        <v>6933550</v>
      </c>
      <c r="Z42" s="40">
        <v>3618128</v>
      </c>
      <c r="AA42" s="40">
        <v>3945147</v>
      </c>
      <c r="AB42" s="40">
        <v>-1362700</v>
      </c>
      <c r="AC42" s="40">
        <v>-9002</v>
      </c>
      <c r="AD42" s="40">
        <v>69392</v>
      </c>
      <c r="AE42" s="40">
        <v>64</v>
      </c>
      <c r="AF42" s="40">
        <v>0</v>
      </c>
      <c r="AG42" s="40">
        <v>146347</v>
      </c>
      <c r="AH42" s="40">
        <v>0</v>
      </c>
      <c r="AI42" s="40">
        <v>0</v>
      </c>
      <c r="AJ42" s="46">
        <v>0</v>
      </c>
      <c r="AK42" s="1">
        <v>127966181</v>
      </c>
      <c r="AL42" s="1">
        <v>3917157</v>
      </c>
      <c r="AM42" s="40">
        <v>0</v>
      </c>
      <c r="AN42" s="40">
        <v>20762452</v>
      </c>
      <c r="AO42" s="40">
        <v>638259</v>
      </c>
      <c r="AP42" s="40">
        <v>25898306</v>
      </c>
      <c r="AQ42" s="40">
        <v>39224345</v>
      </c>
      <c r="AR42" s="40">
        <v>25341231</v>
      </c>
      <c r="AS42" s="40">
        <v>1305994</v>
      </c>
      <c r="AT42" s="40">
        <v>0</v>
      </c>
      <c r="AU42" s="40">
        <v>0</v>
      </c>
      <c r="AV42" s="40">
        <v>0</v>
      </c>
      <c r="AW42" s="40">
        <v>0</v>
      </c>
      <c r="AX42" s="40">
        <v>246703</v>
      </c>
      <c r="AY42" s="40">
        <v>0</v>
      </c>
      <c r="AZ42" s="1">
        <v>9641028.9100000001</v>
      </c>
      <c r="BA42" s="1">
        <v>4916925</v>
      </c>
      <c r="BB42" s="1"/>
      <c r="BC42" s="15">
        <v>2501843</v>
      </c>
      <c r="BD42" s="15">
        <v>4905575</v>
      </c>
      <c r="BE42" s="20">
        <v>33363888</v>
      </c>
      <c r="BF42" s="20">
        <v>33363888</v>
      </c>
      <c r="BG42" s="20">
        <v>64098931</v>
      </c>
      <c r="BH42" s="20">
        <v>58804583</v>
      </c>
      <c r="BI42" s="44"/>
      <c r="BJ42" s="44"/>
      <c r="BK42" s="44"/>
      <c r="BL42" s="5">
        <v>1286407300</v>
      </c>
      <c r="BM42" s="5">
        <v>1054936723</v>
      </c>
      <c r="BN42" s="15">
        <v>1795600</v>
      </c>
      <c r="BO42" s="3"/>
      <c r="BP42" s="1"/>
      <c r="BQ42" s="1"/>
      <c r="BR42" s="5"/>
      <c r="BS42" s="5"/>
      <c r="BT42" s="5"/>
    </row>
    <row r="43" spans="1:72" x14ac:dyDescent="0.25">
      <c r="A43" s="6" t="s">
        <v>97</v>
      </c>
      <c r="B43" s="40">
        <v>720537678</v>
      </c>
      <c r="C43" s="40">
        <v>350518060</v>
      </c>
      <c r="D43" s="40">
        <v>249271481</v>
      </c>
      <c r="E43" s="40">
        <v>0</v>
      </c>
      <c r="F43" s="40">
        <v>87844821</v>
      </c>
      <c r="G43" s="40">
        <v>19707050</v>
      </c>
      <c r="H43" s="40">
        <v>22999600</v>
      </c>
      <c r="I43" s="40">
        <v>3294650</v>
      </c>
      <c r="J43" s="40">
        <v>136000</v>
      </c>
      <c r="K43" s="40">
        <v>79000</v>
      </c>
      <c r="L43" s="40">
        <v>835748745</v>
      </c>
      <c r="M43" s="40">
        <v>191095808</v>
      </c>
      <c r="N43" s="40">
        <v>3412</v>
      </c>
      <c r="O43" s="40">
        <v>751</v>
      </c>
      <c r="P43" s="40">
        <v>5163051</v>
      </c>
      <c r="Q43" s="40">
        <v>3111350</v>
      </c>
      <c r="R43" s="40">
        <v>1541500</v>
      </c>
      <c r="S43" s="40">
        <v>4142166</v>
      </c>
      <c r="T43" s="40">
        <v>517600</v>
      </c>
      <c r="U43" s="40">
        <v>621048</v>
      </c>
      <c r="V43" s="40">
        <v>5163051</v>
      </c>
      <c r="W43" s="40">
        <v>3732000</v>
      </c>
      <c r="X43" s="40">
        <v>1541500</v>
      </c>
      <c r="Y43" s="40">
        <v>4142166</v>
      </c>
      <c r="Z43" s="40">
        <v>484600</v>
      </c>
      <c r="AA43" s="40">
        <v>621048</v>
      </c>
      <c r="AB43" s="40">
        <v>-17223131</v>
      </c>
      <c r="AC43" s="40">
        <v>-55500</v>
      </c>
      <c r="AD43" s="40">
        <v>55817</v>
      </c>
      <c r="AE43" s="40">
        <v>0</v>
      </c>
      <c r="AF43" s="40">
        <v>1908040</v>
      </c>
      <c r="AG43" s="40">
        <v>313571</v>
      </c>
      <c r="AH43" s="40">
        <v>0</v>
      </c>
      <c r="AI43" s="40">
        <v>452909.83606557379</v>
      </c>
      <c r="AJ43" s="46">
        <v>0</v>
      </c>
      <c r="AK43" s="1">
        <v>199672185</v>
      </c>
      <c r="AL43" s="1">
        <v>6654097</v>
      </c>
      <c r="AM43" s="40">
        <v>0</v>
      </c>
      <c r="AN43" s="40">
        <v>51358667</v>
      </c>
      <c r="AO43" s="40">
        <v>5644971</v>
      </c>
      <c r="AP43" s="40">
        <v>26255011</v>
      </c>
      <c r="AQ43" s="40">
        <v>68482036</v>
      </c>
      <c r="AR43" s="40">
        <v>73419027</v>
      </c>
      <c r="AS43" s="40">
        <v>850335</v>
      </c>
      <c r="AT43" s="40">
        <v>1955169</v>
      </c>
      <c r="AU43" s="40">
        <v>0</v>
      </c>
      <c r="AV43" s="40">
        <v>0</v>
      </c>
      <c r="AW43" s="40">
        <v>17174452</v>
      </c>
      <c r="AX43" s="40">
        <v>111877</v>
      </c>
      <c r="AY43" s="40">
        <v>0</v>
      </c>
      <c r="AZ43" s="1">
        <v>15043391.09</v>
      </c>
      <c r="BA43" s="1">
        <v>7672129</v>
      </c>
      <c r="BB43" s="1"/>
      <c r="BC43" s="15">
        <v>2234586</v>
      </c>
      <c r="BD43" s="15">
        <v>4381541</v>
      </c>
      <c r="BE43" s="20">
        <v>48394566</v>
      </c>
      <c r="BF43" s="20">
        <v>46693015</v>
      </c>
      <c r="BG43" s="20">
        <v>102407007</v>
      </c>
      <c r="BH43" s="20">
        <v>82896306</v>
      </c>
      <c r="BI43" s="44"/>
      <c r="BJ43" s="44">
        <v>5477576</v>
      </c>
      <c r="BK43" s="44"/>
      <c r="BL43" s="5">
        <v>1797565696.8360655</v>
      </c>
      <c r="BM43" s="5">
        <v>1446265802.8360655</v>
      </c>
      <c r="BN43" s="15">
        <v>4408644</v>
      </c>
      <c r="BO43" s="3"/>
      <c r="BP43" s="1"/>
      <c r="BQ43" s="1"/>
      <c r="BR43" s="5"/>
      <c r="BS43" s="5"/>
      <c r="BT43" s="5"/>
    </row>
    <row r="44" spans="1:72" x14ac:dyDescent="0.25">
      <c r="A44" s="6" t="s">
        <v>98</v>
      </c>
      <c r="B44" s="40">
        <v>636502482</v>
      </c>
      <c r="C44" s="40">
        <v>189971451</v>
      </c>
      <c r="D44" s="40">
        <v>164482733</v>
      </c>
      <c r="E44" s="40">
        <v>17650000</v>
      </c>
      <c r="F44" s="40">
        <v>50968300</v>
      </c>
      <c r="G44" s="40">
        <v>14351673</v>
      </c>
      <c r="H44" s="40">
        <v>20407400</v>
      </c>
      <c r="I44" s="40">
        <v>3090700</v>
      </c>
      <c r="J44" s="40">
        <v>287000</v>
      </c>
      <c r="K44" s="40">
        <v>0</v>
      </c>
      <c r="L44" s="40">
        <v>264950017</v>
      </c>
      <c r="M44" s="40">
        <v>116709331</v>
      </c>
      <c r="N44" s="40">
        <v>2245</v>
      </c>
      <c r="O44" s="40">
        <v>590</v>
      </c>
      <c r="P44" s="40">
        <v>11873388</v>
      </c>
      <c r="Q44" s="40">
        <v>2466900</v>
      </c>
      <c r="R44" s="40">
        <v>2699800</v>
      </c>
      <c r="S44" s="40">
        <v>5072880</v>
      </c>
      <c r="T44" s="40">
        <v>1939100</v>
      </c>
      <c r="U44" s="40">
        <v>4449287</v>
      </c>
      <c r="V44" s="40">
        <v>11873388</v>
      </c>
      <c r="W44" s="40">
        <v>2729000</v>
      </c>
      <c r="X44" s="40">
        <v>2699800</v>
      </c>
      <c r="Y44" s="40">
        <v>5072880</v>
      </c>
      <c r="Z44" s="40">
        <v>2543025</v>
      </c>
      <c r="AA44" s="40">
        <v>4449287</v>
      </c>
      <c r="AB44" s="40">
        <v>-4272526</v>
      </c>
      <c r="AC44" s="40">
        <v>-25672</v>
      </c>
      <c r="AD44" s="40">
        <v>126776</v>
      </c>
      <c r="AE44" s="40">
        <v>71558</v>
      </c>
      <c r="AF44" s="40">
        <v>80312953</v>
      </c>
      <c r="AG44" s="40">
        <v>269402</v>
      </c>
      <c r="AH44" s="40">
        <v>0</v>
      </c>
      <c r="AI44" s="40">
        <v>1084082.7868852459</v>
      </c>
      <c r="AJ44" s="46">
        <v>0</v>
      </c>
      <c r="AK44" s="1">
        <v>135982578</v>
      </c>
      <c r="AL44" s="1">
        <v>14694709</v>
      </c>
      <c r="AM44" s="40">
        <v>268662</v>
      </c>
      <c r="AN44" s="40">
        <v>31355852</v>
      </c>
      <c r="AO44" s="40">
        <v>4440405</v>
      </c>
      <c r="AP44" s="40">
        <v>84274684</v>
      </c>
      <c r="AQ44" s="40">
        <v>69174916</v>
      </c>
      <c r="AR44" s="40">
        <v>40813190</v>
      </c>
      <c r="AS44" s="40">
        <v>3101242</v>
      </c>
      <c r="AT44" s="40">
        <v>175036</v>
      </c>
      <c r="AU44" s="40">
        <v>0</v>
      </c>
      <c r="AV44" s="40">
        <v>28023</v>
      </c>
      <c r="AW44" s="40">
        <v>83147</v>
      </c>
      <c r="AX44" s="40">
        <v>412254</v>
      </c>
      <c r="AY44" s="40">
        <v>494140</v>
      </c>
      <c r="AZ44" s="1">
        <v>10244987.82</v>
      </c>
      <c r="BA44" s="1">
        <v>5224944</v>
      </c>
      <c r="BB44" s="1"/>
      <c r="BC44" s="15">
        <v>2037914</v>
      </c>
      <c r="BD44" s="15">
        <v>3995909</v>
      </c>
      <c r="BE44" s="20">
        <v>9664072</v>
      </c>
      <c r="BF44" s="20">
        <v>6643182</v>
      </c>
      <c r="BG44" s="20">
        <v>47911869</v>
      </c>
      <c r="BH44" s="20">
        <v>44402161</v>
      </c>
      <c r="BI44" s="44"/>
      <c r="BJ44" s="44"/>
      <c r="BK44" s="44"/>
      <c r="BL44" s="5">
        <v>1305997409.7868853</v>
      </c>
      <c r="BM44" s="5">
        <v>1097011921.7868853</v>
      </c>
      <c r="BN44" s="15">
        <v>1374270</v>
      </c>
      <c r="BO44" s="3"/>
      <c r="BP44" s="1"/>
      <c r="BQ44" s="1"/>
      <c r="BR44" s="5"/>
      <c r="BS44" s="5"/>
      <c r="BT44" s="5"/>
    </row>
    <row r="45" spans="1:72" x14ac:dyDescent="0.25">
      <c r="A45" s="6" t="s">
        <v>99</v>
      </c>
      <c r="B45" s="40">
        <v>164555072</v>
      </c>
      <c r="C45" s="40">
        <v>115347423</v>
      </c>
      <c r="D45" s="40">
        <v>34823414</v>
      </c>
      <c r="E45" s="40">
        <v>0</v>
      </c>
      <c r="F45" s="40">
        <v>26601708</v>
      </c>
      <c r="G45" s="40">
        <v>6675800</v>
      </c>
      <c r="H45" s="40">
        <v>13122050</v>
      </c>
      <c r="I45" s="40">
        <v>1916000</v>
      </c>
      <c r="J45" s="40">
        <v>64000</v>
      </c>
      <c r="K45" s="40">
        <v>0</v>
      </c>
      <c r="L45" s="40">
        <v>217203261</v>
      </c>
      <c r="M45" s="40">
        <v>63832549</v>
      </c>
      <c r="N45" s="40">
        <v>1237</v>
      </c>
      <c r="O45" s="40">
        <v>284</v>
      </c>
      <c r="P45" s="40">
        <v>1243580</v>
      </c>
      <c r="Q45" s="40">
        <v>1435960</v>
      </c>
      <c r="R45" s="40">
        <v>1305000</v>
      </c>
      <c r="S45" s="40">
        <v>331550</v>
      </c>
      <c r="T45" s="40">
        <v>111100</v>
      </c>
      <c r="U45" s="40">
        <v>23000</v>
      </c>
      <c r="V45" s="40">
        <v>1243580</v>
      </c>
      <c r="W45" s="40">
        <v>1361702</v>
      </c>
      <c r="X45" s="40">
        <v>1305000</v>
      </c>
      <c r="Y45" s="40">
        <v>331550</v>
      </c>
      <c r="Z45" s="40">
        <v>0</v>
      </c>
      <c r="AA45" s="40">
        <v>23000</v>
      </c>
      <c r="AB45" s="40">
        <v>-1847200</v>
      </c>
      <c r="AC45" s="40">
        <v>-46493</v>
      </c>
      <c r="AD45" s="40">
        <v>39751</v>
      </c>
      <c r="AE45" s="40">
        <v>0</v>
      </c>
      <c r="AF45" s="40">
        <v>0</v>
      </c>
      <c r="AG45" s="40">
        <v>302227</v>
      </c>
      <c r="AH45" s="40">
        <v>4796311.4754098365</v>
      </c>
      <c r="AI45" s="40">
        <v>198491.80327868852</v>
      </c>
      <c r="AJ45" s="46">
        <v>0</v>
      </c>
      <c r="AK45" s="1">
        <v>55055598</v>
      </c>
      <c r="AL45" s="1">
        <v>1255575</v>
      </c>
      <c r="AM45" s="40">
        <v>0</v>
      </c>
      <c r="AN45" s="40">
        <v>6498403</v>
      </c>
      <c r="AO45" s="40">
        <v>97051</v>
      </c>
      <c r="AP45" s="40">
        <v>2012556</v>
      </c>
      <c r="AQ45" s="40">
        <v>5589199</v>
      </c>
      <c r="AR45" s="40">
        <v>1065730</v>
      </c>
      <c r="AS45" s="40">
        <v>0</v>
      </c>
      <c r="AT45" s="40">
        <v>118650</v>
      </c>
      <c r="AU45" s="40">
        <v>0</v>
      </c>
      <c r="AV45" s="40">
        <v>0</v>
      </c>
      <c r="AW45" s="40">
        <v>0</v>
      </c>
      <c r="AX45" s="40">
        <v>3180</v>
      </c>
      <c r="AY45" s="40">
        <v>0</v>
      </c>
      <c r="AZ45" s="1">
        <v>4147913.2</v>
      </c>
      <c r="BA45" s="1">
        <v>2115436</v>
      </c>
      <c r="BB45" s="1"/>
      <c r="BC45" s="15">
        <v>0</v>
      </c>
      <c r="BD45" s="15">
        <v>0</v>
      </c>
      <c r="BE45" s="20">
        <v>13650407</v>
      </c>
      <c r="BF45" s="20">
        <v>13650407</v>
      </c>
      <c r="BG45" s="20">
        <v>30897325</v>
      </c>
      <c r="BH45" s="20">
        <v>30824565</v>
      </c>
      <c r="BI45" s="44"/>
      <c r="BJ45" s="44"/>
      <c r="BK45" s="44"/>
      <c r="BL45" s="5">
        <v>434806946.27868855</v>
      </c>
      <c r="BM45" s="5">
        <v>331905365.27868855</v>
      </c>
      <c r="BN45" s="15">
        <v>280762</v>
      </c>
      <c r="BO45" s="3"/>
      <c r="BP45" s="1"/>
      <c r="BQ45" s="1"/>
      <c r="BR45" s="5"/>
      <c r="BS45" s="5"/>
      <c r="BT45" s="5"/>
    </row>
    <row r="46" spans="1:72" x14ac:dyDescent="0.25">
      <c r="A46" s="6" t="s">
        <v>100</v>
      </c>
      <c r="B46" s="40">
        <v>882880021</v>
      </c>
      <c r="C46" s="40">
        <v>115454922</v>
      </c>
      <c r="D46" s="40">
        <v>271068862</v>
      </c>
      <c r="E46" s="40">
        <v>0</v>
      </c>
      <c r="F46" s="40">
        <v>111564273</v>
      </c>
      <c r="G46" s="40">
        <v>28896808</v>
      </c>
      <c r="H46" s="40">
        <v>15788248</v>
      </c>
      <c r="I46" s="40">
        <v>5109385</v>
      </c>
      <c r="J46" s="40">
        <v>102000</v>
      </c>
      <c r="K46" s="40">
        <v>0</v>
      </c>
      <c r="L46" s="40">
        <v>105313095</v>
      </c>
      <c r="M46" s="40">
        <v>100307767</v>
      </c>
      <c r="N46" s="40">
        <v>4037</v>
      </c>
      <c r="O46" s="40">
        <v>1175</v>
      </c>
      <c r="P46" s="40">
        <v>3415978</v>
      </c>
      <c r="Q46" s="40">
        <v>1122818</v>
      </c>
      <c r="R46" s="40">
        <v>1760900</v>
      </c>
      <c r="S46" s="40">
        <v>2512501</v>
      </c>
      <c r="T46" s="40">
        <v>102400</v>
      </c>
      <c r="U46" s="40">
        <v>1316178</v>
      </c>
      <c r="V46" s="40">
        <v>3415978</v>
      </c>
      <c r="W46" s="40">
        <v>1187268</v>
      </c>
      <c r="X46" s="40">
        <v>1760900</v>
      </c>
      <c r="Y46" s="40">
        <v>2512501</v>
      </c>
      <c r="Z46" s="40">
        <v>108400</v>
      </c>
      <c r="AA46" s="40">
        <v>1316178</v>
      </c>
      <c r="AB46" s="40">
        <v>-24069845</v>
      </c>
      <c r="AC46" s="40">
        <v>-2318245</v>
      </c>
      <c r="AD46" s="40">
        <v>147777</v>
      </c>
      <c r="AE46" s="40">
        <v>0</v>
      </c>
      <c r="AF46" s="40">
        <v>0</v>
      </c>
      <c r="AG46" s="40">
        <v>187096</v>
      </c>
      <c r="AH46" s="40">
        <v>669786.88524590165</v>
      </c>
      <c r="AI46" s="40">
        <v>271770.49180327868</v>
      </c>
      <c r="AJ46" s="46">
        <v>0</v>
      </c>
      <c r="AK46" s="1">
        <v>225723632</v>
      </c>
      <c r="AL46" s="1">
        <v>6220901</v>
      </c>
      <c r="AM46" s="40">
        <v>27500</v>
      </c>
      <c r="AN46" s="40">
        <v>43490037</v>
      </c>
      <c r="AO46" s="40">
        <v>2644812</v>
      </c>
      <c r="AP46" s="40">
        <v>120287099</v>
      </c>
      <c r="AQ46" s="40">
        <v>51183608</v>
      </c>
      <c r="AR46" s="40">
        <v>120426787</v>
      </c>
      <c r="AS46" s="40">
        <v>103642864</v>
      </c>
      <c r="AT46" s="40">
        <v>254067</v>
      </c>
      <c r="AU46" s="40">
        <v>0</v>
      </c>
      <c r="AV46" s="40">
        <v>0</v>
      </c>
      <c r="AW46" s="40">
        <v>8756</v>
      </c>
      <c r="AX46" s="40">
        <v>20234</v>
      </c>
      <c r="AY46" s="40">
        <v>1118389</v>
      </c>
      <c r="AZ46" s="1">
        <v>17006118.68</v>
      </c>
      <c r="BA46" s="1">
        <v>8673121</v>
      </c>
      <c r="BB46" s="1">
        <v>25181347</v>
      </c>
      <c r="BC46" s="15">
        <v>28354628</v>
      </c>
      <c r="BD46" s="15">
        <v>55597311</v>
      </c>
      <c r="BE46" s="20">
        <v>48939113</v>
      </c>
      <c r="BF46" s="20">
        <v>48939113</v>
      </c>
      <c r="BG46" s="20">
        <v>106409053</v>
      </c>
      <c r="BH46" s="20">
        <v>87727227</v>
      </c>
      <c r="BI46" s="44"/>
      <c r="BJ46" s="44"/>
      <c r="BK46" s="44"/>
      <c r="BL46" s="5">
        <v>1773302441.377049</v>
      </c>
      <c r="BM46" s="5">
        <v>1367663819.377049</v>
      </c>
      <c r="BN46" s="15">
        <v>1946930</v>
      </c>
      <c r="BO46" s="3"/>
      <c r="BP46" s="1"/>
      <c r="BQ46" s="1"/>
      <c r="BR46" s="5"/>
      <c r="BS46" s="5"/>
      <c r="BT46" s="5"/>
    </row>
    <row r="47" spans="1:72" x14ac:dyDescent="0.25">
      <c r="A47" s="6" t="s">
        <v>101</v>
      </c>
      <c r="B47" s="40">
        <v>150389670</v>
      </c>
      <c r="C47" s="40">
        <v>79933150</v>
      </c>
      <c r="D47" s="40">
        <v>111504108</v>
      </c>
      <c r="E47" s="40">
        <v>324999999</v>
      </c>
      <c r="F47" s="40">
        <v>17728700</v>
      </c>
      <c r="G47" s="40">
        <v>3348000</v>
      </c>
      <c r="H47" s="40">
        <v>8963200</v>
      </c>
      <c r="I47" s="40">
        <v>969700</v>
      </c>
      <c r="J47" s="40">
        <v>0</v>
      </c>
      <c r="K47" s="40">
        <v>0</v>
      </c>
      <c r="L47" s="40">
        <v>150018350</v>
      </c>
      <c r="M47" s="40">
        <v>59769200</v>
      </c>
      <c r="N47" s="40">
        <v>828</v>
      </c>
      <c r="O47" s="40">
        <v>147</v>
      </c>
      <c r="P47" s="40">
        <v>4133070</v>
      </c>
      <c r="Q47" s="40">
        <v>981900</v>
      </c>
      <c r="R47" s="40">
        <v>134726</v>
      </c>
      <c r="S47" s="40">
        <v>1114760</v>
      </c>
      <c r="T47" s="40">
        <v>1500200</v>
      </c>
      <c r="U47" s="40">
        <v>2726800</v>
      </c>
      <c r="V47" s="40">
        <v>4133070</v>
      </c>
      <c r="W47" s="40">
        <v>1054500</v>
      </c>
      <c r="X47" s="40">
        <v>134726</v>
      </c>
      <c r="Y47" s="40">
        <v>1114760</v>
      </c>
      <c r="Z47" s="40">
        <v>1728800</v>
      </c>
      <c r="AA47" s="40">
        <v>2726800</v>
      </c>
      <c r="AB47" s="40">
        <v>-1242500</v>
      </c>
      <c r="AC47" s="40">
        <v>0</v>
      </c>
      <c r="AD47" s="40">
        <v>88595</v>
      </c>
      <c r="AE47" s="40">
        <v>0</v>
      </c>
      <c r="AF47" s="40">
        <v>0</v>
      </c>
      <c r="AG47" s="40">
        <v>107526</v>
      </c>
      <c r="AH47" s="40">
        <v>700688.52459016396</v>
      </c>
      <c r="AI47" s="40">
        <v>305909.83606557373</v>
      </c>
      <c r="AJ47" s="46">
        <v>230000.00000000003</v>
      </c>
      <c r="AK47" s="1">
        <v>54088435</v>
      </c>
      <c r="AL47" s="1">
        <v>1767248</v>
      </c>
      <c r="AM47" s="3"/>
      <c r="AN47" s="40">
        <v>25901969</v>
      </c>
      <c r="AO47" s="40">
        <v>34234355</v>
      </c>
      <c r="AP47" s="40">
        <v>469965122</v>
      </c>
      <c r="AQ47" s="40">
        <v>24547856</v>
      </c>
      <c r="AR47" s="40">
        <v>146696051</v>
      </c>
      <c r="AS47" s="40">
        <v>47925250</v>
      </c>
      <c r="AT47" s="40">
        <v>1124292</v>
      </c>
      <c r="AU47" s="3"/>
      <c r="AV47" s="3"/>
      <c r="AW47" s="40">
        <v>460051</v>
      </c>
      <c r="AX47" s="3"/>
      <c r="AY47" s="40">
        <v>238000</v>
      </c>
      <c r="AZ47" s="1">
        <v>4075046.71</v>
      </c>
      <c r="BA47" s="1">
        <v>2078274</v>
      </c>
      <c r="BB47" s="1">
        <v>23238342</v>
      </c>
      <c r="BC47" s="15">
        <v>1538389</v>
      </c>
      <c r="BD47" s="15">
        <v>3016450</v>
      </c>
      <c r="BE47" s="20">
        <v>11993778</v>
      </c>
      <c r="BF47" s="20">
        <v>11993778</v>
      </c>
      <c r="BG47" s="20">
        <v>30536383</v>
      </c>
      <c r="BH47" s="20">
        <v>28424763</v>
      </c>
      <c r="BI47" s="44"/>
      <c r="BJ47" s="44"/>
      <c r="BK47" s="44"/>
      <c r="BL47" s="5">
        <v>527638593.36065573</v>
      </c>
      <c r="BM47" s="5">
        <v>427747706.36065573</v>
      </c>
      <c r="BN47" s="15">
        <v>434900</v>
      </c>
      <c r="BO47" s="3"/>
      <c r="BP47" s="1"/>
      <c r="BQ47" s="1"/>
      <c r="BR47" s="5"/>
      <c r="BS47" s="5"/>
      <c r="BT47" s="5"/>
    </row>
    <row r="48" spans="1:72" x14ac:dyDescent="0.25">
      <c r="A48" s="6" t="s">
        <v>102</v>
      </c>
      <c r="B48" s="40">
        <v>3709853014</v>
      </c>
      <c r="C48" s="40">
        <v>360964610</v>
      </c>
      <c r="D48" s="40">
        <v>1350286303</v>
      </c>
      <c r="E48" s="40">
        <v>8250000</v>
      </c>
      <c r="F48" s="40">
        <v>199660400</v>
      </c>
      <c r="G48" s="40">
        <v>22842000</v>
      </c>
      <c r="H48" s="40">
        <v>25219600</v>
      </c>
      <c r="I48" s="40">
        <v>2043100</v>
      </c>
      <c r="J48" s="40">
        <v>408000</v>
      </c>
      <c r="K48" s="40">
        <v>34000</v>
      </c>
      <c r="L48" s="40">
        <v>560120720</v>
      </c>
      <c r="M48" s="40">
        <v>948348030</v>
      </c>
      <c r="N48" s="40">
        <v>6779</v>
      </c>
      <c r="O48" s="40">
        <v>791</v>
      </c>
      <c r="P48" s="40">
        <v>67937300</v>
      </c>
      <c r="Q48" s="40">
        <v>4669400</v>
      </c>
      <c r="R48" s="40">
        <v>62635200</v>
      </c>
      <c r="S48" s="40">
        <v>12541950</v>
      </c>
      <c r="T48" s="40">
        <v>3923000</v>
      </c>
      <c r="U48" s="40">
        <v>8933000</v>
      </c>
      <c r="V48" s="40">
        <v>67937300</v>
      </c>
      <c r="W48" s="40">
        <v>4669400</v>
      </c>
      <c r="X48" s="40">
        <v>62635200</v>
      </c>
      <c r="Y48" s="40">
        <v>12541950</v>
      </c>
      <c r="Z48" s="40">
        <v>3923000</v>
      </c>
      <c r="AA48" s="40">
        <v>8933000</v>
      </c>
      <c r="AB48" s="40">
        <v>-5600221</v>
      </c>
      <c r="AC48" s="40">
        <v>-887943</v>
      </c>
      <c r="AD48" s="40">
        <v>88147</v>
      </c>
      <c r="AE48" s="40">
        <v>0</v>
      </c>
      <c r="AF48" s="40">
        <v>0</v>
      </c>
      <c r="AG48" s="40">
        <v>264542</v>
      </c>
      <c r="AH48" s="40">
        <v>0</v>
      </c>
      <c r="AI48" s="40">
        <v>919218.85245901649</v>
      </c>
      <c r="AJ48" s="46">
        <v>0</v>
      </c>
      <c r="AK48" s="1">
        <v>597603040</v>
      </c>
      <c r="AL48" s="1">
        <v>15206017</v>
      </c>
      <c r="AM48" s="40">
        <v>55000</v>
      </c>
      <c r="AN48" s="40">
        <v>171790130</v>
      </c>
      <c r="AO48" s="40">
        <v>14901816</v>
      </c>
      <c r="AP48" s="40">
        <v>412831950</v>
      </c>
      <c r="AQ48" s="40">
        <v>185815217</v>
      </c>
      <c r="AR48" s="40">
        <v>158526606</v>
      </c>
      <c r="AS48" s="40">
        <v>60018511</v>
      </c>
      <c r="AT48" s="40">
        <v>1446880</v>
      </c>
      <c r="AU48" s="40">
        <v>0</v>
      </c>
      <c r="AV48" s="40">
        <v>17904</v>
      </c>
      <c r="AW48" s="40">
        <v>312337</v>
      </c>
      <c r="AX48" s="40">
        <v>1818982</v>
      </c>
      <c r="AY48" s="40">
        <v>2226301</v>
      </c>
      <c r="AZ48" s="1">
        <v>45023678.43</v>
      </c>
      <c r="BA48" s="1">
        <v>22962076</v>
      </c>
      <c r="BB48" s="1">
        <v>2176166</v>
      </c>
      <c r="BC48" s="15">
        <v>4994638</v>
      </c>
      <c r="BD48" s="15">
        <v>9793407</v>
      </c>
      <c r="BE48" s="20">
        <v>37349219</v>
      </c>
      <c r="BF48" s="20">
        <v>32522809</v>
      </c>
      <c r="BG48" s="20">
        <v>215624225</v>
      </c>
      <c r="BH48" s="20">
        <v>204379298</v>
      </c>
      <c r="BI48" s="44"/>
      <c r="BJ48" s="44"/>
      <c r="BK48" s="44"/>
      <c r="BL48" s="5">
        <v>6672198186.852459</v>
      </c>
      <c r="BM48" s="5">
        <v>5794530308.852459</v>
      </c>
      <c r="BN48" s="15">
        <v>12150800</v>
      </c>
      <c r="BO48" s="3"/>
      <c r="BP48" s="1"/>
      <c r="BQ48" s="1"/>
      <c r="BR48" s="5"/>
      <c r="BS48" s="5"/>
      <c r="BT48" s="5"/>
    </row>
    <row r="49" spans="1:72" x14ac:dyDescent="0.25">
      <c r="A49" s="6" t="s">
        <v>103</v>
      </c>
      <c r="B49" s="40">
        <v>387993833</v>
      </c>
      <c r="C49" s="40">
        <v>40287215</v>
      </c>
      <c r="D49" s="40">
        <v>147623479</v>
      </c>
      <c r="E49" s="40">
        <v>0</v>
      </c>
      <c r="F49" s="40">
        <v>55578269</v>
      </c>
      <c r="G49" s="40">
        <v>67204478</v>
      </c>
      <c r="H49" s="40">
        <v>2581030</v>
      </c>
      <c r="I49" s="40">
        <v>1371060</v>
      </c>
      <c r="J49" s="40">
        <v>328200</v>
      </c>
      <c r="K49" s="40">
        <v>123450</v>
      </c>
      <c r="L49" s="40">
        <v>93145308</v>
      </c>
      <c r="M49" s="40">
        <v>16674683</v>
      </c>
      <c r="N49" s="40">
        <v>2027</v>
      </c>
      <c r="O49" s="40">
        <v>2503</v>
      </c>
      <c r="P49" s="40">
        <v>5366825</v>
      </c>
      <c r="Q49" s="40">
        <v>0</v>
      </c>
      <c r="R49" s="40">
        <v>1005400</v>
      </c>
      <c r="S49" s="40">
        <v>3266697</v>
      </c>
      <c r="T49" s="40">
        <v>38045</v>
      </c>
      <c r="U49" s="40">
        <v>421075</v>
      </c>
      <c r="V49" s="40">
        <v>5366825</v>
      </c>
      <c r="W49" s="40">
        <v>0</v>
      </c>
      <c r="X49" s="40">
        <v>1005400</v>
      </c>
      <c r="Y49" s="40">
        <v>3266697</v>
      </c>
      <c r="Z49" s="40">
        <v>42000</v>
      </c>
      <c r="AA49" s="40">
        <v>421075</v>
      </c>
      <c r="AB49" s="40">
        <v>-2342520</v>
      </c>
      <c r="AC49" s="40">
        <v>-3443534</v>
      </c>
      <c r="AD49" s="40">
        <v>235024</v>
      </c>
      <c r="AE49" s="40">
        <v>0</v>
      </c>
      <c r="AF49" s="40">
        <v>0</v>
      </c>
      <c r="AG49" s="40">
        <v>208757</v>
      </c>
      <c r="AH49" s="40">
        <v>11174795.081967214</v>
      </c>
      <c r="AI49" s="40">
        <v>37748247.540983617</v>
      </c>
      <c r="AJ49" s="46">
        <v>290125329</v>
      </c>
      <c r="AK49" s="1">
        <v>166085151</v>
      </c>
      <c r="AL49" s="1">
        <v>1742050</v>
      </c>
      <c r="AM49" s="40">
        <v>0</v>
      </c>
      <c r="AN49" s="40">
        <v>227209257</v>
      </c>
      <c r="AO49" s="40">
        <v>6629648</v>
      </c>
      <c r="AP49" s="40">
        <v>84326936</v>
      </c>
      <c r="AQ49" s="40">
        <v>43077120</v>
      </c>
      <c r="AR49" s="40">
        <v>9953355</v>
      </c>
      <c r="AS49" s="40">
        <v>112</v>
      </c>
      <c r="AT49" s="40">
        <v>16018</v>
      </c>
      <c r="AU49" s="40">
        <v>0</v>
      </c>
      <c r="AV49" s="40">
        <v>0</v>
      </c>
      <c r="AW49" s="40">
        <v>0</v>
      </c>
      <c r="AX49" s="40">
        <v>0</v>
      </c>
      <c r="AY49" s="40">
        <v>251000</v>
      </c>
      <c r="AZ49" s="1">
        <v>12512929.039999999</v>
      </c>
      <c r="BA49" s="1">
        <v>6381594</v>
      </c>
      <c r="BB49" s="1"/>
      <c r="BC49" s="15">
        <v>7113392</v>
      </c>
      <c r="BD49" s="15">
        <v>13947827</v>
      </c>
      <c r="BE49" s="20">
        <v>10416265</v>
      </c>
      <c r="BF49" s="20">
        <v>10416265</v>
      </c>
      <c r="BG49" s="20">
        <v>56680194</v>
      </c>
      <c r="BH49" s="20">
        <v>50131929</v>
      </c>
      <c r="BI49" s="44"/>
      <c r="BJ49" s="44"/>
      <c r="BK49" s="44"/>
      <c r="BL49" s="5">
        <v>1433739304.6229508</v>
      </c>
      <c r="BM49" s="5">
        <v>1191868923.6229508</v>
      </c>
      <c r="BN49" s="15">
        <v>786421</v>
      </c>
      <c r="BO49" s="3"/>
      <c r="BP49" s="1"/>
      <c r="BQ49" s="1"/>
      <c r="BR49" s="5"/>
      <c r="BS49" s="5"/>
      <c r="BT49" s="5"/>
    </row>
    <row r="50" spans="1:72" x14ac:dyDescent="0.25">
      <c r="A50" s="6" t="s">
        <v>104</v>
      </c>
      <c r="B50" s="40">
        <v>458148882</v>
      </c>
      <c r="C50" s="40">
        <v>220639638</v>
      </c>
      <c r="D50" s="40">
        <v>104975552</v>
      </c>
      <c r="E50" s="40">
        <v>0</v>
      </c>
      <c r="F50" s="40">
        <v>33660226</v>
      </c>
      <c r="G50" s="40">
        <v>4801932</v>
      </c>
      <c r="H50" s="40">
        <v>12956031</v>
      </c>
      <c r="I50" s="40">
        <v>1902422</v>
      </c>
      <c r="J50" s="40">
        <v>34000</v>
      </c>
      <c r="K50" s="40">
        <v>18000</v>
      </c>
      <c r="L50" s="40">
        <v>309967088</v>
      </c>
      <c r="M50" s="40">
        <v>153595643</v>
      </c>
      <c r="N50" s="40">
        <v>1388</v>
      </c>
      <c r="O50" s="40">
        <v>204</v>
      </c>
      <c r="P50" s="40">
        <v>2051138</v>
      </c>
      <c r="Q50" s="40">
        <v>2230237</v>
      </c>
      <c r="R50" s="40">
        <v>311550</v>
      </c>
      <c r="S50" s="40">
        <v>590905</v>
      </c>
      <c r="T50" s="40">
        <v>147370</v>
      </c>
      <c r="U50" s="40">
        <v>269000</v>
      </c>
      <c r="V50" s="40">
        <v>2051138</v>
      </c>
      <c r="W50" s="40">
        <v>2230237</v>
      </c>
      <c r="X50" s="40">
        <v>311550</v>
      </c>
      <c r="Y50" s="40">
        <v>590905</v>
      </c>
      <c r="Z50" s="40">
        <v>147370</v>
      </c>
      <c r="AA50" s="40">
        <v>269000</v>
      </c>
      <c r="AB50" s="40">
        <v>-1811078</v>
      </c>
      <c r="AC50" s="40">
        <v>-283813</v>
      </c>
      <c r="AD50" s="40">
        <v>0</v>
      </c>
      <c r="AE50" s="40">
        <v>0</v>
      </c>
      <c r="AF50" s="40">
        <v>0</v>
      </c>
      <c r="AG50" s="40">
        <v>194904</v>
      </c>
      <c r="AH50" s="40">
        <v>0</v>
      </c>
      <c r="AI50" s="40">
        <v>0</v>
      </c>
      <c r="AJ50" s="46">
        <v>0</v>
      </c>
      <c r="AK50" s="1">
        <v>111408426</v>
      </c>
      <c r="AL50" s="1">
        <v>2466132</v>
      </c>
      <c r="AM50" s="40">
        <v>0</v>
      </c>
      <c r="AN50" s="40">
        <v>24641285</v>
      </c>
      <c r="AO50" s="40">
        <v>3929767</v>
      </c>
      <c r="AP50" s="40">
        <v>81725110</v>
      </c>
      <c r="AQ50" s="40">
        <v>17879503</v>
      </c>
      <c r="AR50" s="40">
        <v>17993761</v>
      </c>
      <c r="AS50" s="40">
        <v>618512</v>
      </c>
      <c r="AT50" s="40">
        <v>542118</v>
      </c>
      <c r="AU50" s="40">
        <v>95904</v>
      </c>
      <c r="AV50" s="40">
        <v>27999</v>
      </c>
      <c r="AW50" s="40">
        <v>16873</v>
      </c>
      <c r="AX50" s="40">
        <v>10235</v>
      </c>
      <c r="AY50" s="40">
        <v>361515</v>
      </c>
      <c r="AZ50" s="1">
        <v>8393560.2899999991</v>
      </c>
      <c r="BA50" s="1">
        <v>4280716</v>
      </c>
      <c r="BB50" s="1"/>
      <c r="BC50" s="15">
        <v>2047566</v>
      </c>
      <c r="BD50" s="15">
        <v>4014836</v>
      </c>
      <c r="BE50" s="20">
        <v>13179398</v>
      </c>
      <c r="BF50" s="20">
        <v>13179398</v>
      </c>
      <c r="BG50" s="20">
        <v>45577129</v>
      </c>
      <c r="BH50" s="20">
        <v>40837631</v>
      </c>
      <c r="BI50" s="44"/>
      <c r="BJ50" s="44"/>
      <c r="BK50" s="44"/>
      <c r="BL50" s="5">
        <v>1004434496</v>
      </c>
      <c r="BM50" s="5">
        <v>830214627</v>
      </c>
      <c r="BN50" s="15">
        <v>1092383</v>
      </c>
      <c r="BO50" s="3"/>
      <c r="BP50" s="1"/>
      <c r="BQ50" s="1"/>
      <c r="BR50" s="5"/>
      <c r="BS50" s="5"/>
      <c r="BT50" s="5"/>
    </row>
    <row r="51" spans="1:72" x14ac:dyDescent="0.25">
      <c r="A51" s="6" t="s">
        <v>105</v>
      </c>
      <c r="B51" s="40">
        <v>282898709</v>
      </c>
      <c r="C51" s="40">
        <v>204895746</v>
      </c>
      <c r="D51" s="40">
        <v>138353633</v>
      </c>
      <c r="E51" s="40">
        <v>9304604</v>
      </c>
      <c r="F51" s="40">
        <v>37037200</v>
      </c>
      <c r="G51" s="40">
        <v>10188250</v>
      </c>
      <c r="H51" s="40">
        <v>18201300</v>
      </c>
      <c r="I51" s="40">
        <v>2659100</v>
      </c>
      <c r="J51" s="40">
        <v>140000</v>
      </c>
      <c r="K51" s="40">
        <v>34000</v>
      </c>
      <c r="L51" s="40">
        <v>279589217</v>
      </c>
      <c r="M51" s="40">
        <v>124071216</v>
      </c>
      <c r="N51" s="40">
        <v>1742</v>
      </c>
      <c r="O51" s="40">
        <v>447</v>
      </c>
      <c r="P51" s="40">
        <v>1805600</v>
      </c>
      <c r="Q51" s="40">
        <v>2093400</v>
      </c>
      <c r="R51" s="40">
        <v>9117722</v>
      </c>
      <c r="S51" s="40">
        <v>2080794</v>
      </c>
      <c r="T51" s="40">
        <v>431600</v>
      </c>
      <c r="U51" s="40">
        <v>1509250</v>
      </c>
      <c r="V51" s="40">
        <v>1805600</v>
      </c>
      <c r="W51" s="40">
        <v>2093400</v>
      </c>
      <c r="X51" s="40">
        <v>9117722</v>
      </c>
      <c r="Y51" s="40">
        <v>2080794</v>
      </c>
      <c r="Z51" s="40">
        <v>465100</v>
      </c>
      <c r="AA51" s="40">
        <v>1509250</v>
      </c>
      <c r="AB51" s="40">
        <v>-1857500</v>
      </c>
      <c r="AC51" s="40">
        <v>24141</v>
      </c>
      <c r="AD51" s="40">
        <v>104357</v>
      </c>
      <c r="AE51" s="40">
        <v>0</v>
      </c>
      <c r="AF51" s="40">
        <v>0</v>
      </c>
      <c r="AG51" s="40">
        <v>234650</v>
      </c>
      <c r="AH51" s="40">
        <v>1555655.7377049183</v>
      </c>
      <c r="AI51" s="40">
        <v>221901.63934426234</v>
      </c>
      <c r="AJ51" s="46">
        <v>0</v>
      </c>
      <c r="AK51" s="1">
        <v>78674538</v>
      </c>
      <c r="AL51" s="1">
        <v>3419848</v>
      </c>
      <c r="AM51" s="40">
        <v>0</v>
      </c>
      <c r="AN51" s="40">
        <v>13525366</v>
      </c>
      <c r="AO51" s="40">
        <v>432925</v>
      </c>
      <c r="AP51" s="40">
        <v>220328499</v>
      </c>
      <c r="AQ51" s="40">
        <v>51571493</v>
      </c>
      <c r="AR51" s="40">
        <v>38542003</v>
      </c>
      <c r="AS51" s="40">
        <v>548826</v>
      </c>
      <c r="AT51" s="40">
        <v>282972</v>
      </c>
      <c r="AU51" s="40">
        <v>0</v>
      </c>
      <c r="AV51" s="40">
        <v>87964</v>
      </c>
      <c r="AW51" s="40">
        <v>4376755</v>
      </c>
      <c r="AX51" s="40">
        <v>247185</v>
      </c>
      <c r="AY51" s="40">
        <v>18500</v>
      </c>
      <c r="AZ51" s="1">
        <v>5927374.6299999999</v>
      </c>
      <c r="BA51" s="1">
        <v>3022961</v>
      </c>
      <c r="BB51" s="1"/>
      <c r="BC51" s="15">
        <v>1344733</v>
      </c>
      <c r="BD51" s="15">
        <v>2636732</v>
      </c>
      <c r="BE51" s="20">
        <v>11249307</v>
      </c>
      <c r="BF51" s="20">
        <v>11249307</v>
      </c>
      <c r="BG51" s="20">
        <v>59405252</v>
      </c>
      <c r="BH51" s="20">
        <v>55857216</v>
      </c>
      <c r="BI51" s="44"/>
      <c r="BJ51" s="44"/>
      <c r="BK51" s="44"/>
      <c r="BL51" s="5">
        <v>847024032.37704909</v>
      </c>
      <c r="BM51" s="5">
        <v>693455429.37704909</v>
      </c>
      <c r="BN51" s="15">
        <v>730475</v>
      </c>
      <c r="BO51" s="3"/>
      <c r="BP51" s="1"/>
      <c r="BQ51" s="1"/>
      <c r="BR51" s="5"/>
      <c r="BS51" s="5"/>
      <c r="BT51" s="5"/>
    </row>
    <row r="52" spans="1:72" x14ac:dyDescent="0.25">
      <c r="A52" s="6" t="s">
        <v>106</v>
      </c>
      <c r="B52" s="40">
        <v>1254526148</v>
      </c>
      <c r="C52" s="40">
        <v>248402550</v>
      </c>
      <c r="D52" s="40">
        <v>504417930</v>
      </c>
      <c r="E52" s="40">
        <v>130220655</v>
      </c>
      <c r="F52" s="40">
        <v>111424756</v>
      </c>
      <c r="G52" s="40">
        <v>15930099</v>
      </c>
      <c r="H52" s="40">
        <v>9817306</v>
      </c>
      <c r="I52" s="40">
        <v>634000</v>
      </c>
      <c r="J52" s="40">
        <v>219000</v>
      </c>
      <c r="K52" s="40">
        <v>34000</v>
      </c>
      <c r="L52" s="40">
        <v>545821114</v>
      </c>
      <c r="M52" s="40">
        <v>96834920</v>
      </c>
      <c r="N52" s="40">
        <v>3713</v>
      </c>
      <c r="O52" s="40">
        <v>544</v>
      </c>
      <c r="P52" s="40">
        <v>10832375</v>
      </c>
      <c r="Q52" s="40">
        <v>2724100</v>
      </c>
      <c r="R52" s="40">
        <v>8939085</v>
      </c>
      <c r="S52" s="40">
        <v>11947809</v>
      </c>
      <c r="T52" s="40">
        <v>2579437</v>
      </c>
      <c r="U52" s="40">
        <v>4073666</v>
      </c>
      <c r="V52" s="40">
        <v>10832375</v>
      </c>
      <c r="W52" s="40">
        <v>8658880</v>
      </c>
      <c r="X52" s="40">
        <v>8939085</v>
      </c>
      <c r="Y52" s="40">
        <v>11947809</v>
      </c>
      <c r="Z52" s="40">
        <v>4436850</v>
      </c>
      <c r="AA52" s="40">
        <v>4073666</v>
      </c>
      <c r="AB52" s="40">
        <v>-2581148</v>
      </c>
      <c r="AC52" s="40">
        <v>-186255</v>
      </c>
      <c r="AD52" s="40">
        <v>37550</v>
      </c>
      <c r="AE52" s="40">
        <v>5143</v>
      </c>
      <c r="AF52" s="40">
        <v>19013710</v>
      </c>
      <c r="AG52" s="40">
        <v>244230</v>
      </c>
      <c r="AH52" s="40">
        <v>31018926.229508195</v>
      </c>
      <c r="AI52" s="40">
        <v>8516.3934426229516</v>
      </c>
      <c r="AJ52" s="46">
        <v>62387418.032786883</v>
      </c>
      <c r="AK52" s="1">
        <v>286440512</v>
      </c>
      <c r="AL52" s="1">
        <v>14293367</v>
      </c>
      <c r="AM52" s="40">
        <v>109601</v>
      </c>
      <c r="AN52" s="40">
        <v>118278386</v>
      </c>
      <c r="AO52" s="40">
        <v>15210722</v>
      </c>
      <c r="AP52" s="40">
        <v>311649085</v>
      </c>
      <c r="AQ52" s="40">
        <v>120779945</v>
      </c>
      <c r="AR52" s="40">
        <v>183816078</v>
      </c>
      <c r="AS52" s="40">
        <v>131119705</v>
      </c>
      <c r="AT52" s="40">
        <v>3707177</v>
      </c>
      <c r="AU52" s="40">
        <v>0</v>
      </c>
      <c r="AV52" s="40">
        <v>9450260</v>
      </c>
      <c r="AW52" s="40">
        <v>39034819</v>
      </c>
      <c r="AX52" s="40">
        <v>3140519</v>
      </c>
      <c r="AY52" s="40">
        <v>2516032</v>
      </c>
      <c r="AZ52" s="1">
        <v>21580555.379999999</v>
      </c>
      <c r="BA52" s="1">
        <v>11006083</v>
      </c>
      <c r="BB52" s="1">
        <v>58523316</v>
      </c>
      <c r="BC52" s="15">
        <v>2596560</v>
      </c>
      <c r="BD52" s="15">
        <v>5091294</v>
      </c>
      <c r="BE52" s="20">
        <v>21996606</v>
      </c>
      <c r="BF52" s="20">
        <v>21996606</v>
      </c>
      <c r="BG52" s="20">
        <v>95814380</v>
      </c>
      <c r="BH52" s="20">
        <v>91574320</v>
      </c>
      <c r="BI52" s="44"/>
      <c r="BJ52" s="44"/>
      <c r="BK52" s="44"/>
      <c r="BL52" s="5">
        <v>2782937989.6557379</v>
      </c>
      <c r="BM52" s="5">
        <v>2355030541.6557379</v>
      </c>
      <c r="BN52" s="15">
        <v>4589585</v>
      </c>
      <c r="BO52" s="3"/>
      <c r="BP52" s="1"/>
      <c r="BQ52" s="1"/>
      <c r="BR52" s="5"/>
      <c r="BS52" s="5"/>
      <c r="BT52" s="5"/>
    </row>
    <row r="53" spans="1:72" x14ac:dyDescent="0.25">
      <c r="A53" s="6" t="s">
        <v>107</v>
      </c>
      <c r="B53" s="40">
        <v>421634600</v>
      </c>
      <c r="C53" s="40">
        <v>191704600</v>
      </c>
      <c r="D53" s="40">
        <v>66883200</v>
      </c>
      <c r="E53" s="40">
        <v>0</v>
      </c>
      <c r="F53" s="40">
        <v>32301400</v>
      </c>
      <c r="G53" s="40">
        <v>5134200</v>
      </c>
      <c r="H53" s="40">
        <v>10414500</v>
      </c>
      <c r="I53" s="40">
        <v>646000</v>
      </c>
      <c r="J53" s="40">
        <v>68000</v>
      </c>
      <c r="K53" s="40">
        <v>0</v>
      </c>
      <c r="L53" s="40">
        <v>289439432</v>
      </c>
      <c r="M53" s="40">
        <v>129326100</v>
      </c>
      <c r="N53" s="40">
        <v>1283</v>
      </c>
      <c r="O53" s="40">
        <v>177</v>
      </c>
      <c r="P53" s="40">
        <v>3048880</v>
      </c>
      <c r="Q53" s="40">
        <v>3933500</v>
      </c>
      <c r="R53" s="40">
        <v>30000</v>
      </c>
      <c r="S53" s="40">
        <v>6857834</v>
      </c>
      <c r="T53" s="40">
        <v>2474940</v>
      </c>
      <c r="U53" s="40">
        <v>2618500</v>
      </c>
      <c r="V53" s="40">
        <v>3048880</v>
      </c>
      <c r="W53" s="40">
        <v>5042900</v>
      </c>
      <c r="X53" s="40">
        <v>30000</v>
      </c>
      <c r="Y53" s="40">
        <v>6857834</v>
      </c>
      <c r="Z53" s="40">
        <v>3476484</v>
      </c>
      <c r="AA53" s="40">
        <v>2618500</v>
      </c>
      <c r="AB53" s="40">
        <v>-2342100</v>
      </c>
      <c r="AC53" s="40">
        <v>-29664</v>
      </c>
      <c r="AD53" s="40">
        <v>31856</v>
      </c>
      <c r="AE53" s="40">
        <v>85011</v>
      </c>
      <c r="AF53" s="40">
        <v>148180200</v>
      </c>
      <c r="AG53" s="40">
        <v>168806</v>
      </c>
      <c r="AH53" s="40">
        <v>0</v>
      </c>
      <c r="AI53" s="40">
        <v>524155.73770491808</v>
      </c>
      <c r="AJ53" s="46">
        <v>0</v>
      </c>
      <c r="AK53" s="1">
        <v>92387052</v>
      </c>
      <c r="AL53" s="1">
        <v>2185860</v>
      </c>
      <c r="AM53" s="40">
        <v>112000</v>
      </c>
      <c r="AN53" s="40">
        <v>12468580</v>
      </c>
      <c r="AO53" s="40">
        <v>1226682</v>
      </c>
      <c r="AP53" s="40">
        <v>32140293</v>
      </c>
      <c r="AQ53" s="40">
        <v>14078469</v>
      </c>
      <c r="AR53" s="40">
        <v>34980302</v>
      </c>
      <c r="AS53" s="40">
        <v>5383187</v>
      </c>
      <c r="AT53" s="40">
        <v>1660548</v>
      </c>
      <c r="AU53" s="40">
        <v>0</v>
      </c>
      <c r="AV53" s="40">
        <v>0</v>
      </c>
      <c r="AW53" s="40">
        <v>28918</v>
      </c>
      <c r="AX53" s="40">
        <v>141101</v>
      </c>
      <c r="AY53" s="40">
        <v>325000</v>
      </c>
      <c r="AZ53" s="1">
        <v>6960481.5300000003</v>
      </c>
      <c r="BA53" s="1">
        <v>3549846</v>
      </c>
      <c r="BB53" s="1">
        <v>3847150</v>
      </c>
      <c r="BC53" s="15">
        <v>904935</v>
      </c>
      <c r="BD53" s="15">
        <v>1774382</v>
      </c>
      <c r="BE53" s="20">
        <v>8902381</v>
      </c>
      <c r="BF53" s="20">
        <v>8902381</v>
      </c>
      <c r="BG53" s="20">
        <v>45826153</v>
      </c>
      <c r="BH53" s="20">
        <v>44050507</v>
      </c>
      <c r="BI53" s="44"/>
      <c r="BJ53" s="44"/>
      <c r="BK53" s="44"/>
      <c r="BL53" s="5">
        <v>860500867.73770487</v>
      </c>
      <c r="BM53" s="5">
        <v>708520286.73770487</v>
      </c>
      <c r="BN53" s="15">
        <v>440200</v>
      </c>
      <c r="BO53" s="3"/>
      <c r="BP53" s="1"/>
      <c r="BQ53" s="1"/>
      <c r="BR53" s="5"/>
      <c r="BS53" s="5"/>
      <c r="BT53" s="5"/>
    </row>
    <row r="54" spans="1:72" x14ac:dyDescent="0.25">
      <c r="A54" s="6" t="s">
        <v>108</v>
      </c>
      <c r="B54" s="40">
        <v>65316728</v>
      </c>
      <c r="C54" s="40">
        <v>80323770</v>
      </c>
      <c r="D54" s="40">
        <v>12455853</v>
      </c>
      <c r="E54" s="40">
        <v>0</v>
      </c>
      <c r="F54" s="40">
        <v>13267975</v>
      </c>
      <c r="G54" s="40">
        <v>2478150</v>
      </c>
      <c r="H54" s="40">
        <v>5412275</v>
      </c>
      <c r="I54" s="40">
        <v>272000</v>
      </c>
      <c r="J54" s="40">
        <v>10000</v>
      </c>
      <c r="K54" s="40">
        <v>0</v>
      </c>
      <c r="L54" s="40">
        <v>145484009</v>
      </c>
      <c r="M54" s="40">
        <v>24170750</v>
      </c>
      <c r="N54" s="40">
        <v>610</v>
      </c>
      <c r="O54" s="40">
        <v>106</v>
      </c>
      <c r="P54" s="40">
        <v>586000</v>
      </c>
      <c r="Q54" s="40">
        <v>0</v>
      </c>
      <c r="R54" s="40">
        <v>65000</v>
      </c>
      <c r="S54" s="40">
        <v>798449</v>
      </c>
      <c r="T54" s="40">
        <v>212880</v>
      </c>
      <c r="U54" s="40">
        <v>10000</v>
      </c>
      <c r="V54" s="40">
        <v>586000</v>
      </c>
      <c r="W54" s="40">
        <v>0</v>
      </c>
      <c r="X54" s="40">
        <v>65000</v>
      </c>
      <c r="Y54" s="40">
        <v>798449</v>
      </c>
      <c r="Z54" s="40">
        <v>306400</v>
      </c>
      <c r="AA54" s="40">
        <v>10000</v>
      </c>
      <c r="AB54" s="40">
        <v>-1011316</v>
      </c>
      <c r="AC54" s="40">
        <v>0</v>
      </c>
      <c r="AD54" s="40">
        <v>27129</v>
      </c>
      <c r="AE54" s="40">
        <v>0</v>
      </c>
      <c r="AF54" s="40">
        <v>84307640</v>
      </c>
      <c r="AG54" s="40">
        <v>145283</v>
      </c>
      <c r="AH54" s="40">
        <v>0</v>
      </c>
      <c r="AI54" s="40">
        <v>10778.688524590165</v>
      </c>
      <c r="AJ54" s="46">
        <v>0</v>
      </c>
      <c r="AK54" s="1">
        <v>34160928</v>
      </c>
      <c r="AL54" s="1">
        <v>735201</v>
      </c>
      <c r="AM54" s="40">
        <v>0</v>
      </c>
      <c r="AN54" s="40">
        <v>9880497</v>
      </c>
      <c r="AO54" s="40">
        <v>61128</v>
      </c>
      <c r="AP54" s="40">
        <v>485584</v>
      </c>
      <c r="AQ54" s="40">
        <v>8996898</v>
      </c>
      <c r="AR54" s="40">
        <v>5530102</v>
      </c>
      <c r="AS54" s="40">
        <v>711738</v>
      </c>
      <c r="AT54" s="40">
        <v>1673979</v>
      </c>
      <c r="AU54" s="40">
        <v>0</v>
      </c>
      <c r="AV54" s="40">
        <v>20000</v>
      </c>
      <c r="AW54" s="40">
        <v>0</v>
      </c>
      <c r="AX54" s="40">
        <v>0</v>
      </c>
      <c r="AY54" s="40">
        <v>0</v>
      </c>
      <c r="AZ54" s="1">
        <v>2573699.4900000002</v>
      </c>
      <c r="BA54" s="1">
        <v>1312587</v>
      </c>
      <c r="BB54" s="1">
        <v>7538860</v>
      </c>
      <c r="BC54" s="15">
        <v>1441863</v>
      </c>
      <c r="BD54" s="15">
        <v>2827182</v>
      </c>
      <c r="BE54" s="20">
        <v>24862495</v>
      </c>
      <c r="BF54" s="20">
        <v>24862495</v>
      </c>
      <c r="BG54" s="20">
        <v>51542511</v>
      </c>
      <c r="BH54" s="20">
        <v>37097372</v>
      </c>
      <c r="BI54" s="44"/>
      <c r="BJ54" s="44"/>
      <c r="BK54" s="44"/>
      <c r="BL54" s="5">
        <v>276656098.6885246</v>
      </c>
      <c r="BM54" s="5">
        <v>177045652.6885246</v>
      </c>
      <c r="BN54" s="15">
        <v>335700</v>
      </c>
      <c r="BO54" s="3"/>
      <c r="BP54" s="1"/>
      <c r="BQ54" s="1"/>
      <c r="BR54" s="5"/>
      <c r="BS54" s="5"/>
      <c r="BT54" s="5"/>
    </row>
    <row r="55" spans="1:72" x14ac:dyDescent="0.25">
      <c r="A55" s="6" t="s">
        <v>109</v>
      </c>
      <c r="B55" s="40">
        <v>1076006839</v>
      </c>
      <c r="C55" s="40">
        <v>242837641</v>
      </c>
      <c r="D55" s="40">
        <v>390040952</v>
      </c>
      <c r="E55" s="40">
        <v>0</v>
      </c>
      <c r="F55" s="40">
        <v>103517135</v>
      </c>
      <c r="G55" s="40">
        <v>31621620</v>
      </c>
      <c r="H55" s="40">
        <v>14185890</v>
      </c>
      <c r="I55" s="40">
        <v>3151390</v>
      </c>
      <c r="J55" s="40">
        <v>258000</v>
      </c>
      <c r="K55" s="40">
        <v>34000</v>
      </c>
      <c r="L55" s="40">
        <v>279881989</v>
      </c>
      <c r="M55" s="40">
        <v>143777350</v>
      </c>
      <c r="N55" s="40">
        <v>3742</v>
      </c>
      <c r="O55" s="40">
        <v>1183</v>
      </c>
      <c r="P55" s="40">
        <v>13891469</v>
      </c>
      <c r="Q55" s="40">
        <v>7886550</v>
      </c>
      <c r="R55" s="40">
        <v>3616589</v>
      </c>
      <c r="S55" s="40">
        <v>17924931</v>
      </c>
      <c r="T55" s="40">
        <v>4406576</v>
      </c>
      <c r="U55" s="40">
        <v>9739458</v>
      </c>
      <c r="V55" s="40">
        <v>13891469</v>
      </c>
      <c r="W55" s="40">
        <v>10762480</v>
      </c>
      <c r="X55" s="40">
        <v>3616589</v>
      </c>
      <c r="Y55" s="40">
        <v>17924931</v>
      </c>
      <c r="Z55" s="40">
        <v>8052517</v>
      </c>
      <c r="AA55" s="40">
        <v>9739458</v>
      </c>
      <c r="AB55" s="40">
        <v>-7609</v>
      </c>
      <c r="AC55" s="40">
        <v>-1180</v>
      </c>
      <c r="AD55" s="40">
        <v>1374</v>
      </c>
      <c r="AE55" s="40">
        <v>492</v>
      </c>
      <c r="AF55" s="40">
        <v>1115720</v>
      </c>
      <c r="AG55" s="40">
        <v>2418820</v>
      </c>
      <c r="AH55" s="40">
        <v>8762442.6229508203</v>
      </c>
      <c r="AI55" s="40">
        <v>1644211.4754098363</v>
      </c>
      <c r="AJ55" s="46">
        <v>53717709</v>
      </c>
      <c r="AK55" s="1">
        <v>298021338</v>
      </c>
      <c r="AL55" s="1">
        <v>8803892</v>
      </c>
      <c r="AM55" s="40">
        <v>5830</v>
      </c>
      <c r="AN55" s="40">
        <v>212583160</v>
      </c>
      <c r="AO55" s="40">
        <v>12276311</v>
      </c>
      <c r="AP55" s="40">
        <v>123483425</v>
      </c>
      <c r="AQ55" s="40">
        <v>104511750</v>
      </c>
      <c r="AR55" s="40">
        <v>66775002</v>
      </c>
      <c r="AS55" s="40">
        <v>130483430</v>
      </c>
      <c r="AT55" s="40">
        <v>2112378</v>
      </c>
      <c r="AU55" s="40">
        <v>0</v>
      </c>
      <c r="AV55" s="40">
        <v>0</v>
      </c>
      <c r="AW55" s="40">
        <v>3832202</v>
      </c>
      <c r="AX55" s="40">
        <v>3193320</v>
      </c>
      <c r="AY55" s="40">
        <v>2697468</v>
      </c>
      <c r="AZ55" s="1">
        <v>22453059.960000001</v>
      </c>
      <c r="BA55" s="1">
        <v>11451061</v>
      </c>
      <c r="BB55" s="1">
        <v>854922</v>
      </c>
      <c r="BC55" s="15">
        <v>9268344</v>
      </c>
      <c r="BD55" s="15">
        <v>18173223</v>
      </c>
      <c r="BE55" s="20">
        <v>53187641</v>
      </c>
      <c r="BF55" s="20">
        <v>49956977</v>
      </c>
      <c r="BG55" s="20">
        <v>152979373</v>
      </c>
      <c r="BH55" s="20">
        <v>141076068</v>
      </c>
      <c r="BI55" s="44"/>
      <c r="BJ55" s="44"/>
      <c r="BK55" s="44"/>
      <c r="BL55" s="5">
        <v>2620958696.0983605</v>
      </c>
      <c r="BM55" s="5">
        <v>2102381016.0983605</v>
      </c>
      <c r="BN55" s="15">
        <v>5261000</v>
      </c>
      <c r="BO55" s="3"/>
      <c r="BP55" s="1"/>
      <c r="BQ55" s="1"/>
      <c r="BR55" s="5"/>
      <c r="BS55" s="5"/>
      <c r="BT55" s="5"/>
    </row>
    <row r="56" spans="1:72" x14ac:dyDescent="0.25">
      <c r="A56" s="6" t="s">
        <v>110</v>
      </c>
      <c r="B56" s="40">
        <v>135488475</v>
      </c>
      <c r="C56" s="40">
        <v>67764665</v>
      </c>
      <c r="D56" s="40">
        <v>39236800</v>
      </c>
      <c r="E56" s="40">
        <v>0</v>
      </c>
      <c r="F56" s="40">
        <v>21210850</v>
      </c>
      <c r="G56" s="40">
        <v>15821000</v>
      </c>
      <c r="H56" s="40">
        <v>13981025</v>
      </c>
      <c r="I56" s="40">
        <v>3769500</v>
      </c>
      <c r="J56" s="40">
        <v>64000</v>
      </c>
      <c r="K56" s="40">
        <v>0</v>
      </c>
      <c r="L56" s="40">
        <v>104411695</v>
      </c>
      <c r="M56" s="40">
        <v>58955203</v>
      </c>
      <c r="N56" s="56">
        <v>1193</v>
      </c>
      <c r="O56" s="56">
        <v>710</v>
      </c>
      <c r="P56" s="40">
        <v>1179800</v>
      </c>
      <c r="Q56" s="40">
        <v>602300</v>
      </c>
      <c r="R56" s="40">
        <v>18000</v>
      </c>
      <c r="S56" s="40">
        <v>1731500</v>
      </c>
      <c r="T56" s="40">
        <v>1236825</v>
      </c>
      <c r="U56" s="40">
        <v>214000</v>
      </c>
      <c r="V56" s="40">
        <v>1179800</v>
      </c>
      <c r="W56" s="40">
        <v>744500</v>
      </c>
      <c r="X56" s="40">
        <v>18000</v>
      </c>
      <c r="Y56" s="40">
        <v>1731500</v>
      </c>
      <c r="Z56" s="40">
        <v>1792100</v>
      </c>
      <c r="AA56" s="40">
        <v>214000</v>
      </c>
      <c r="AB56" s="40">
        <v>-2534975</v>
      </c>
      <c r="AC56" s="40">
        <v>-119559</v>
      </c>
      <c r="AD56" s="40">
        <v>2605</v>
      </c>
      <c r="AE56" s="40">
        <v>94</v>
      </c>
      <c r="AF56" s="40">
        <v>3238801</v>
      </c>
      <c r="AG56" s="40">
        <v>2726</v>
      </c>
      <c r="AH56" s="40">
        <v>0</v>
      </c>
      <c r="AI56" s="40">
        <v>361680.32786885247</v>
      </c>
      <c r="AJ56" s="46">
        <v>0</v>
      </c>
      <c r="AK56" s="1">
        <v>63177411</v>
      </c>
      <c r="AL56" s="1">
        <v>1131755</v>
      </c>
      <c r="AM56" s="40">
        <v>0</v>
      </c>
      <c r="AN56" s="40">
        <v>5881285</v>
      </c>
      <c r="AO56" s="40">
        <v>189051</v>
      </c>
      <c r="AP56" s="40">
        <v>2984426</v>
      </c>
      <c r="AQ56" s="40">
        <v>5786091</v>
      </c>
      <c r="AR56" s="40">
        <v>299777</v>
      </c>
      <c r="AS56" s="40">
        <v>0</v>
      </c>
      <c r="AT56" s="40">
        <v>376481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1">
        <v>4759814.2</v>
      </c>
      <c r="BA56" s="1">
        <v>2427505</v>
      </c>
      <c r="BB56" s="1"/>
      <c r="BC56" s="15">
        <v>0</v>
      </c>
      <c r="BD56" s="15">
        <v>0</v>
      </c>
      <c r="BE56" s="20">
        <v>6972423</v>
      </c>
      <c r="BF56" s="20">
        <v>6972423</v>
      </c>
      <c r="BG56" s="20">
        <v>50516956</v>
      </c>
      <c r="BH56" s="20">
        <v>50445447</v>
      </c>
      <c r="BI56" s="44"/>
      <c r="BJ56" s="44"/>
      <c r="BK56" s="44"/>
      <c r="BL56" s="5">
        <v>378862588.32786882</v>
      </c>
      <c r="BM56" s="5">
        <v>254708047.32786885</v>
      </c>
      <c r="BN56" s="15">
        <v>3804000</v>
      </c>
      <c r="BO56" s="3"/>
      <c r="BP56" s="1"/>
      <c r="BQ56" s="1"/>
      <c r="BR56" s="5"/>
      <c r="BS56" s="5"/>
      <c r="BT56" s="5"/>
    </row>
    <row r="57" spans="1:72" x14ac:dyDescent="0.25">
      <c r="A57" s="6" t="s">
        <v>111</v>
      </c>
      <c r="B57" s="40">
        <v>36141192098</v>
      </c>
      <c r="C57" s="40">
        <v>133553480</v>
      </c>
      <c r="D57" s="40">
        <v>15301008105</v>
      </c>
      <c r="E57" s="40">
        <v>165782280</v>
      </c>
      <c r="F57" s="40">
        <v>1858217940</v>
      </c>
      <c r="G57" s="40">
        <v>164830390</v>
      </c>
      <c r="H57" s="40">
        <v>6222000</v>
      </c>
      <c r="I57" s="40">
        <v>238000</v>
      </c>
      <c r="J57" s="40">
        <v>4386000</v>
      </c>
      <c r="K57" s="40">
        <v>314780</v>
      </c>
      <c r="L57" s="40">
        <v>571725670</v>
      </c>
      <c r="M57" s="40">
        <v>711739150</v>
      </c>
      <c r="N57" s="40">
        <v>55445</v>
      </c>
      <c r="O57" s="40">
        <v>5031</v>
      </c>
      <c r="P57" s="40">
        <v>205426020</v>
      </c>
      <c r="Q57" s="40">
        <v>6444690</v>
      </c>
      <c r="R57" s="40">
        <v>188048210</v>
      </c>
      <c r="S57" s="40">
        <v>227536310</v>
      </c>
      <c r="T57" s="40">
        <v>5308930</v>
      </c>
      <c r="U57" s="40">
        <v>156915260</v>
      </c>
      <c r="V57" s="40">
        <v>205426020</v>
      </c>
      <c r="W57" s="40">
        <v>14769010</v>
      </c>
      <c r="X57" s="40">
        <v>188048210</v>
      </c>
      <c r="Y57" s="40">
        <v>227536310</v>
      </c>
      <c r="Z57" s="40">
        <v>23496120</v>
      </c>
      <c r="AA57" s="40">
        <v>156915260</v>
      </c>
      <c r="AB57" s="40">
        <v>-49461238</v>
      </c>
      <c r="AC57" s="40">
        <v>-35466754</v>
      </c>
      <c r="AD57" s="3"/>
      <c r="AE57" s="3"/>
      <c r="AF57" s="3"/>
      <c r="AG57" s="3"/>
      <c r="AH57" s="40">
        <v>0</v>
      </c>
      <c r="AI57" s="40">
        <v>206754.09836065574</v>
      </c>
      <c r="AJ57" s="46">
        <v>0</v>
      </c>
      <c r="AK57" s="1">
        <v>4355823672</v>
      </c>
      <c r="AL57" s="1">
        <v>72680053</v>
      </c>
      <c r="AM57" s="40">
        <v>4060907</v>
      </c>
      <c r="AN57" s="40">
        <v>2201599988</v>
      </c>
      <c r="AO57" s="40">
        <v>103057224</v>
      </c>
      <c r="AP57" s="40">
        <v>2263575499</v>
      </c>
      <c r="AQ57" s="40">
        <v>2174893272</v>
      </c>
      <c r="AR57" s="40">
        <v>1106271691</v>
      </c>
      <c r="AS57" s="40">
        <v>1045798131</v>
      </c>
      <c r="AT57" s="40">
        <v>1706213133</v>
      </c>
      <c r="AU57" s="40">
        <v>0</v>
      </c>
      <c r="AV57" s="40">
        <v>0</v>
      </c>
      <c r="AW57" s="40">
        <v>27105710</v>
      </c>
      <c r="AX57" s="40">
        <v>29139981</v>
      </c>
      <c r="AY57" s="40">
        <v>145713427</v>
      </c>
      <c r="AZ57" s="1">
        <v>328169689.88</v>
      </c>
      <c r="BA57" s="1">
        <v>167366542</v>
      </c>
      <c r="BB57" s="1">
        <v>29067358</v>
      </c>
      <c r="BC57" s="15">
        <v>19313725</v>
      </c>
      <c r="BD57" s="15">
        <v>37870049</v>
      </c>
      <c r="BE57" s="20">
        <v>586473256</v>
      </c>
      <c r="BF57" s="20">
        <v>583306304</v>
      </c>
      <c r="BG57" s="20">
        <v>1418453400</v>
      </c>
      <c r="BH57" s="20">
        <v>1295358411</v>
      </c>
      <c r="BI57" s="44">
        <v>289244918</v>
      </c>
      <c r="BJ57" s="44"/>
      <c r="BK57" s="44"/>
      <c r="BL57" s="5">
        <v>62838604546.098358</v>
      </c>
      <c r="BM57" s="5">
        <v>56055510921.098358</v>
      </c>
      <c r="BN57" s="15">
        <v>158184240</v>
      </c>
      <c r="BO57" s="3"/>
      <c r="BP57" s="1"/>
      <c r="BQ57" s="1"/>
      <c r="BR57" s="5"/>
      <c r="BS57" s="5"/>
      <c r="BT57" s="5"/>
    </row>
    <row r="58" spans="1:72" x14ac:dyDescent="0.25">
      <c r="A58" s="6" t="s">
        <v>112</v>
      </c>
      <c r="B58" s="40">
        <v>2445424821</v>
      </c>
      <c r="C58" s="40">
        <v>231652910</v>
      </c>
      <c r="D58" s="40">
        <v>608529906</v>
      </c>
      <c r="E58" s="40">
        <v>0</v>
      </c>
      <c r="F58" s="40">
        <v>85761074</v>
      </c>
      <c r="G58" s="40">
        <v>11535810</v>
      </c>
      <c r="H58" s="40">
        <v>8963702</v>
      </c>
      <c r="I58" s="40">
        <v>652015</v>
      </c>
      <c r="J58" s="40">
        <v>68000</v>
      </c>
      <c r="K58" s="40">
        <v>0</v>
      </c>
      <c r="L58" s="40">
        <v>562383573</v>
      </c>
      <c r="M58" s="40">
        <v>803652200</v>
      </c>
      <c r="N58" s="40">
        <v>2831</v>
      </c>
      <c r="O58" s="40">
        <v>375</v>
      </c>
      <c r="P58" s="40">
        <v>29520332</v>
      </c>
      <c r="Q58" s="40">
        <v>2708215</v>
      </c>
      <c r="R58" s="40">
        <v>3226800</v>
      </c>
      <c r="S58" s="40">
        <v>24600365</v>
      </c>
      <c r="T58" s="40">
        <v>2085117</v>
      </c>
      <c r="U58" s="40">
        <v>37000598</v>
      </c>
      <c r="V58" s="40">
        <v>29520332</v>
      </c>
      <c r="W58" s="40">
        <v>3241700</v>
      </c>
      <c r="X58" s="40">
        <v>3226800</v>
      </c>
      <c r="Y58" s="40">
        <v>24600365</v>
      </c>
      <c r="Z58" s="40">
        <v>4964259</v>
      </c>
      <c r="AA58" s="40">
        <v>37000598</v>
      </c>
      <c r="AB58" s="40">
        <v>-7835713</v>
      </c>
      <c r="AC58" s="40">
        <v>266677</v>
      </c>
      <c r="AD58" s="40">
        <v>0</v>
      </c>
      <c r="AE58" s="40">
        <v>0</v>
      </c>
      <c r="AF58" s="40">
        <v>0</v>
      </c>
      <c r="AG58" s="40">
        <v>88869</v>
      </c>
      <c r="AH58" s="40">
        <v>0</v>
      </c>
      <c r="AI58" s="40">
        <v>322680.32786885247</v>
      </c>
      <c r="AJ58" s="46">
        <v>0</v>
      </c>
      <c r="AK58" s="1">
        <v>311489329</v>
      </c>
      <c r="AL58" s="1">
        <v>8034451</v>
      </c>
      <c r="AM58" s="40">
        <v>0</v>
      </c>
      <c r="AN58" s="40">
        <v>96420446</v>
      </c>
      <c r="AO58" s="40">
        <v>1184475</v>
      </c>
      <c r="AP58" s="40">
        <v>93312945</v>
      </c>
      <c r="AQ58" s="40">
        <v>92837853</v>
      </c>
      <c r="AR58" s="40">
        <v>76959256</v>
      </c>
      <c r="AS58" s="40">
        <v>47648648</v>
      </c>
      <c r="AT58" s="40">
        <v>1814274</v>
      </c>
      <c r="AU58" s="40">
        <v>0</v>
      </c>
      <c r="AV58" s="40">
        <v>0</v>
      </c>
      <c r="AW58" s="40">
        <v>45340</v>
      </c>
      <c r="AX58" s="40">
        <v>17145</v>
      </c>
      <c r="AY58" s="40">
        <v>20844916</v>
      </c>
      <c r="AZ58" s="1">
        <v>23467744.379999999</v>
      </c>
      <c r="BA58" s="1">
        <v>11968550</v>
      </c>
      <c r="BB58" s="1"/>
      <c r="BC58" s="15">
        <v>1451516</v>
      </c>
      <c r="BD58" s="15">
        <v>2846109</v>
      </c>
      <c r="BE58" s="20">
        <v>37642924</v>
      </c>
      <c r="BF58" s="20">
        <v>37642924</v>
      </c>
      <c r="BG58" s="20">
        <v>64073010</v>
      </c>
      <c r="BH58" s="20">
        <v>60815000</v>
      </c>
      <c r="BI58" s="20">
        <v>18791046</v>
      </c>
      <c r="BJ58" s="44"/>
      <c r="BK58" s="44"/>
      <c r="BL58" s="5">
        <v>3926565907.3278689</v>
      </c>
      <c r="BM58" s="5">
        <v>3476373091.3278689</v>
      </c>
      <c r="BN58" s="15">
        <v>2016250</v>
      </c>
      <c r="BO58" s="3"/>
      <c r="BP58" s="1"/>
      <c r="BQ58" s="1"/>
      <c r="BR58" s="5"/>
      <c r="BS58" s="5"/>
      <c r="BT58" s="5"/>
    </row>
    <row r="59" spans="1:72" x14ac:dyDescent="0.25">
      <c r="A59" s="6" t="s">
        <v>113</v>
      </c>
      <c r="B59" s="40">
        <v>415575063</v>
      </c>
      <c r="C59" s="40">
        <v>93530290</v>
      </c>
      <c r="D59" s="40">
        <v>180560367</v>
      </c>
      <c r="E59" s="40">
        <v>0</v>
      </c>
      <c r="F59" s="40">
        <v>43976925</v>
      </c>
      <c r="G59" s="40">
        <v>32566800</v>
      </c>
      <c r="H59" s="40">
        <v>14880637</v>
      </c>
      <c r="I59" s="40">
        <v>6807813</v>
      </c>
      <c r="J59" s="40">
        <v>136000</v>
      </c>
      <c r="K59" s="40">
        <v>68000</v>
      </c>
      <c r="L59" s="40">
        <v>97134101</v>
      </c>
      <c r="M59" s="40">
        <v>84890865</v>
      </c>
      <c r="N59" s="40">
        <v>1917</v>
      </c>
      <c r="O59" s="40">
        <v>1388</v>
      </c>
      <c r="P59" s="40">
        <v>804800</v>
      </c>
      <c r="Q59" s="40">
        <v>0</v>
      </c>
      <c r="R59" s="40">
        <v>159000</v>
      </c>
      <c r="S59" s="40">
        <v>3211570</v>
      </c>
      <c r="T59" s="40">
        <v>675325</v>
      </c>
      <c r="U59" s="40">
        <v>1975250</v>
      </c>
      <c r="V59" s="40">
        <v>804800</v>
      </c>
      <c r="W59" s="40">
        <v>0</v>
      </c>
      <c r="X59" s="40">
        <v>159000</v>
      </c>
      <c r="Y59" s="40">
        <v>3211570</v>
      </c>
      <c r="Z59" s="40">
        <v>1491850</v>
      </c>
      <c r="AA59" s="40">
        <v>1975250</v>
      </c>
      <c r="AB59" s="56">
        <v>-4844101</v>
      </c>
      <c r="AC59" s="56">
        <v>-765986</v>
      </c>
      <c r="AD59" s="40">
        <v>127477</v>
      </c>
      <c r="AE59" s="40">
        <v>1</v>
      </c>
      <c r="AF59" s="40">
        <v>0</v>
      </c>
      <c r="AG59" s="40">
        <v>133340</v>
      </c>
      <c r="AH59" s="40">
        <v>924606.55737704923</v>
      </c>
      <c r="AI59" s="40">
        <v>6826315.5737704933</v>
      </c>
      <c r="AJ59" s="46">
        <v>9600952</v>
      </c>
      <c r="AK59" s="1">
        <v>143922482</v>
      </c>
      <c r="AL59" s="1">
        <v>4806272</v>
      </c>
      <c r="AM59" s="40">
        <v>0</v>
      </c>
      <c r="AN59" s="40">
        <v>52575940</v>
      </c>
      <c r="AO59" s="40">
        <v>1503935</v>
      </c>
      <c r="AP59" s="40">
        <v>1799228</v>
      </c>
      <c r="AQ59" s="40">
        <v>29326257</v>
      </c>
      <c r="AR59" s="40">
        <v>7289566</v>
      </c>
      <c r="AS59" s="40">
        <v>139439</v>
      </c>
      <c r="AT59" s="40">
        <v>0</v>
      </c>
      <c r="AU59" s="40">
        <v>0</v>
      </c>
      <c r="AV59" s="40">
        <v>0</v>
      </c>
      <c r="AW59" s="40">
        <v>0</v>
      </c>
      <c r="AX59" s="40">
        <v>22018</v>
      </c>
      <c r="AY59" s="40">
        <v>243000</v>
      </c>
      <c r="AZ59" s="1">
        <v>10843183.710000001</v>
      </c>
      <c r="BA59" s="1">
        <v>5530024</v>
      </c>
      <c r="BB59" s="1"/>
      <c r="BC59" s="15">
        <v>2451770</v>
      </c>
      <c r="BD59" s="15">
        <v>4807393</v>
      </c>
      <c r="BE59" s="20">
        <v>40849012</v>
      </c>
      <c r="BF59" s="20">
        <v>40828823</v>
      </c>
      <c r="BG59" s="20">
        <v>82797933</v>
      </c>
      <c r="BH59" s="20">
        <v>80521549</v>
      </c>
      <c r="BI59" s="44"/>
      <c r="BJ59" s="44"/>
      <c r="BK59" s="44"/>
      <c r="BL59" s="5">
        <v>1068484646.1311476</v>
      </c>
      <c r="BM59" s="5">
        <v>790423726.13114762</v>
      </c>
      <c r="BN59" s="15">
        <v>9373195</v>
      </c>
      <c r="BO59" s="3"/>
      <c r="BP59" s="1"/>
      <c r="BQ59" s="1"/>
      <c r="BR59" s="5"/>
      <c r="BS59" s="5"/>
      <c r="BT59" s="5"/>
    </row>
    <row r="60" spans="1:72" x14ac:dyDescent="0.25">
      <c r="A60" s="6" t="s">
        <v>114</v>
      </c>
      <c r="B60" s="40">
        <v>7336285247</v>
      </c>
      <c r="C60" s="40">
        <v>106341930</v>
      </c>
      <c r="D60" s="40">
        <v>2222842880</v>
      </c>
      <c r="E60" s="40">
        <v>0</v>
      </c>
      <c r="F60" s="40">
        <v>324531100</v>
      </c>
      <c r="G60" s="40">
        <v>32307400</v>
      </c>
      <c r="H60" s="40">
        <v>6358000</v>
      </c>
      <c r="I60" s="40">
        <v>468600</v>
      </c>
      <c r="J60" s="40">
        <v>1122000</v>
      </c>
      <c r="K60" s="40">
        <v>136000</v>
      </c>
      <c r="L60" s="40">
        <v>326712400</v>
      </c>
      <c r="M60" s="40">
        <v>0</v>
      </c>
      <c r="N60" s="40">
        <v>9849</v>
      </c>
      <c r="O60" s="40">
        <v>1004</v>
      </c>
      <c r="P60" s="40">
        <v>52687600</v>
      </c>
      <c r="Q60" s="40">
        <v>1244800</v>
      </c>
      <c r="R60" s="40">
        <v>27385900</v>
      </c>
      <c r="S60" s="40">
        <v>73935958</v>
      </c>
      <c r="T60" s="40">
        <v>1390700</v>
      </c>
      <c r="U60" s="40">
        <v>58161650</v>
      </c>
      <c r="V60" s="40">
        <v>52687600</v>
      </c>
      <c r="W60" s="40">
        <v>1244800</v>
      </c>
      <c r="X60" s="40">
        <v>27385900</v>
      </c>
      <c r="Y60" s="40">
        <v>73935958</v>
      </c>
      <c r="Z60" s="40">
        <v>1390700</v>
      </c>
      <c r="AA60" s="40">
        <v>58161650</v>
      </c>
      <c r="AB60" s="40">
        <v>-14559900</v>
      </c>
      <c r="AC60" s="40">
        <v>-1274542</v>
      </c>
      <c r="AD60" s="3"/>
      <c r="AE60" s="3"/>
      <c r="AF60" s="3"/>
      <c r="AG60" s="3"/>
      <c r="AH60" s="40">
        <v>0</v>
      </c>
      <c r="AI60" s="40">
        <v>0</v>
      </c>
      <c r="AJ60" s="46">
        <v>0</v>
      </c>
      <c r="AK60" s="1">
        <v>913948142</v>
      </c>
      <c r="AL60" s="1">
        <v>17415303</v>
      </c>
      <c r="AM60" s="40">
        <v>0</v>
      </c>
      <c r="AN60" s="40">
        <v>264542799</v>
      </c>
      <c r="AO60" s="40">
        <v>8171080</v>
      </c>
      <c r="AP60" s="40">
        <v>290661589</v>
      </c>
      <c r="AQ60" s="40">
        <v>227320131</v>
      </c>
      <c r="AR60" s="40">
        <v>216836080</v>
      </c>
      <c r="AS60" s="40">
        <v>98361145</v>
      </c>
      <c r="AT60" s="40">
        <v>58298</v>
      </c>
      <c r="AU60" s="40">
        <v>0</v>
      </c>
      <c r="AV60" s="40">
        <v>0</v>
      </c>
      <c r="AW60" s="40">
        <v>19642</v>
      </c>
      <c r="AX60" s="40">
        <v>75219</v>
      </c>
      <c r="AY60" s="40">
        <v>0</v>
      </c>
      <c r="AZ60" s="1">
        <v>68857258.909999996</v>
      </c>
      <c r="BA60" s="1">
        <v>35117202</v>
      </c>
      <c r="BB60" s="1">
        <v>8316062</v>
      </c>
      <c r="BC60" s="15">
        <v>11770187</v>
      </c>
      <c r="BD60" s="15">
        <v>23078799</v>
      </c>
      <c r="BE60" s="20">
        <v>151446169</v>
      </c>
      <c r="BF60" s="20">
        <v>151446169</v>
      </c>
      <c r="BG60" s="20">
        <v>228681854</v>
      </c>
      <c r="BH60" s="20">
        <v>218531724</v>
      </c>
      <c r="BI60" s="44"/>
      <c r="BJ60" s="44"/>
      <c r="BK60" s="44"/>
      <c r="BL60" s="5">
        <v>11513732794</v>
      </c>
      <c r="BM60" s="5">
        <v>10165504067</v>
      </c>
      <c r="BN60" s="15">
        <v>4790700</v>
      </c>
      <c r="BO60" s="3"/>
      <c r="BP60" s="1"/>
      <c r="BQ60" s="1"/>
      <c r="BR60" s="5"/>
      <c r="BS60" s="5"/>
      <c r="BT60" s="5"/>
    </row>
    <row r="61" spans="1:72" x14ac:dyDescent="0.25">
      <c r="A61" s="6" t="s">
        <v>115</v>
      </c>
      <c r="B61" s="40">
        <v>160109703</v>
      </c>
      <c r="C61" s="40">
        <v>49178294</v>
      </c>
      <c r="D61" s="40">
        <v>81445698</v>
      </c>
      <c r="E61" s="40">
        <v>0</v>
      </c>
      <c r="F61" s="40">
        <v>31096366</v>
      </c>
      <c r="G61" s="40">
        <v>24026600</v>
      </c>
      <c r="H61" s="40">
        <v>13848771</v>
      </c>
      <c r="I61" s="40">
        <v>5655550</v>
      </c>
      <c r="J61" s="40">
        <v>136000</v>
      </c>
      <c r="K61" s="40">
        <v>34000</v>
      </c>
      <c r="L61" s="40">
        <v>59670164</v>
      </c>
      <c r="M61" s="40">
        <v>55514074</v>
      </c>
      <c r="N61" s="40">
        <v>1441</v>
      </c>
      <c r="O61" s="40">
        <v>1037</v>
      </c>
      <c r="P61" s="40">
        <v>6203500</v>
      </c>
      <c r="Q61" s="40">
        <v>1348000</v>
      </c>
      <c r="R61" s="40">
        <v>972500</v>
      </c>
      <c r="S61" s="40">
        <v>3945350</v>
      </c>
      <c r="T61" s="40">
        <v>719500</v>
      </c>
      <c r="U61" s="40">
        <v>812500</v>
      </c>
      <c r="V61" s="40">
        <v>6203500</v>
      </c>
      <c r="W61" s="40">
        <v>1517600</v>
      </c>
      <c r="X61" s="40">
        <v>972500</v>
      </c>
      <c r="Y61" s="40">
        <v>3945350</v>
      </c>
      <c r="Z61" s="40">
        <v>933100</v>
      </c>
      <c r="AA61" s="40">
        <v>812500</v>
      </c>
      <c r="AB61" s="40">
        <v>-3377900</v>
      </c>
      <c r="AC61" s="40">
        <v>0</v>
      </c>
      <c r="AD61" s="40">
        <v>185994</v>
      </c>
      <c r="AE61" s="40">
        <v>0</v>
      </c>
      <c r="AF61" s="40">
        <v>0</v>
      </c>
      <c r="AG61" s="40">
        <v>121220</v>
      </c>
      <c r="AH61" s="40">
        <v>6362114.7540983604</v>
      </c>
      <c r="AI61" s="40">
        <v>144582477.04918033</v>
      </c>
      <c r="AJ61" s="46">
        <v>345254221.31147546</v>
      </c>
      <c r="AK61" s="1">
        <v>98800964</v>
      </c>
      <c r="AL61" s="1">
        <v>1684058</v>
      </c>
      <c r="AM61" s="40">
        <v>100525</v>
      </c>
      <c r="AN61" s="40">
        <v>82257479</v>
      </c>
      <c r="AO61" s="40">
        <v>2442341</v>
      </c>
      <c r="AP61" s="40">
        <v>24025102</v>
      </c>
      <c r="AQ61" s="40">
        <v>13146425</v>
      </c>
      <c r="AR61" s="40">
        <v>5509584</v>
      </c>
      <c r="AS61" s="40">
        <v>0</v>
      </c>
      <c r="AT61" s="40">
        <v>8786</v>
      </c>
      <c r="AU61" s="40">
        <v>0</v>
      </c>
      <c r="AV61" s="40">
        <v>0</v>
      </c>
      <c r="AW61" s="40">
        <v>0</v>
      </c>
      <c r="AX61" s="40">
        <v>0</v>
      </c>
      <c r="AY61" s="40">
        <v>0</v>
      </c>
      <c r="AZ61" s="1">
        <v>7443708.5099999998</v>
      </c>
      <c r="BA61" s="1">
        <v>3796291</v>
      </c>
      <c r="BB61" s="1"/>
      <c r="BC61" s="15">
        <v>1097384</v>
      </c>
      <c r="BD61" s="15">
        <v>2151734</v>
      </c>
      <c r="BE61" s="20">
        <v>14001039</v>
      </c>
      <c r="BF61" s="20">
        <v>14001039</v>
      </c>
      <c r="BG61" s="20">
        <v>92580157</v>
      </c>
      <c r="BH61" s="20">
        <v>91711563</v>
      </c>
      <c r="BI61" s="44"/>
      <c r="BJ61" s="44"/>
      <c r="BK61" s="44"/>
      <c r="BL61" s="5">
        <v>1095870052.1147542</v>
      </c>
      <c r="BM61" s="5">
        <v>884778753.1147542</v>
      </c>
      <c r="BN61" s="15">
        <v>2290650</v>
      </c>
      <c r="BO61" s="3"/>
      <c r="BP61" s="1"/>
      <c r="BQ61" s="1"/>
      <c r="BR61" s="5"/>
      <c r="BS61" s="5"/>
      <c r="BT61" s="5"/>
    </row>
    <row r="62" spans="1:72" x14ac:dyDescent="0.25">
      <c r="A62" s="6" t="s">
        <v>116</v>
      </c>
      <c r="B62" s="40">
        <v>505033448</v>
      </c>
      <c r="C62" s="40">
        <v>91769015</v>
      </c>
      <c r="D62" s="40">
        <v>228324805</v>
      </c>
      <c r="E62" s="56">
        <v>0</v>
      </c>
      <c r="F62" s="40">
        <v>66086352</v>
      </c>
      <c r="G62" s="40">
        <v>31010340</v>
      </c>
      <c r="H62" s="40">
        <v>15620263</v>
      </c>
      <c r="I62" s="40">
        <v>4162039</v>
      </c>
      <c r="J62" s="40">
        <v>306000</v>
      </c>
      <c r="K62" s="40">
        <v>68000</v>
      </c>
      <c r="L62" s="40">
        <v>149327392</v>
      </c>
      <c r="M62" s="3"/>
      <c r="N62" s="40">
        <v>2793</v>
      </c>
      <c r="O62" s="40">
        <v>1381</v>
      </c>
      <c r="P62" s="40">
        <v>5691155</v>
      </c>
      <c r="Q62" s="40">
        <v>1733530</v>
      </c>
      <c r="R62" s="40">
        <v>625000</v>
      </c>
      <c r="S62" s="40">
        <v>3567196</v>
      </c>
      <c r="T62" s="40">
        <v>700042</v>
      </c>
      <c r="U62" s="40">
        <v>426435</v>
      </c>
      <c r="V62" s="40">
        <v>5691155</v>
      </c>
      <c r="W62" s="40">
        <v>1798170</v>
      </c>
      <c r="X62" s="40">
        <v>625000</v>
      </c>
      <c r="Y62" s="40">
        <v>3567196</v>
      </c>
      <c r="Z62" s="40">
        <v>802500</v>
      </c>
      <c r="AA62" s="40">
        <v>426435</v>
      </c>
      <c r="AB62" s="40">
        <v>-4315028</v>
      </c>
      <c r="AC62" s="40">
        <v>-4000</v>
      </c>
      <c r="AD62" s="3"/>
      <c r="AE62" s="3"/>
      <c r="AF62" s="3"/>
      <c r="AG62" s="3"/>
      <c r="AH62" s="40">
        <v>10840286.885245902</v>
      </c>
      <c r="AI62" s="40">
        <v>32676801.639344268</v>
      </c>
      <c r="AJ62" s="46">
        <v>6572133</v>
      </c>
      <c r="AK62" s="1">
        <v>145625005</v>
      </c>
      <c r="AL62" s="1">
        <v>3205467</v>
      </c>
      <c r="AM62" s="40">
        <v>0</v>
      </c>
      <c r="AN62" s="40">
        <v>40196741</v>
      </c>
      <c r="AO62" s="40">
        <v>632075</v>
      </c>
      <c r="AP62" s="40">
        <v>26097100</v>
      </c>
      <c r="AQ62" s="40">
        <v>31330845</v>
      </c>
      <c r="AR62" s="40">
        <v>35010291</v>
      </c>
      <c r="AS62" s="40">
        <v>7000606</v>
      </c>
      <c r="AT62" s="40">
        <v>367177</v>
      </c>
      <c r="AU62" s="40">
        <v>0</v>
      </c>
      <c r="AV62" s="40">
        <v>0</v>
      </c>
      <c r="AW62" s="40">
        <v>0</v>
      </c>
      <c r="AX62" s="40">
        <v>0</v>
      </c>
      <c r="AY62" s="40">
        <v>0</v>
      </c>
      <c r="AZ62" s="1">
        <v>10971452.550000001</v>
      </c>
      <c r="BA62" s="1">
        <v>5595441</v>
      </c>
      <c r="BB62" s="1"/>
      <c r="BC62" s="15">
        <v>2726267</v>
      </c>
      <c r="BD62" s="15">
        <v>5345622</v>
      </c>
      <c r="BE62" s="20">
        <v>19463567</v>
      </c>
      <c r="BF62" s="20">
        <v>19463567</v>
      </c>
      <c r="BG62" s="20">
        <v>51660699</v>
      </c>
      <c r="BH62" s="20">
        <v>48172484</v>
      </c>
      <c r="BI62" s="44"/>
      <c r="BJ62" s="44"/>
      <c r="BK62" s="44"/>
      <c r="BL62" s="5">
        <v>1172164381.52459</v>
      </c>
      <c r="BM62" s="5">
        <v>947376150.52459013</v>
      </c>
      <c r="BN62" s="15">
        <v>198400</v>
      </c>
      <c r="BO62" s="3"/>
      <c r="BP62" s="1"/>
      <c r="BQ62" s="1"/>
      <c r="BR62" s="5"/>
      <c r="BS62" s="5"/>
      <c r="BT62" s="5"/>
    </row>
    <row r="63" spans="1:72" x14ac:dyDescent="0.25">
      <c r="A63" s="6" t="s">
        <v>117</v>
      </c>
      <c r="B63" s="40">
        <v>319915816</v>
      </c>
      <c r="C63" s="40">
        <v>142448270</v>
      </c>
      <c r="D63" s="40">
        <v>59964586</v>
      </c>
      <c r="E63" s="40">
        <v>0</v>
      </c>
      <c r="F63" s="40">
        <v>31372300</v>
      </c>
      <c r="G63" s="40">
        <v>7752700</v>
      </c>
      <c r="H63" s="40">
        <v>12706790</v>
      </c>
      <c r="I63" s="40">
        <v>1402600</v>
      </c>
      <c r="J63" s="40">
        <v>102000</v>
      </c>
      <c r="K63" s="40">
        <v>0</v>
      </c>
      <c r="L63" s="40">
        <v>220858922</v>
      </c>
      <c r="M63" s="40">
        <v>103055536</v>
      </c>
      <c r="N63" s="40">
        <v>1335</v>
      </c>
      <c r="O63" s="40">
        <v>286</v>
      </c>
      <c r="P63" s="40">
        <v>6180486</v>
      </c>
      <c r="Q63" s="40">
        <v>3448257</v>
      </c>
      <c r="R63" s="40">
        <v>345000</v>
      </c>
      <c r="S63" s="40">
        <v>3181036</v>
      </c>
      <c r="T63" s="40">
        <v>2078554</v>
      </c>
      <c r="U63" s="40">
        <v>2812000</v>
      </c>
      <c r="V63" s="40">
        <v>6180486</v>
      </c>
      <c r="W63" s="40">
        <v>6992447</v>
      </c>
      <c r="X63" s="40">
        <v>345000</v>
      </c>
      <c r="Y63" s="40">
        <v>3181036</v>
      </c>
      <c r="Z63" s="40">
        <v>2929561</v>
      </c>
      <c r="AA63" s="40">
        <v>2812000</v>
      </c>
      <c r="AB63" s="40">
        <v>-1422175</v>
      </c>
      <c r="AC63" s="40">
        <v>0</v>
      </c>
      <c r="AD63" s="40">
        <v>50711</v>
      </c>
      <c r="AE63" s="40">
        <v>0</v>
      </c>
      <c r="AF63" s="40">
        <v>0</v>
      </c>
      <c r="AG63" s="40">
        <v>151270</v>
      </c>
      <c r="AH63" s="40">
        <v>0</v>
      </c>
      <c r="AI63" s="40">
        <v>0</v>
      </c>
      <c r="AJ63" s="46">
        <v>0</v>
      </c>
      <c r="AK63" s="1">
        <v>79510778</v>
      </c>
      <c r="AL63" s="1">
        <v>2121097</v>
      </c>
      <c r="AM63" s="40">
        <v>0</v>
      </c>
      <c r="AN63" s="40">
        <v>9366156</v>
      </c>
      <c r="AO63" s="40">
        <v>176267</v>
      </c>
      <c r="AP63" s="40">
        <v>11172031</v>
      </c>
      <c r="AQ63" s="40">
        <v>13972202</v>
      </c>
      <c r="AR63" s="40">
        <v>9041851</v>
      </c>
      <c r="AS63" s="40">
        <v>0</v>
      </c>
      <c r="AT63" s="40">
        <v>729092</v>
      </c>
      <c r="AU63" s="40">
        <v>0</v>
      </c>
      <c r="AV63" s="40">
        <v>35634</v>
      </c>
      <c r="AW63" s="40">
        <v>0</v>
      </c>
      <c r="AX63" s="40">
        <v>10199</v>
      </c>
      <c r="AY63" s="40">
        <v>22900</v>
      </c>
      <c r="AZ63" s="1">
        <v>5990377.3300000001</v>
      </c>
      <c r="BA63" s="1">
        <v>3055092</v>
      </c>
      <c r="BB63" s="1"/>
      <c r="BC63" s="15">
        <v>73601</v>
      </c>
      <c r="BD63" s="15">
        <v>144316</v>
      </c>
      <c r="BE63" s="20">
        <v>7803484</v>
      </c>
      <c r="BF63" s="20">
        <v>7803484</v>
      </c>
      <c r="BG63" s="20">
        <v>33486192</v>
      </c>
      <c r="BH63" s="20">
        <v>33280749</v>
      </c>
      <c r="BI63" s="44"/>
      <c r="BJ63" s="44"/>
      <c r="BK63" s="44"/>
      <c r="BL63" s="5">
        <v>671688098</v>
      </c>
      <c r="BM63" s="5">
        <v>545843297</v>
      </c>
      <c r="BN63" s="15">
        <v>1120088</v>
      </c>
      <c r="BO63" s="3"/>
      <c r="BP63" s="1"/>
      <c r="BQ63" s="1"/>
      <c r="BR63" s="5"/>
      <c r="BS63" s="5"/>
      <c r="BT63" s="5"/>
    </row>
    <row r="64" spans="1:72" x14ac:dyDescent="0.25">
      <c r="A64" s="6" t="s">
        <v>118</v>
      </c>
      <c r="B64" s="40">
        <v>1363940619</v>
      </c>
      <c r="C64" s="40">
        <v>190840244</v>
      </c>
      <c r="D64" s="40">
        <v>674918667</v>
      </c>
      <c r="E64" s="40">
        <v>24577399</v>
      </c>
      <c r="F64" s="40">
        <v>121402049</v>
      </c>
      <c r="G64" s="40">
        <v>49441540</v>
      </c>
      <c r="H64" s="40">
        <v>26212800</v>
      </c>
      <c r="I64" s="40">
        <v>4669776</v>
      </c>
      <c r="J64" s="40">
        <v>306000</v>
      </c>
      <c r="K64" s="40">
        <v>68000</v>
      </c>
      <c r="L64" s="40">
        <v>401017780</v>
      </c>
      <c r="M64" s="40">
        <v>171646100</v>
      </c>
      <c r="N64" s="40">
        <v>4595</v>
      </c>
      <c r="O64" s="40">
        <v>1818</v>
      </c>
      <c r="P64" s="40">
        <v>2238600</v>
      </c>
      <c r="Q64" s="40">
        <v>3287300</v>
      </c>
      <c r="R64" s="40">
        <v>860000</v>
      </c>
      <c r="S64" s="40">
        <v>7589100</v>
      </c>
      <c r="T64" s="40">
        <v>839400</v>
      </c>
      <c r="U64" s="40">
        <v>2761400</v>
      </c>
      <c r="V64" s="40">
        <v>2238600</v>
      </c>
      <c r="W64" s="40">
        <v>3767700</v>
      </c>
      <c r="X64" s="40">
        <v>860000</v>
      </c>
      <c r="Y64" s="40">
        <v>7589100</v>
      </c>
      <c r="Z64" s="40">
        <v>2051800</v>
      </c>
      <c r="AA64" s="40">
        <v>2761400</v>
      </c>
      <c r="AB64" s="40">
        <v>-7563400</v>
      </c>
      <c r="AC64" s="40">
        <v>509382</v>
      </c>
      <c r="AD64" s="40">
        <v>83902</v>
      </c>
      <c r="AE64" s="40">
        <v>0</v>
      </c>
      <c r="AF64" s="40">
        <v>0</v>
      </c>
      <c r="AG64" s="40">
        <v>287361</v>
      </c>
      <c r="AH64" s="40">
        <v>0</v>
      </c>
      <c r="AI64" s="40">
        <v>105329.50819672132</v>
      </c>
      <c r="AJ64" s="46">
        <v>21483.60655737705</v>
      </c>
      <c r="AK64" s="1">
        <v>351236713</v>
      </c>
      <c r="AL64" s="1">
        <v>16339468</v>
      </c>
      <c r="AM64" s="40">
        <v>1249852</v>
      </c>
      <c r="AN64" s="40">
        <v>148981507</v>
      </c>
      <c r="AO64" s="40">
        <v>23979296</v>
      </c>
      <c r="AP64" s="40">
        <v>131572125</v>
      </c>
      <c r="AQ64" s="40">
        <v>126851985</v>
      </c>
      <c r="AR64" s="40">
        <v>60071496</v>
      </c>
      <c r="AS64" s="40">
        <v>36233473</v>
      </c>
      <c r="AT64" s="40">
        <v>3822971</v>
      </c>
      <c r="AU64" s="40">
        <v>0</v>
      </c>
      <c r="AV64" s="40">
        <v>39462</v>
      </c>
      <c r="AW64" s="40">
        <v>12412599</v>
      </c>
      <c r="AX64" s="40">
        <v>1096752</v>
      </c>
      <c r="AY64" s="40">
        <v>1410250</v>
      </c>
      <c r="AZ64" s="1">
        <v>26462329.940000001</v>
      </c>
      <c r="BA64" s="1">
        <v>13495788</v>
      </c>
      <c r="BB64" s="1"/>
      <c r="BC64" s="15">
        <v>2271990</v>
      </c>
      <c r="BD64" s="15">
        <v>4454882</v>
      </c>
      <c r="BE64" s="20">
        <v>23788513</v>
      </c>
      <c r="BF64" s="20">
        <v>23788513</v>
      </c>
      <c r="BG64" s="20">
        <v>104542772</v>
      </c>
      <c r="BH64" s="20">
        <v>97890086</v>
      </c>
      <c r="BI64" s="44"/>
      <c r="BJ64" s="44"/>
      <c r="BK64" s="44"/>
      <c r="BL64" s="5">
        <v>3034661689.1147542</v>
      </c>
      <c r="BM64" s="5">
        <v>2529639131.1147542</v>
      </c>
      <c r="BN64" s="15">
        <v>2375600</v>
      </c>
      <c r="BO64" s="3"/>
      <c r="BP64" s="1"/>
      <c r="BQ64" s="1"/>
      <c r="BR64" s="5"/>
      <c r="BS64" s="5"/>
      <c r="BT64" s="5"/>
    </row>
    <row r="65" spans="1:72" x14ac:dyDescent="0.25">
      <c r="A65" s="6" t="s">
        <v>119</v>
      </c>
      <c r="B65" s="40">
        <v>232760431</v>
      </c>
      <c r="C65" s="40">
        <v>98091608</v>
      </c>
      <c r="D65" s="40">
        <v>93071264</v>
      </c>
      <c r="E65" s="40">
        <v>0</v>
      </c>
      <c r="F65" s="40">
        <v>26713175</v>
      </c>
      <c r="G65" s="40">
        <v>14176790</v>
      </c>
      <c r="H65" s="40">
        <v>14790070</v>
      </c>
      <c r="I65" s="40">
        <v>5189051</v>
      </c>
      <c r="J65" s="40">
        <v>374000</v>
      </c>
      <c r="K65" s="40">
        <v>0</v>
      </c>
      <c r="L65" s="40">
        <v>115716566</v>
      </c>
      <c r="M65" s="40">
        <v>76252200</v>
      </c>
      <c r="N65" s="40">
        <v>1413</v>
      </c>
      <c r="O65" s="40">
        <v>691</v>
      </c>
      <c r="P65" s="40">
        <v>5100250</v>
      </c>
      <c r="Q65" s="40">
        <v>856000</v>
      </c>
      <c r="R65" s="40">
        <v>1753590</v>
      </c>
      <c r="S65" s="40">
        <v>713652</v>
      </c>
      <c r="T65" s="40">
        <v>412000</v>
      </c>
      <c r="U65" s="40">
        <v>119000</v>
      </c>
      <c r="V65" s="40">
        <v>5100250</v>
      </c>
      <c r="W65" s="40">
        <v>856000</v>
      </c>
      <c r="X65" s="40">
        <v>1753590</v>
      </c>
      <c r="Y65" s="40">
        <v>713652</v>
      </c>
      <c r="Z65" s="40">
        <v>434500</v>
      </c>
      <c r="AA65" s="40">
        <v>119000</v>
      </c>
      <c r="AB65" s="40">
        <v>-6393320</v>
      </c>
      <c r="AC65" s="40">
        <v>-5367</v>
      </c>
      <c r="AD65" s="40">
        <v>189723</v>
      </c>
      <c r="AE65" s="40">
        <v>0</v>
      </c>
      <c r="AF65" s="40">
        <v>0</v>
      </c>
      <c r="AG65" s="40">
        <v>222386</v>
      </c>
      <c r="AH65" s="40">
        <v>4720213.1147540985</v>
      </c>
      <c r="AI65" s="40">
        <v>8895939.3442622963</v>
      </c>
      <c r="AJ65" s="46">
        <v>4472172.1311475411</v>
      </c>
      <c r="AK65" s="1">
        <v>88210599</v>
      </c>
      <c r="AL65" s="1">
        <v>3906857</v>
      </c>
      <c r="AM65" s="40">
        <v>94000</v>
      </c>
      <c r="AN65" s="40">
        <v>35329366</v>
      </c>
      <c r="AO65" s="40">
        <v>627799</v>
      </c>
      <c r="AP65" s="40">
        <v>4880452</v>
      </c>
      <c r="AQ65" s="40">
        <v>17220440</v>
      </c>
      <c r="AR65" s="40">
        <v>1114017</v>
      </c>
      <c r="AS65" s="40">
        <v>400</v>
      </c>
      <c r="AT65" s="40">
        <v>337237</v>
      </c>
      <c r="AU65" s="3"/>
      <c r="AV65" s="3"/>
      <c r="AW65" s="3"/>
      <c r="AX65" s="3"/>
      <c r="AY65" s="3"/>
      <c r="AZ65" s="1">
        <v>6645825.7000000002</v>
      </c>
      <c r="BA65" s="1">
        <v>3389371</v>
      </c>
      <c r="BB65" s="1"/>
      <c r="BC65" s="15">
        <v>2808315</v>
      </c>
      <c r="BD65" s="15">
        <v>5506500</v>
      </c>
      <c r="BE65" s="20">
        <v>55666602</v>
      </c>
      <c r="BF65" s="20">
        <v>55666602</v>
      </c>
      <c r="BG65" s="20">
        <v>107665266</v>
      </c>
      <c r="BH65" s="20">
        <v>103785915</v>
      </c>
      <c r="BI65" s="44"/>
      <c r="BJ65" s="44"/>
      <c r="BK65" s="44"/>
      <c r="BL65" s="5">
        <v>752956891.59016395</v>
      </c>
      <c r="BM65" s="5">
        <v>495189232.59016395</v>
      </c>
      <c r="BN65" s="15">
        <v>531000</v>
      </c>
      <c r="BO65" s="3"/>
      <c r="BP65" s="1"/>
      <c r="BQ65" s="1"/>
      <c r="BR65" s="5"/>
      <c r="BS65" s="5"/>
      <c r="BT65" s="5"/>
    </row>
    <row r="66" spans="1:72" x14ac:dyDescent="0.25">
      <c r="A66" s="6" t="s">
        <v>120</v>
      </c>
      <c r="B66" s="40">
        <v>83250772</v>
      </c>
      <c r="C66" s="40">
        <v>41172438</v>
      </c>
      <c r="D66" s="40">
        <v>51778866</v>
      </c>
      <c r="E66" s="40">
        <v>0</v>
      </c>
      <c r="F66" s="40">
        <v>12279500</v>
      </c>
      <c r="G66" s="40">
        <v>9610650</v>
      </c>
      <c r="H66" s="40">
        <v>5876425</v>
      </c>
      <c r="I66" s="40">
        <v>2632800</v>
      </c>
      <c r="J66" s="40">
        <v>0</v>
      </c>
      <c r="K66" s="40">
        <v>0</v>
      </c>
      <c r="L66" s="40">
        <v>56631706</v>
      </c>
      <c r="M66" s="40">
        <v>29500909</v>
      </c>
      <c r="N66" s="40">
        <v>626</v>
      </c>
      <c r="O66" s="40">
        <v>497</v>
      </c>
      <c r="P66" s="40">
        <v>1316025</v>
      </c>
      <c r="Q66" s="40">
        <v>99800</v>
      </c>
      <c r="R66" s="40">
        <v>130400</v>
      </c>
      <c r="S66" s="40">
        <v>1375690</v>
      </c>
      <c r="T66" s="40">
        <v>255250</v>
      </c>
      <c r="U66" s="40">
        <v>56850</v>
      </c>
      <c r="V66" s="40">
        <v>1316025</v>
      </c>
      <c r="W66" s="40">
        <v>161200</v>
      </c>
      <c r="X66" s="40">
        <v>130400</v>
      </c>
      <c r="Y66" s="40">
        <v>1375690</v>
      </c>
      <c r="Z66" s="40">
        <v>215500</v>
      </c>
      <c r="AA66" s="40">
        <v>56850</v>
      </c>
      <c r="AB66" s="40">
        <v>-1758739</v>
      </c>
      <c r="AC66" s="40">
        <v>-3835</v>
      </c>
      <c r="AD66" s="40">
        <v>92091</v>
      </c>
      <c r="AE66" s="40">
        <v>0</v>
      </c>
      <c r="AF66" s="40">
        <v>0</v>
      </c>
      <c r="AG66" s="40">
        <v>107376</v>
      </c>
      <c r="AH66" s="40">
        <v>28857237.704918034</v>
      </c>
      <c r="AI66" s="40">
        <v>0</v>
      </c>
      <c r="AJ66" s="46">
        <v>0</v>
      </c>
      <c r="AK66" s="1">
        <v>32827027</v>
      </c>
      <c r="AL66" s="1">
        <v>720732</v>
      </c>
      <c r="AM66" s="40">
        <v>0</v>
      </c>
      <c r="AN66" s="40">
        <v>6825802</v>
      </c>
      <c r="AO66" s="40">
        <v>37860</v>
      </c>
      <c r="AP66" s="40">
        <v>253675</v>
      </c>
      <c r="AQ66" s="40">
        <v>5948805</v>
      </c>
      <c r="AR66" s="40">
        <v>399694</v>
      </c>
      <c r="AS66" s="40">
        <v>5500</v>
      </c>
      <c r="AT66" s="40">
        <v>38597</v>
      </c>
      <c r="AU66" s="40">
        <v>0</v>
      </c>
      <c r="AV66" s="40">
        <v>0</v>
      </c>
      <c r="AW66" s="40">
        <v>0</v>
      </c>
      <c r="AX66" s="40">
        <v>0</v>
      </c>
      <c r="AY66" s="40">
        <v>40000</v>
      </c>
      <c r="AZ66" s="1">
        <v>2473202.79</v>
      </c>
      <c r="BA66" s="1">
        <v>1261333</v>
      </c>
      <c r="BB66" s="1"/>
      <c r="BC66" s="15">
        <v>2016798</v>
      </c>
      <c r="BD66" s="15">
        <v>3954507</v>
      </c>
      <c r="BE66" s="20">
        <v>7151196</v>
      </c>
      <c r="BF66" s="20">
        <v>7151196</v>
      </c>
      <c r="BG66" s="20">
        <v>29523086</v>
      </c>
      <c r="BH66" s="20">
        <v>23245752</v>
      </c>
      <c r="BI66" s="44"/>
      <c r="BJ66" s="44"/>
      <c r="BK66" s="44"/>
      <c r="BL66" s="5">
        <v>285094618.70491803</v>
      </c>
      <c r="BM66" s="5">
        <v>217871780.70491803</v>
      </c>
      <c r="BN66" s="15">
        <v>160000</v>
      </c>
      <c r="BO66" s="3"/>
      <c r="BP66" s="1"/>
      <c r="BQ66" s="1"/>
      <c r="BR66" s="5"/>
      <c r="BS66" s="5"/>
      <c r="BT66" s="5"/>
    </row>
    <row r="67" spans="1:72" x14ac:dyDescent="0.25">
      <c r="A67" s="6" t="s">
        <v>121</v>
      </c>
      <c r="B67" s="40">
        <v>111959255</v>
      </c>
      <c r="C67" s="40">
        <v>54489411</v>
      </c>
      <c r="D67" s="40">
        <v>29999390</v>
      </c>
      <c r="E67" s="40">
        <v>0</v>
      </c>
      <c r="F67" s="40">
        <v>21721940</v>
      </c>
      <c r="G67" s="40">
        <v>23171682</v>
      </c>
      <c r="H67" s="40">
        <v>7564900</v>
      </c>
      <c r="I67" s="40">
        <v>3456678</v>
      </c>
      <c r="J67" s="40">
        <v>99500</v>
      </c>
      <c r="K67" s="40">
        <v>34000</v>
      </c>
      <c r="L67" s="40">
        <v>42760528</v>
      </c>
      <c r="M67" s="40">
        <v>29584824</v>
      </c>
      <c r="N67" s="40">
        <v>1039</v>
      </c>
      <c r="O67" s="40">
        <v>1033</v>
      </c>
      <c r="P67" s="40">
        <v>1596300</v>
      </c>
      <c r="Q67" s="40">
        <v>399300</v>
      </c>
      <c r="R67" s="40">
        <v>0</v>
      </c>
      <c r="S67" s="40">
        <v>1671150</v>
      </c>
      <c r="T67" s="40">
        <v>263480</v>
      </c>
      <c r="U67" s="40">
        <v>425260</v>
      </c>
      <c r="V67" s="40">
        <v>1596300</v>
      </c>
      <c r="W67" s="40">
        <v>526300</v>
      </c>
      <c r="X67" s="40">
        <v>0</v>
      </c>
      <c r="Y67" s="40">
        <v>1671150</v>
      </c>
      <c r="Z67" s="40">
        <v>238350</v>
      </c>
      <c r="AA67" s="40">
        <v>425260</v>
      </c>
      <c r="AB67" s="40">
        <v>-2159310</v>
      </c>
      <c r="AC67" s="40">
        <v>-572</v>
      </c>
      <c r="AD67" s="40">
        <v>178023</v>
      </c>
      <c r="AE67" s="40">
        <v>0</v>
      </c>
      <c r="AF67" s="40">
        <v>0</v>
      </c>
      <c r="AG67" s="40">
        <v>188316</v>
      </c>
      <c r="AH67" s="40">
        <v>22291090.163934428</v>
      </c>
      <c r="AI67" s="40">
        <v>37037338.524590164</v>
      </c>
      <c r="AJ67" s="46">
        <v>224776473</v>
      </c>
      <c r="AK67" s="1">
        <v>68142663</v>
      </c>
      <c r="AL67" s="1">
        <v>2556777</v>
      </c>
      <c r="AM67" s="40">
        <v>0</v>
      </c>
      <c r="AN67" s="40">
        <v>96447634</v>
      </c>
      <c r="AO67" s="40">
        <v>6725459</v>
      </c>
      <c r="AP67" s="40">
        <v>19227303</v>
      </c>
      <c r="AQ67" s="40">
        <v>2805241</v>
      </c>
      <c r="AR67" s="40">
        <v>3450097</v>
      </c>
      <c r="AS67" s="40">
        <v>0</v>
      </c>
      <c r="AT67" s="40">
        <v>0</v>
      </c>
      <c r="AU67" s="40">
        <v>0</v>
      </c>
      <c r="AV67" s="40">
        <v>0</v>
      </c>
      <c r="AW67" s="40">
        <v>0</v>
      </c>
      <c r="AX67" s="40">
        <v>1121897</v>
      </c>
      <c r="AY67" s="40">
        <v>0</v>
      </c>
      <c r="AZ67" s="1">
        <v>5133898.49</v>
      </c>
      <c r="BA67" s="1">
        <v>2618288</v>
      </c>
      <c r="BB67" s="1"/>
      <c r="BC67" s="15">
        <v>0</v>
      </c>
      <c r="BD67" s="15">
        <v>0</v>
      </c>
      <c r="BE67" s="20">
        <v>1097570</v>
      </c>
      <c r="BF67" s="20">
        <v>1097570</v>
      </c>
      <c r="BG67" s="20">
        <v>37281594</v>
      </c>
      <c r="BH67" s="20">
        <v>37213128</v>
      </c>
      <c r="BI67" s="44"/>
      <c r="BJ67" s="44"/>
      <c r="BK67" s="44"/>
      <c r="BL67" s="5">
        <v>698159717.6885246</v>
      </c>
      <c r="BM67" s="5">
        <v>586531291.6885246</v>
      </c>
      <c r="BN67" s="15">
        <v>542535</v>
      </c>
      <c r="BO67" s="3"/>
      <c r="BP67" s="1"/>
      <c r="BQ67" s="1"/>
      <c r="BR67" s="5"/>
      <c r="BS67" s="5"/>
      <c r="BT67" s="5"/>
    </row>
    <row r="68" spans="1:72" x14ac:dyDescent="0.25">
      <c r="A68" s="6" t="s">
        <v>122</v>
      </c>
      <c r="B68" s="40">
        <v>215987112</v>
      </c>
      <c r="C68" s="40">
        <v>46627186</v>
      </c>
      <c r="D68" s="40">
        <v>116243986</v>
      </c>
      <c r="E68" s="56">
        <v>0</v>
      </c>
      <c r="F68" s="40">
        <v>48451850</v>
      </c>
      <c r="G68" s="40">
        <v>27412969</v>
      </c>
      <c r="H68" s="40">
        <v>13405900</v>
      </c>
      <c r="I68" s="40">
        <v>5019750</v>
      </c>
      <c r="J68" s="40">
        <v>0</v>
      </c>
      <c r="K68" s="40">
        <v>0</v>
      </c>
      <c r="L68" s="40">
        <v>72940614</v>
      </c>
      <c r="M68" s="40">
        <v>56916</v>
      </c>
      <c r="N68" s="40">
        <v>2422</v>
      </c>
      <c r="O68" s="40">
        <v>1316</v>
      </c>
      <c r="P68" s="40">
        <v>2207500</v>
      </c>
      <c r="Q68" s="40">
        <v>324750</v>
      </c>
      <c r="R68" s="40">
        <v>231500</v>
      </c>
      <c r="S68" s="40">
        <v>345700</v>
      </c>
      <c r="T68" s="40">
        <v>20000</v>
      </c>
      <c r="U68" s="40">
        <v>0</v>
      </c>
      <c r="V68" s="40">
        <v>2207500</v>
      </c>
      <c r="W68" s="40">
        <v>450000</v>
      </c>
      <c r="X68" s="40">
        <v>231500</v>
      </c>
      <c r="Y68" s="40">
        <v>345700</v>
      </c>
      <c r="Z68" s="40">
        <v>35000</v>
      </c>
      <c r="AA68" s="40">
        <v>0</v>
      </c>
      <c r="AB68" s="40">
        <v>-3411200</v>
      </c>
      <c r="AC68" s="40">
        <v>0</v>
      </c>
      <c r="AD68" s="40">
        <v>0</v>
      </c>
      <c r="AE68" s="40">
        <v>0</v>
      </c>
      <c r="AF68" s="40">
        <v>0</v>
      </c>
      <c r="AG68" s="40">
        <v>0</v>
      </c>
      <c r="AH68" s="40">
        <v>19319836.065573771</v>
      </c>
      <c r="AI68" s="40">
        <v>172652319.67213118</v>
      </c>
      <c r="AJ68" s="46">
        <v>203037244</v>
      </c>
      <c r="AK68" s="1">
        <v>146315398</v>
      </c>
      <c r="AL68" s="1">
        <v>3392738</v>
      </c>
      <c r="AM68" s="40">
        <v>0</v>
      </c>
      <c r="AN68" s="40">
        <v>147684414</v>
      </c>
      <c r="AO68" s="40">
        <v>5425964</v>
      </c>
      <c r="AP68" s="40">
        <v>32753466</v>
      </c>
      <c r="AQ68" s="40">
        <v>22721646</v>
      </c>
      <c r="AR68" s="40">
        <v>1716810</v>
      </c>
      <c r="AS68" s="40">
        <v>6941</v>
      </c>
      <c r="AT68" s="40">
        <v>39416</v>
      </c>
      <c r="AU68" s="40">
        <v>0</v>
      </c>
      <c r="AV68" s="40">
        <v>0</v>
      </c>
      <c r="AW68" s="40">
        <v>0</v>
      </c>
      <c r="AX68" s="40">
        <v>0</v>
      </c>
      <c r="AY68" s="40">
        <v>0</v>
      </c>
      <c r="AZ68" s="1">
        <v>11023467.060000001</v>
      </c>
      <c r="BA68" s="1">
        <v>5621968</v>
      </c>
      <c r="BB68" s="1"/>
      <c r="BC68" s="15">
        <v>2463233</v>
      </c>
      <c r="BD68" s="15">
        <v>4829868</v>
      </c>
      <c r="BE68" s="20">
        <v>16004824</v>
      </c>
      <c r="BF68" s="20">
        <v>16004824</v>
      </c>
      <c r="BG68" s="20">
        <v>84092868</v>
      </c>
      <c r="BH68" s="20">
        <v>80785032</v>
      </c>
      <c r="BI68" s="44"/>
      <c r="BJ68" s="44"/>
      <c r="BK68" s="44"/>
      <c r="BL68" s="5">
        <v>1204282900.737705</v>
      </c>
      <c r="BM68" s="5">
        <v>949699707.73770499</v>
      </c>
      <c r="BN68" s="15">
        <v>151750</v>
      </c>
      <c r="BO68" s="3"/>
      <c r="BP68" s="1"/>
      <c r="BQ68" s="1"/>
      <c r="BR68" s="5"/>
      <c r="BS68" s="5"/>
      <c r="BT68" s="5"/>
    </row>
    <row r="69" spans="1:72" x14ac:dyDescent="0.25">
      <c r="A69" s="6" t="s">
        <v>123</v>
      </c>
      <c r="B69" s="40">
        <v>178740129</v>
      </c>
      <c r="C69" s="40">
        <v>105272115</v>
      </c>
      <c r="D69" s="40">
        <v>33248800</v>
      </c>
      <c r="E69" s="40">
        <v>0</v>
      </c>
      <c r="F69" s="40">
        <v>25778600</v>
      </c>
      <c r="G69" s="40">
        <v>10006900</v>
      </c>
      <c r="H69" s="40">
        <v>10100500</v>
      </c>
      <c r="I69" s="40">
        <v>1664600</v>
      </c>
      <c r="J69" s="40">
        <v>63400</v>
      </c>
      <c r="K69" s="40">
        <v>0</v>
      </c>
      <c r="L69" s="40">
        <v>121168480</v>
      </c>
      <c r="M69" s="40">
        <v>31590395</v>
      </c>
      <c r="N69" s="40">
        <v>1228</v>
      </c>
      <c r="O69" s="40">
        <v>426</v>
      </c>
      <c r="P69" s="40">
        <v>4348600</v>
      </c>
      <c r="Q69" s="40">
        <v>1057300</v>
      </c>
      <c r="R69" s="40">
        <v>87000</v>
      </c>
      <c r="S69" s="40">
        <v>2278000</v>
      </c>
      <c r="T69" s="40">
        <v>973800</v>
      </c>
      <c r="U69" s="40">
        <v>215200</v>
      </c>
      <c r="V69" s="40">
        <v>4348600</v>
      </c>
      <c r="W69" s="40">
        <v>1452300</v>
      </c>
      <c r="X69" s="40">
        <v>87000</v>
      </c>
      <c r="Y69" s="40">
        <v>2278000</v>
      </c>
      <c r="Z69" s="40">
        <v>1487300</v>
      </c>
      <c r="AA69" s="40">
        <v>215200</v>
      </c>
      <c r="AB69" s="40">
        <v>-3067550</v>
      </c>
      <c r="AC69" s="40">
        <v>0</v>
      </c>
      <c r="AD69" s="40">
        <v>186134</v>
      </c>
      <c r="AE69" s="40">
        <v>0</v>
      </c>
      <c r="AF69" s="40">
        <v>0</v>
      </c>
      <c r="AG69" s="40">
        <v>289393</v>
      </c>
      <c r="AH69" s="40">
        <v>0</v>
      </c>
      <c r="AI69" s="40">
        <v>79549.18032786886</v>
      </c>
      <c r="AJ69" s="46">
        <v>2663.9344262295085</v>
      </c>
      <c r="AK69" s="1">
        <v>67213689</v>
      </c>
      <c r="AL69" s="1">
        <v>1099976</v>
      </c>
      <c r="AM69" s="40">
        <v>0</v>
      </c>
      <c r="AN69" s="40">
        <v>7138499</v>
      </c>
      <c r="AO69" s="40">
        <v>295610</v>
      </c>
      <c r="AP69" s="40">
        <v>16407478</v>
      </c>
      <c r="AQ69" s="40">
        <v>6411869</v>
      </c>
      <c r="AR69" s="40">
        <v>3043574</v>
      </c>
      <c r="AS69" s="40">
        <v>431896</v>
      </c>
      <c r="AT69" s="40">
        <v>14716</v>
      </c>
      <c r="AU69" s="40">
        <v>0</v>
      </c>
      <c r="AV69" s="40">
        <v>0</v>
      </c>
      <c r="AW69" s="40">
        <v>0</v>
      </c>
      <c r="AX69" s="40">
        <v>0</v>
      </c>
      <c r="AY69" s="40">
        <v>48000</v>
      </c>
      <c r="AZ69" s="1">
        <v>5063909.18</v>
      </c>
      <c r="BA69" s="1">
        <v>2582594</v>
      </c>
      <c r="BB69" s="1">
        <v>34196891</v>
      </c>
      <c r="BC69" s="15">
        <v>2507876</v>
      </c>
      <c r="BD69" s="15">
        <v>4917405</v>
      </c>
      <c r="BE69" s="20">
        <v>37805694</v>
      </c>
      <c r="BF69" s="20">
        <v>37805694</v>
      </c>
      <c r="BG69" s="20">
        <v>62797147</v>
      </c>
      <c r="BH69" s="20">
        <v>51612571</v>
      </c>
      <c r="BI69" s="44"/>
      <c r="BJ69" s="44"/>
      <c r="BK69" s="44"/>
      <c r="BL69" s="5">
        <v>494011635.11475414</v>
      </c>
      <c r="BM69" s="5">
        <v>331189235.11475414</v>
      </c>
      <c r="BN69" s="15">
        <v>1339000</v>
      </c>
      <c r="BO69" s="3"/>
      <c r="BP69" s="1"/>
      <c r="BQ69" s="1"/>
      <c r="BR69" s="5"/>
      <c r="BS69" s="5"/>
      <c r="BT69" s="5"/>
    </row>
    <row r="70" spans="1:72" x14ac:dyDescent="0.25">
      <c r="A70" s="6" t="s">
        <v>124</v>
      </c>
      <c r="B70" s="40">
        <v>480726412</v>
      </c>
      <c r="C70" s="40">
        <v>166727907</v>
      </c>
      <c r="D70" s="40">
        <v>116198219</v>
      </c>
      <c r="E70" s="40">
        <v>0</v>
      </c>
      <c r="F70" s="40">
        <v>58182946</v>
      </c>
      <c r="G70" s="40">
        <v>16768415</v>
      </c>
      <c r="H70" s="40">
        <v>19423544</v>
      </c>
      <c r="I70" s="40">
        <v>2004150</v>
      </c>
      <c r="J70" s="40">
        <v>374000</v>
      </c>
      <c r="K70" s="40">
        <v>0</v>
      </c>
      <c r="L70" s="40">
        <v>292780446</v>
      </c>
      <c r="M70" s="40">
        <v>107212175</v>
      </c>
      <c r="N70" s="40">
        <v>2516</v>
      </c>
      <c r="O70" s="40">
        <v>686</v>
      </c>
      <c r="P70" s="40">
        <v>4379776</v>
      </c>
      <c r="Q70" s="40">
        <v>2205050</v>
      </c>
      <c r="R70" s="40">
        <v>18216189</v>
      </c>
      <c r="S70" s="40">
        <v>7903008</v>
      </c>
      <c r="T70" s="40">
        <v>2083551</v>
      </c>
      <c r="U70" s="40">
        <v>18751839</v>
      </c>
      <c r="V70" s="40">
        <v>4379776</v>
      </c>
      <c r="W70" s="40">
        <v>2774000</v>
      </c>
      <c r="X70" s="40">
        <v>18216189</v>
      </c>
      <c r="Y70" s="40">
        <v>7903008</v>
      </c>
      <c r="Z70" s="40">
        <v>2374058</v>
      </c>
      <c r="AA70" s="40">
        <v>18751839</v>
      </c>
      <c r="AB70" s="40">
        <v>-3052951</v>
      </c>
      <c r="AC70" s="40">
        <v>-51423</v>
      </c>
      <c r="AD70" s="40">
        <v>59395</v>
      </c>
      <c r="AE70" s="40">
        <v>7</v>
      </c>
      <c r="AF70" s="40">
        <v>0</v>
      </c>
      <c r="AG70" s="40">
        <v>177737</v>
      </c>
      <c r="AH70" s="40">
        <v>68713.114754098366</v>
      </c>
      <c r="AI70" s="40">
        <v>0</v>
      </c>
      <c r="AJ70" s="46">
        <v>0</v>
      </c>
      <c r="AK70" s="1">
        <v>122519953</v>
      </c>
      <c r="AL70" s="1">
        <v>3367791</v>
      </c>
      <c r="AM70" s="40">
        <v>0</v>
      </c>
      <c r="AN70" s="40">
        <v>12484301</v>
      </c>
      <c r="AO70" s="40">
        <v>2689059</v>
      </c>
      <c r="AP70" s="40">
        <v>21567255</v>
      </c>
      <c r="AQ70" s="40">
        <v>17582519</v>
      </c>
      <c r="AR70" s="40">
        <v>11422341</v>
      </c>
      <c r="AS70" s="40">
        <v>0</v>
      </c>
      <c r="AT70" s="40">
        <v>4822481</v>
      </c>
      <c r="AU70" s="40">
        <v>0</v>
      </c>
      <c r="AV70" s="40">
        <v>0</v>
      </c>
      <c r="AW70" s="40">
        <v>15137</v>
      </c>
      <c r="AX70" s="40">
        <v>1103992</v>
      </c>
      <c r="AY70" s="40">
        <v>0</v>
      </c>
      <c r="AZ70" s="1">
        <v>9230707.6699999999</v>
      </c>
      <c r="BA70" s="1">
        <v>4707661</v>
      </c>
      <c r="BB70" s="1"/>
      <c r="BC70" s="15">
        <v>2164604</v>
      </c>
      <c r="BD70" s="15">
        <v>4244322</v>
      </c>
      <c r="BE70" s="20">
        <v>42073379</v>
      </c>
      <c r="BF70" s="20">
        <v>42073379</v>
      </c>
      <c r="BG70" s="20">
        <v>45312303</v>
      </c>
      <c r="BH70" s="20">
        <v>40508307</v>
      </c>
      <c r="BI70" s="44"/>
      <c r="BJ70" s="44"/>
      <c r="BK70" s="44"/>
      <c r="BL70" s="5">
        <v>1011818825.1147541</v>
      </c>
      <c r="BM70" s="5">
        <v>796477130.11475408</v>
      </c>
      <c r="BN70" s="15">
        <v>475000</v>
      </c>
      <c r="BO70" s="3"/>
      <c r="BP70" s="1"/>
      <c r="BQ70" s="1"/>
      <c r="BR70" s="5"/>
      <c r="BS70" s="5"/>
      <c r="BT70" s="5"/>
    </row>
    <row r="71" spans="1:72" x14ac:dyDescent="0.25">
      <c r="A71" s="6" t="s">
        <v>125</v>
      </c>
      <c r="B71" s="40">
        <v>232921584</v>
      </c>
      <c r="C71" s="40">
        <v>105459799</v>
      </c>
      <c r="D71" s="40">
        <v>99376241</v>
      </c>
      <c r="E71" s="40">
        <v>0</v>
      </c>
      <c r="F71" s="40">
        <v>26274400</v>
      </c>
      <c r="G71" s="40">
        <v>5904750</v>
      </c>
      <c r="H71" s="40">
        <v>7536100</v>
      </c>
      <c r="I71" s="40">
        <v>988600</v>
      </c>
      <c r="J71" s="40">
        <v>68000</v>
      </c>
      <c r="K71" s="40">
        <v>0</v>
      </c>
      <c r="L71" s="40">
        <v>182629346</v>
      </c>
      <c r="M71" s="40">
        <v>61495900</v>
      </c>
      <c r="N71" s="40">
        <v>1079</v>
      </c>
      <c r="O71" s="40">
        <v>229</v>
      </c>
      <c r="P71" s="40">
        <v>3438300</v>
      </c>
      <c r="Q71" s="40">
        <v>1733900</v>
      </c>
      <c r="R71" s="40">
        <v>18860200</v>
      </c>
      <c r="S71" s="40">
        <v>4262330</v>
      </c>
      <c r="T71" s="40">
        <v>1261600</v>
      </c>
      <c r="U71" s="40">
        <v>2463120</v>
      </c>
      <c r="V71" s="40">
        <v>3438300</v>
      </c>
      <c r="W71" s="40">
        <v>1739400</v>
      </c>
      <c r="X71" s="40">
        <v>18860200</v>
      </c>
      <c r="Y71" s="40">
        <v>4262330</v>
      </c>
      <c r="Z71" s="40">
        <v>8268945</v>
      </c>
      <c r="AA71" s="40">
        <v>2463120</v>
      </c>
      <c r="AB71" s="40">
        <v>-1726613</v>
      </c>
      <c r="AC71" s="40">
        <v>0</v>
      </c>
      <c r="AD71" s="40">
        <v>88839</v>
      </c>
      <c r="AE71" s="40">
        <v>0</v>
      </c>
      <c r="AF71" s="40">
        <v>0</v>
      </c>
      <c r="AG71" s="40">
        <v>176750</v>
      </c>
      <c r="AH71" s="40">
        <v>0</v>
      </c>
      <c r="AI71" s="40">
        <v>14826795.081967212</v>
      </c>
      <c r="AJ71" s="46">
        <v>0</v>
      </c>
      <c r="AK71" s="1">
        <v>67519110</v>
      </c>
      <c r="AL71" s="1">
        <v>4833194</v>
      </c>
      <c r="AM71" s="40">
        <v>5578765</v>
      </c>
      <c r="AN71" s="40">
        <v>45046592</v>
      </c>
      <c r="AO71" s="40">
        <v>1463309</v>
      </c>
      <c r="AP71" s="40">
        <v>76260839</v>
      </c>
      <c r="AQ71" s="40">
        <v>26946464</v>
      </c>
      <c r="AR71" s="40">
        <v>806378</v>
      </c>
      <c r="AS71" s="40">
        <v>34585146</v>
      </c>
      <c r="AT71" s="40">
        <v>345367</v>
      </c>
      <c r="AU71" s="40">
        <v>0</v>
      </c>
      <c r="AV71" s="40">
        <v>0</v>
      </c>
      <c r="AW71" s="40">
        <v>0</v>
      </c>
      <c r="AX71" s="40">
        <v>0</v>
      </c>
      <c r="AY71" s="40">
        <v>0</v>
      </c>
      <c r="AZ71" s="1">
        <v>5086919.7300000004</v>
      </c>
      <c r="BA71" s="1">
        <v>2594329</v>
      </c>
      <c r="BB71" s="1">
        <v>61360104</v>
      </c>
      <c r="BC71" s="15">
        <v>344479</v>
      </c>
      <c r="BD71" s="15">
        <v>675448</v>
      </c>
      <c r="BE71" s="20">
        <v>7229648</v>
      </c>
      <c r="BF71" s="20">
        <v>6987284</v>
      </c>
      <c r="BG71" s="20">
        <v>25189074</v>
      </c>
      <c r="BH71" s="20">
        <v>24688784</v>
      </c>
      <c r="BI71" s="44"/>
      <c r="BJ71" s="44"/>
      <c r="BK71" s="44"/>
      <c r="BL71" s="5">
        <v>633007964.08196723</v>
      </c>
      <c r="BM71" s="5">
        <v>526040784.08196723</v>
      </c>
      <c r="BN71" s="15">
        <v>374489</v>
      </c>
      <c r="BO71" s="3"/>
      <c r="BP71" s="1"/>
      <c r="BQ71" s="1"/>
      <c r="BR71" s="5"/>
      <c r="BS71" s="5"/>
      <c r="BT71" s="5"/>
    </row>
    <row r="72" spans="1:72" x14ac:dyDescent="0.25">
      <c r="A72" s="6" t="s">
        <v>126</v>
      </c>
      <c r="B72" s="40">
        <v>558060705</v>
      </c>
      <c r="C72" s="40">
        <v>266510748</v>
      </c>
      <c r="D72" s="40">
        <v>192465767</v>
      </c>
      <c r="E72" s="40">
        <v>0</v>
      </c>
      <c r="F72" s="40">
        <v>60824975</v>
      </c>
      <c r="G72" s="40">
        <v>9928533</v>
      </c>
      <c r="H72" s="40">
        <v>14884550</v>
      </c>
      <c r="I72" s="40">
        <v>837415</v>
      </c>
      <c r="J72" s="40">
        <v>34000</v>
      </c>
      <c r="K72" s="40">
        <v>26000</v>
      </c>
      <c r="L72" s="40">
        <v>815511214</v>
      </c>
      <c r="M72" s="40">
        <v>0</v>
      </c>
      <c r="N72" s="40">
        <v>2363</v>
      </c>
      <c r="O72" s="40">
        <v>358</v>
      </c>
      <c r="P72" s="40">
        <v>4915204</v>
      </c>
      <c r="Q72" s="40">
        <v>5304721</v>
      </c>
      <c r="R72" s="40">
        <v>1008000</v>
      </c>
      <c r="S72" s="40">
        <v>6772181</v>
      </c>
      <c r="T72" s="40">
        <v>1410743</v>
      </c>
      <c r="U72" s="40">
        <v>978323</v>
      </c>
      <c r="V72" s="40">
        <v>4915204</v>
      </c>
      <c r="W72" s="40">
        <v>7698085</v>
      </c>
      <c r="X72" s="40">
        <v>1008000</v>
      </c>
      <c r="Y72" s="40">
        <v>6772181</v>
      </c>
      <c r="Z72" s="40">
        <v>5460178</v>
      </c>
      <c r="AA72" s="40">
        <v>978323</v>
      </c>
      <c r="AB72" s="40">
        <v>-3743973</v>
      </c>
      <c r="AC72" s="40">
        <v>-5702</v>
      </c>
      <c r="AD72" s="40">
        <v>105837</v>
      </c>
      <c r="AE72" s="40">
        <v>0</v>
      </c>
      <c r="AF72" s="40">
        <v>590787696</v>
      </c>
      <c r="AG72" s="40">
        <v>319322</v>
      </c>
      <c r="AH72" s="40">
        <v>42827.868852459018</v>
      </c>
      <c r="AI72" s="40">
        <v>246901.63934426234</v>
      </c>
      <c r="AJ72" s="46">
        <v>0</v>
      </c>
      <c r="AK72" s="1">
        <v>152984498</v>
      </c>
      <c r="AL72" s="1">
        <v>4690378</v>
      </c>
      <c r="AM72" s="40">
        <v>0</v>
      </c>
      <c r="AN72" s="40">
        <v>35944998</v>
      </c>
      <c r="AO72" s="40">
        <v>14420633</v>
      </c>
      <c r="AP72" s="40">
        <v>416226639</v>
      </c>
      <c r="AQ72" s="40">
        <v>79592372</v>
      </c>
      <c r="AR72" s="40">
        <v>185061714</v>
      </c>
      <c r="AS72" s="40">
        <v>21386131</v>
      </c>
      <c r="AT72" s="40">
        <v>7259649</v>
      </c>
      <c r="AU72" s="40">
        <v>0</v>
      </c>
      <c r="AV72" s="40">
        <v>34676</v>
      </c>
      <c r="AW72" s="40">
        <v>7381016</v>
      </c>
      <c r="AX72" s="40">
        <v>4444984</v>
      </c>
      <c r="AY72" s="40">
        <v>180000</v>
      </c>
      <c r="AZ72" s="1">
        <v>11525920.02</v>
      </c>
      <c r="BA72" s="1">
        <v>5878219</v>
      </c>
      <c r="BB72" s="1"/>
      <c r="BC72" s="15">
        <v>2217091</v>
      </c>
      <c r="BD72" s="15">
        <v>4347237</v>
      </c>
      <c r="BE72" s="20">
        <v>15301405</v>
      </c>
      <c r="BF72" s="20">
        <v>15301405</v>
      </c>
      <c r="BG72" s="20">
        <v>48600560</v>
      </c>
      <c r="BH72" s="20">
        <v>47636955</v>
      </c>
      <c r="BI72" s="44"/>
      <c r="BJ72" s="44">
        <v>3093739</v>
      </c>
      <c r="BK72" s="44"/>
      <c r="BL72" s="5">
        <v>1379087237.5081968</v>
      </c>
      <c r="BM72" s="5">
        <v>1147284952.5081968</v>
      </c>
      <c r="BN72" s="15">
        <v>3528324</v>
      </c>
      <c r="BO72" s="3"/>
      <c r="BP72" s="1"/>
      <c r="BQ72" s="1"/>
      <c r="BR72" s="5"/>
      <c r="BS72" s="5"/>
      <c r="BT72" s="5"/>
    </row>
    <row r="73" spans="1:72" x14ac:dyDescent="0.25">
      <c r="A73" s="6" t="s">
        <v>127</v>
      </c>
      <c r="B73" s="40">
        <v>427273324</v>
      </c>
      <c r="C73" s="40">
        <v>56495403</v>
      </c>
      <c r="D73" s="40">
        <v>77249931</v>
      </c>
      <c r="E73" s="40">
        <v>0</v>
      </c>
      <c r="F73" s="40">
        <v>28212540</v>
      </c>
      <c r="G73" s="40">
        <v>4566019</v>
      </c>
      <c r="H73" s="40">
        <v>5619560</v>
      </c>
      <c r="I73" s="40">
        <v>518700</v>
      </c>
      <c r="J73" s="40">
        <v>68000</v>
      </c>
      <c r="K73" s="40">
        <v>0</v>
      </c>
      <c r="L73" s="40">
        <v>147754518</v>
      </c>
      <c r="M73" s="40">
        <v>35722075</v>
      </c>
      <c r="N73" s="40">
        <v>1061</v>
      </c>
      <c r="O73" s="40">
        <v>164</v>
      </c>
      <c r="P73" s="40">
        <v>3097600</v>
      </c>
      <c r="Q73" s="40">
        <v>307750</v>
      </c>
      <c r="R73" s="40">
        <v>0</v>
      </c>
      <c r="S73" s="40">
        <v>5939010</v>
      </c>
      <c r="T73" s="40">
        <v>3029887</v>
      </c>
      <c r="U73" s="40">
        <v>649250</v>
      </c>
      <c r="V73" s="40">
        <v>3097600</v>
      </c>
      <c r="W73" s="40">
        <v>835910</v>
      </c>
      <c r="X73" s="40">
        <v>0</v>
      </c>
      <c r="Y73" s="40">
        <v>5939010</v>
      </c>
      <c r="Z73" s="40">
        <v>2518558</v>
      </c>
      <c r="AA73" s="40">
        <v>649250</v>
      </c>
      <c r="AB73" s="40">
        <v>-3040180</v>
      </c>
      <c r="AC73" s="40">
        <v>-16200</v>
      </c>
      <c r="AD73" s="40">
        <v>0</v>
      </c>
      <c r="AE73" s="40">
        <v>0</v>
      </c>
      <c r="AF73" s="40">
        <v>0</v>
      </c>
      <c r="AG73" s="40">
        <v>18204</v>
      </c>
      <c r="AH73" s="40">
        <v>0</v>
      </c>
      <c r="AI73" s="40">
        <v>0</v>
      </c>
      <c r="AJ73" s="46">
        <v>0</v>
      </c>
      <c r="AK73" s="1">
        <v>54329891</v>
      </c>
      <c r="AL73" s="1">
        <v>12241629</v>
      </c>
      <c r="AM73" s="40">
        <v>2944024</v>
      </c>
      <c r="AN73" s="40">
        <v>9732323</v>
      </c>
      <c r="AO73" s="40">
        <v>233097</v>
      </c>
      <c r="AP73" s="40">
        <v>5107676</v>
      </c>
      <c r="AQ73" s="40">
        <v>7785546</v>
      </c>
      <c r="AR73" s="40">
        <v>14906096</v>
      </c>
      <c r="AS73" s="40">
        <v>24494333</v>
      </c>
      <c r="AT73" s="40">
        <v>51586</v>
      </c>
      <c r="AU73" s="40">
        <v>0</v>
      </c>
      <c r="AV73" s="40">
        <v>268209</v>
      </c>
      <c r="AW73" s="40">
        <v>0</v>
      </c>
      <c r="AX73" s="40">
        <v>11611</v>
      </c>
      <c r="AY73" s="40">
        <v>0</v>
      </c>
      <c r="AZ73" s="1">
        <v>4093238.12</v>
      </c>
      <c r="BA73" s="1">
        <v>2087551</v>
      </c>
      <c r="BB73" s="1">
        <v>25841969</v>
      </c>
      <c r="BC73" s="15">
        <v>902522</v>
      </c>
      <c r="BD73" s="15">
        <v>1769651</v>
      </c>
      <c r="BE73" s="20">
        <v>7765210</v>
      </c>
      <c r="BF73" s="20">
        <v>6508647</v>
      </c>
      <c r="BG73" s="20">
        <v>17547923</v>
      </c>
      <c r="BH73" s="20">
        <v>16133938</v>
      </c>
      <c r="BI73" s="44"/>
      <c r="BJ73" s="44"/>
      <c r="BK73" s="44"/>
      <c r="BL73" s="5">
        <v>670973802</v>
      </c>
      <c r="BM73" s="5">
        <v>578769624</v>
      </c>
      <c r="BN73" s="15">
        <v>662507</v>
      </c>
      <c r="BO73" s="3"/>
      <c r="BP73" s="1"/>
      <c r="BQ73" s="1"/>
      <c r="BR73" s="5"/>
      <c r="BS73" s="5"/>
      <c r="BT73" s="5"/>
    </row>
    <row r="74" spans="1:72" x14ac:dyDescent="0.25">
      <c r="A74" s="6" t="s">
        <v>128</v>
      </c>
      <c r="B74" s="40">
        <v>2223924514</v>
      </c>
      <c r="C74" s="40">
        <v>124915950</v>
      </c>
      <c r="D74" s="40">
        <v>987183688</v>
      </c>
      <c r="E74" s="40">
        <v>0</v>
      </c>
      <c r="F74" s="40">
        <v>175282789</v>
      </c>
      <c r="G74" s="40">
        <v>20988283</v>
      </c>
      <c r="H74" s="40">
        <v>9885207</v>
      </c>
      <c r="I74" s="40">
        <v>738438</v>
      </c>
      <c r="J74" s="40">
        <v>420900</v>
      </c>
      <c r="K74" s="40">
        <v>0</v>
      </c>
      <c r="L74" s="40">
        <v>173784731</v>
      </c>
      <c r="M74" s="40">
        <v>0</v>
      </c>
      <c r="N74" s="40">
        <v>5845</v>
      </c>
      <c r="O74" s="40">
        <v>741</v>
      </c>
      <c r="P74" s="40">
        <v>23863665</v>
      </c>
      <c r="Q74" s="40">
        <v>2618326</v>
      </c>
      <c r="R74" s="40">
        <v>7259950</v>
      </c>
      <c r="S74" s="40">
        <v>15073735</v>
      </c>
      <c r="T74" s="40">
        <v>722583</v>
      </c>
      <c r="U74" s="40">
        <v>10111108</v>
      </c>
      <c r="V74" s="40">
        <v>23863665</v>
      </c>
      <c r="W74" s="40">
        <v>5321813</v>
      </c>
      <c r="X74" s="40">
        <v>7259950</v>
      </c>
      <c r="Y74" s="40">
        <v>15073735</v>
      </c>
      <c r="Z74" s="40">
        <v>912123</v>
      </c>
      <c r="AA74" s="40">
        <v>10111108</v>
      </c>
      <c r="AB74" s="40">
        <v>-13591559</v>
      </c>
      <c r="AC74" s="40">
        <v>-332897</v>
      </c>
      <c r="AD74" s="40">
        <v>0</v>
      </c>
      <c r="AE74" s="40">
        <v>0</v>
      </c>
      <c r="AF74" s="40">
        <v>0</v>
      </c>
      <c r="AG74" s="40">
        <v>0</v>
      </c>
      <c r="AH74" s="40">
        <v>0</v>
      </c>
      <c r="AI74" s="40">
        <v>232188.52459016396</v>
      </c>
      <c r="AJ74" s="46">
        <v>0</v>
      </c>
      <c r="AK74" s="1">
        <v>456900196</v>
      </c>
      <c r="AL74" s="1">
        <v>13891733</v>
      </c>
      <c r="AM74" s="40">
        <v>43000</v>
      </c>
      <c r="AN74" s="40">
        <v>225755299</v>
      </c>
      <c r="AO74" s="40">
        <v>25950005</v>
      </c>
      <c r="AP74" s="40">
        <v>59830000</v>
      </c>
      <c r="AQ74" s="40">
        <v>582013397</v>
      </c>
      <c r="AR74" s="40">
        <v>2124157214</v>
      </c>
      <c r="AS74" s="40">
        <v>657908260</v>
      </c>
      <c r="AT74" s="40">
        <v>1925585</v>
      </c>
      <c r="AU74" s="40">
        <v>0</v>
      </c>
      <c r="AV74" s="40">
        <v>0</v>
      </c>
      <c r="AW74" s="40">
        <v>0</v>
      </c>
      <c r="AX74" s="40">
        <v>863172</v>
      </c>
      <c r="AY74" s="40">
        <v>15353337</v>
      </c>
      <c r="AZ74" s="1">
        <v>34423063.68</v>
      </c>
      <c r="BA74" s="1">
        <v>17555762</v>
      </c>
      <c r="BB74" s="1">
        <v>24948187</v>
      </c>
      <c r="BC74" s="15">
        <v>4442627</v>
      </c>
      <c r="BD74" s="15">
        <v>8711034</v>
      </c>
      <c r="BE74" s="20">
        <v>53910985</v>
      </c>
      <c r="BF74" s="20">
        <v>47667938</v>
      </c>
      <c r="BG74" s="20">
        <v>138946163</v>
      </c>
      <c r="BH74" s="20">
        <v>113150914</v>
      </c>
      <c r="BI74" s="44"/>
      <c r="BJ74" s="44">
        <v>51412604</v>
      </c>
      <c r="BK74" s="44"/>
      <c r="BL74" s="5">
        <v>4874996815.5245895</v>
      </c>
      <c r="BM74" s="5">
        <v>4169975041.52459</v>
      </c>
      <c r="BN74" s="15">
        <v>3070098</v>
      </c>
      <c r="BO74" s="3"/>
      <c r="BP74" s="1"/>
      <c r="BQ74" s="1"/>
      <c r="BR74" s="5"/>
      <c r="BS74" s="5"/>
      <c r="BT74" s="5"/>
    </row>
    <row r="75" spans="1:72" x14ac:dyDescent="0.25">
      <c r="A75" s="6" t="s">
        <v>129</v>
      </c>
      <c r="B75" s="40">
        <v>206500145</v>
      </c>
      <c r="C75" s="40">
        <v>58215888</v>
      </c>
      <c r="D75" s="40">
        <v>79888921</v>
      </c>
      <c r="E75" s="40">
        <v>0</v>
      </c>
      <c r="F75" s="40">
        <v>37718000</v>
      </c>
      <c r="G75" s="40">
        <v>22232150</v>
      </c>
      <c r="H75" s="40">
        <v>7057250</v>
      </c>
      <c r="I75" s="40">
        <v>2496850</v>
      </c>
      <c r="J75" s="40">
        <v>140000</v>
      </c>
      <c r="K75" s="40">
        <v>34000</v>
      </c>
      <c r="L75" s="40">
        <v>36327806</v>
      </c>
      <c r="M75" s="40">
        <v>0</v>
      </c>
      <c r="N75" s="40">
        <v>1474</v>
      </c>
      <c r="O75" s="40">
        <v>860</v>
      </c>
      <c r="P75" s="40">
        <v>3944000</v>
      </c>
      <c r="Q75" s="40">
        <v>50500</v>
      </c>
      <c r="R75" s="40">
        <v>1065000</v>
      </c>
      <c r="S75" s="40">
        <v>2106600</v>
      </c>
      <c r="T75" s="40">
        <v>4674240</v>
      </c>
      <c r="U75" s="40">
        <v>14927800</v>
      </c>
      <c r="V75" s="40">
        <v>3944000</v>
      </c>
      <c r="W75" s="40">
        <v>101500</v>
      </c>
      <c r="X75" s="40">
        <v>1065000</v>
      </c>
      <c r="Y75" s="40">
        <v>2106600</v>
      </c>
      <c r="Z75" s="40">
        <v>4509350</v>
      </c>
      <c r="AA75" s="40">
        <v>14927800</v>
      </c>
      <c r="AB75" s="40">
        <v>-2213330</v>
      </c>
      <c r="AC75" s="40">
        <v>40640</v>
      </c>
      <c r="AD75" s="40">
        <v>34996</v>
      </c>
      <c r="AE75" s="40">
        <v>0</v>
      </c>
      <c r="AF75" s="40">
        <v>0</v>
      </c>
      <c r="AG75" s="40">
        <v>71283</v>
      </c>
      <c r="AH75" s="40">
        <v>286319.67213114753</v>
      </c>
      <c r="AI75" s="40">
        <v>1141827.0491803279</v>
      </c>
      <c r="AJ75" s="46">
        <v>69278.688524590165</v>
      </c>
      <c r="AK75" s="1">
        <v>59655747</v>
      </c>
      <c r="AL75" s="1">
        <v>2104349</v>
      </c>
      <c r="AM75" s="40">
        <v>0</v>
      </c>
      <c r="AN75" s="40">
        <v>7475861</v>
      </c>
      <c r="AO75" s="40">
        <v>120496</v>
      </c>
      <c r="AP75" s="40">
        <v>6161955</v>
      </c>
      <c r="AQ75" s="40">
        <v>7809070</v>
      </c>
      <c r="AR75" s="40">
        <v>5138811</v>
      </c>
      <c r="AS75" s="40">
        <v>75</v>
      </c>
      <c r="AT75" s="40">
        <v>186262</v>
      </c>
      <c r="AU75" s="40">
        <v>0</v>
      </c>
      <c r="AV75" s="40">
        <v>0</v>
      </c>
      <c r="AW75" s="40">
        <v>0</v>
      </c>
      <c r="AX75" s="40">
        <v>24022</v>
      </c>
      <c r="AY75" s="40">
        <v>14750</v>
      </c>
      <c r="AZ75" s="1">
        <v>4494490.47</v>
      </c>
      <c r="BA75" s="1">
        <v>2292190</v>
      </c>
      <c r="BB75" s="1"/>
      <c r="BC75" s="15">
        <v>3246907</v>
      </c>
      <c r="BD75" s="15">
        <v>6366484</v>
      </c>
      <c r="BE75" s="20">
        <v>34458158</v>
      </c>
      <c r="BF75" s="20">
        <v>34458158</v>
      </c>
      <c r="BG75" s="20">
        <v>36549122</v>
      </c>
      <c r="BH75" s="20">
        <v>30753067</v>
      </c>
      <c r="BI75" s="44"/>
      <c r="BJ75" s="44"/>
      <c r="BK75" s="44"/>
      <c r="BL75" s="5">
        <v>494018224.40983605</v>
      </c>
      <c r="BM75" s="5">
        <v>361507806.40983605</v>
      </c>
      <c r="BN75" s="15">
        <v>617100</v>
      </c>
      <c r="BO75" s="3"/>
      <c r="BP75" s="1"/>
      <c r="BQ75" s="1"/>
      <c r="BR75" s="5"/>
      <c r="BS75" s="5"/>
      <c r="BT75" s="5"/>
    </row>
    <row r="76" spans="1:72" x14ac:dyDescent="0.25">
      <c r="A76" s="6" t="s">
        <v>130</v>
      </c>
      <c r="B76" s="40">
        <v>168948957</v>
      </c>
      <c r="C76" s="40">
        <v>140169255</v>
      </c>
      <c r="D76" s="40">
        <v>45857510</v>
      </c>
      <c r="E76" s="40">
        <v>0</v>
      </c>
      <c r="F76" s="40">
        <v>22803840</v>
      </c>
      <c r="G76" s="40">
        <v>7043324</v>
      </c>
      <c r="H76" s="40">
        <v>5547650</v>
      </c>
      <c r="I76" s="40">
        <v>451320</v>
      </c>
      <c r="J76" s="40">
        <v>0</v>
      </c>
      <c r="K76" s="40">
        <v>0</v>
      </c>
      <c r="L76" s="40">
        <v>235669921</v>
      </c>
      <c r="M76" s="40">
        <v>958842</v>
      </c>
      <c r="N76" s="40">
        <v>918</v>
      </c>
      <c r="O76" s="40">
        <v>270</v>
      </c>
      <c r="P76" s="40">
        <v>1175381</v>
      </c>
      <c r="Q76" s="40">
        <v>801400</v>
      </c>
      <c r="R76" s="40">
        <v>229000</v>
      </c>
      <c r="S76" s="40">
        <v>238500</v>
      </c>
      <c r="T76" s="40">
        <v>48900</v>
      </c>
      <c r="U76" s="40">
        <v>1451000</v>
      </c>
      <c r="V76" s="40">
        <v>1175381</v>
      </c>
      <c r="W76" s="40">
        <v>801400</v>
      </c>
      <c r="X76" s="40">
        <v>229000</v>
      </c>
      <c r="Y76" s="40">
        <v>238500</v>
      </c>
      <c r="Z76" s="40">
        <v>48900</v>
      </c>
      <c r="AA76" s="40">
        <v>1451000</v>
      </c>
      <c r="AB76" s="40">
        <v>-1384126</v>
      </c>
      <c r="AC76" s="40">
        <v>0</v>
      </c>
      <c r="AD76" s="40">
        <v>16053</v>
      </c>
      <c r="AE76" s="40">
        <v>21793</v>
      </c>
      <c r="AF76" s="40">
        <v>6270987</v>
      </c>
      <c r="AG76" s="40">
        <v>151271</v>
      </c>
      <c r="AH76" s="40">
        <v>5552901.6393442629</v>
      </c>
      <c r="AI76" s="40">
        <v>60897.540983606559</v>
      </c>
      <c r="AJ76" s="46">
        <v>688032.78688524594</v>
      </c>
      <c r="AK76" s="1">
        <v>63671982</v>
      </c>
      <c r="AL76" s="1">
        <v>2156869</v>
      </c>
      <c r="AM76" s="40">
        <v>28500</v>
      </c>
      <c r="AN76" s="40">
        <v>8721338</v>
      </c>
      <c r="AO76" s="40">
        <v>1128932</v>
      </c>
      <c r="AP76" s="40">
        <v>4925038</v>
      </c>
      <c r="AQ76" s="40">
        <v>10322164</v>
      </c>
      <c r="AR76" s="40">
        <v>14270135</v>
      </c>
      <c r="AS76" s="40">
        <v>0</v>
      </c>
      <c r="AT76" s="40">
        <v>3589443</v>
      </c>
      <c r="AU76" s="40">
        <v>0</v>
      </c>
      <c r="AV76" s="40">
        <v>0</v>
      </c>
      <c r="AW76" s="40">
        <v>18459791</v>
      </c>
      <c r="AX76" s="40">
        <v>0</v>
      </c>
      <c r="AY76" s="40">
        <v>351800</v>
      </c>
      <c r="AZ76" s="1">
        <v>4797075.4000000004</v>
      </c>
      <c r="BA76" s="1">
        <v>2446508</v>
      </c>
      <c r="BB76" s="1">
        <v>11113990</v>
      </c>
      <c r="BC76" s="15">
        <v>0</v>
      </c>
      <c r="BD76" s="15">
        <v>0</v>
      </c>
      <c r="BE76" s="20">
        <v>5306794</v>
      </c>
      <c r="BF76" s="20">
        <v>5306794</v>
      </c>
      <c r="BG76" s="20">
        <v>20774813</v>
      </c>
      <c r="BH76" s="20">
        <v>20774813</v>
      </c>
      <c r="BI76" s="44"/>
      <c r="BJ76" s="44"/>
      <c r="BK76" s="44"/>
      <c r="BL76" s="5">
        <v>475806953.96721315</v>
      </c>
      <c r="BM76" s="5">
        <v>381449987.96721315</v>
      </c>
      <c r="BN76" s="15">
        <v>558226</v>
      </c>
      <c r="BO76" s="3"/>
      <c r="BP76" s="1"/>
      <c r="BQ76" s="1"/>
      <c r="BR76" s="5"/>
      <c r="BS76" s="5"/>
      <c r="BT76" s="5"/>
    </row>
    <row r="77" spans="1:72" x14ac:dyDescent="0.25">
      <c r="A77" s="6" t="s">
        <v>131</v>
      </c>
      <c r="B77" s="40">
        <v>2863463723</v>
      </c>
      <c r="C77" s="40">
        <v>243667184</v>
      </c>
      <c r="D77" s="40">
        <v>986581687</v>
      </c>
      <c r="E77" s="40">
        <v>0</v>
      </c>
      <c r="F77" s="40">
        <v>172207806</v>
      </c>
      <c r="G77" s="40">
        <v>25099967</v>
      </c>
      <c r="H77" s="40">
        <v>17691798</v>
      </c>
      <c r="I77" s="40">
        <v>1573550</v>
      </c>
      <c r="J77" s="40">
        <v>374000</v>
      </c>
      <c r="K77" s="40">
        <v>34000</v>
      </c>
      <c r="L77" s="40">
        <v>379869492</v>
      </c>
      <c r="M77" s="40">
        <v>167119434</v>
      </c>
      <c r="N77" s="40">
        <v>5802</v>
      </c>
      <c r="O77" s="40">
        <v>854</v>
      </c>
      <c r="P77" s="40">
        <v>58146350</v>
      </c>
      <c r="Q77" s="40">
        <v>6489989</v>
      </c>
      <c r="R77" s="40">
        <v>92883012</v>
      </c>
      <c r="S77" s="40">
        <v>95808107</v>
      </c>
      <c r="T77" s="40">
        <v>3906798</v>
      </c>
      <c r="U77" s="40">
        <v>30839553</v>
      </c>
      <c r="V77" s="40">
        <v>58146350</v>
      </c>
      <c r="W77" s="40">
        <v>7207057</v>
      </c>
      <c r="X77" s="40">
        <v>92883012</v>
      </c>
      <c r="Y77" s="40">
        <v>95808107</v>
      </c>
      <c r="Z77" s="40">
        <v>4872163</v>
      </c>
      <c r="AA77" s="40">
        <v>30839553</v>
      </c>
      <c r="AB77" s="40">
        <v>-6904852</v>
      </c>
      <c r="AC77" s="40">
        <v>476612</v>
      </c>
      <c r="AD77" s="40">
        <v>2207</v>
      </c>
      <c r="AE77" s="40">
        <v>12349</v>
      </c>
      <c r="AF77" s="40">
        <v>82784115</v>
      </c>
      <c r="AG77" s="40">
        <v>242171</v>
      </c>
      <c r="AH77" s="40">
        <v>0</v>
      </c>
      <c r="AI77" s="40">
        <v>1148508.1967213117</v>
      </c>
      <c r="AJ77" s="46">
        <v>0</v>
      </c>
      <c r="AK77" s="1">
        <v>466544059</v>
      </c>
      <c r="AL77" s="1">
        <v>11602037</v>
      </c>
      <c r="AM77" s="40">
        <v>68000</v>
      </c>
      <c r="AN77" s="40">
        <v>125418104</v>
      </c>
      <c r="AO77" s="40">
        <v>18460152</v>
      </c>
      <c r="AP77" s="40">
        <v>410366689</v>
      </c>
      <c r="AQ77" s="40">
        <v>121332641</v>
      </c>
      <c r="AR77" s="40">
        <v>201603650</v>
      </c>
      <c r="AS77" s="40">
        <v>76237442</v>
      </c>
      <c r="AT77" s="40">
        <v>2338139</v>
      </c>
      <c r="AU77" s="40">
        <v>0</v>
      </c>
      <c r="AV77" s="40">
        <v>0</v>
      </c>
      <c r="AW77" s="40">
        <v>1586386</v>
      </c>
      <c r="AX77" s="40">
        <v>142385</v>
      </c>
      <c r="AY77" s="40">
        <v>778700</v>
      </c>
      <c r="AZ77" s="1">
        <v>35149636.600000001</v>
      </c>
      <c r="BA77" s="1">
        <v>17926315</v>
      </c>
      <c r="BB77" s="1"/>
      <c r="BC77" s="15">
        <v>1775482</v>
      </c>
      <c r="BD77" s="15">
        <v>3481338</v>
      </c>
      <c r="BE77" s="20">
        <v>41726484</v>
      </c>
      <c r="BF77" s="20">
        <v>41726484</v>
      </c>
      <c r="BG77" s="20">
        <v>105004926</v>
      </c>
      <c r="BH77" s="20">
        <v>100100036</v>
      </c>
      <c r="BI77" s="44"/>
      <c r="BJ77" s="44"/>
      <c r="BK77" s="44"/>
      <c r="BL77" s="5">
        <v>4999746412.1967211</v>
      </c>
      <c r="BM77" s="5">
        <v>4360071999.1967211</v>
      </c>
      <c r="BN77" s="15">
        <v>3067810</v>
      </c>
      <c r="BO77" s="3"/>
      <c r="BP77" s="1"/>
      <c r="BQ77" s="1"/>
      <c r="BR77" s="5"/>
      <c r="BS77" s="5"/>
      <c r="BT77" s="5"/>
    </row>
    <row r="78" spans="1:72" x14ac:dyDescent="0.25">
      <c r="A78" s="6" t="s">
        <v>132</v>
      </c>
      <c r="B78" s="40">
        <v>108352310</v>
      </c>
      <c r="C78" s="40">
        <v>47304936</v>
      </c>
      <c r="D78" s="40">
        <v>34670664</v>
      </c>
      <c r="E78" s="40">
        <v>0</v>
      </c>
      <c r="F78" s="40">
        <v>17835400</v>
      </c>
      <c r="G78" s="40">
        <v>22524210</v>
      </c>
      <c r="H78" s="40">
        <v>8808671</v>
      </c>
      <c r="I78" s="40">
        <v>6551990</v>
      </c>
      <c r="J78" s="40">
        <v>15000</v>
      </c>
      <c r="K78" s="40">
        <v>0</v>
      </c>
      <c r="L78" s="40">
        <v>75604942</v>
      </c>
      <c r="M78" s="40">
        <v>35767948</v>
      </c>
      <c r="N78" s="40">
        <v>898</v>
      </c>
      <c r="O78" s="40">
        <v>1107</v>
      </c>
      <c r="P78" s="40">
        <v>1875000</v>
      </c>
      <c r="Q78" s="40">
        <v>908700</v>
      </c>
      <c r="R78" s="40">
        <v>82000</v>
      </c>
      <c r="S78" s="40">
        <v>1496500</v>
      </c>
      <c r="T78" s="40">
        <v>350600</v>
      </c>
      <c r="U78" s="40">
        <v>124590</v>
      </c>
      <c r="V78" s="40">
        <v>1875000</v>
      </c>
      <c r="W78" s="40">
        <v>1108000</v>
      </c>
      <c r="X78" s="40">
        <v>82000</v>
      </c>
      <c r="Y78" s="40">
        <v>1496500</v>
      </c>
      <c r="Z78" s="40">
        <v>476875</v>
      </c>
      <c r="AA78" s="40">
        <v>124590</v>
      </c>
      <c r="AB78" s="40">
        <v>-1631490</v>
      </c>
      <c r="AC78" s="40">
        <v>-329417</v>
      </c>
      <c r="AD78" s="40">
        <v>147900</v>
      </c>
      <c r="AE78" s="40">
        <v>0</v>
      </c>
      <c r="AF78" s="40">
        <v>0</v>
      </c>
      <c r="AG78" s="40">
        <v>191439</v>
      </c>
      <c r="AH78" s="40">
        <v>6779385.2459016396</v>
      </c>
      <c r="AI78" s="40">
        <v>8769024.590163935</v>
      </c>
      <c r="AJ78" s="46">
        <v>36556531</v>
      </c>
      <c r="AK78" s="1">
        <v>70033881</v>
      </c>
      <c r="AL78" s="1">
        <v>1748718</v>
      </c>
      <c r="AM78" s="40">
        <v>0</v>
      </c>
      <c r="AN78" s="40">
        <v>47170253</v>
      </c>
      <c r="AO78" s="40">
        <v>703067</v>
      </c>
      <c r="AP78" s="40">
        <v>4829535</v>
      </c>
      <c r="AQ78" s="40">
        <v>16596480</v>
      </c>
      <c r="AR78" s="40">
        <v>3367526</v>
      </c>
      <c r="AS78" s="40">
        <v>0</v>
      </c>
      <c r="AT78" s="40">
        <v>89590</v>
      </c>
      <c r="AU78" s="40">
        <v>0</v>
      </c>
      <c r="AV78" s="40">
        <v>0</v>
      </c>
      <c r="AW78" s="40">
        <v>0</v>
      </c>
      <c r="AX78" s="40">
        <v>0</v>
      </c>
      <c r="AY78" s="40">
        <v>0</v>
      </c>
      <c r="AZ78" s="1">
        <v>5276383.7</v>
      </c>
      <c r="BA78" s="1">
        <v>2690956</v>
      </c>
      <c r="BB78" s="1"/>
      <c r="BC78" s="15">
        <v>0</v>
      </c>
      <c r="BD78" s="15">
        <v>0</v>
      </c>
      <c r="BE78" s="20">
        <v>1534313</v>
      </c>
      <c r="BF78" s="20">
        <v>1511065</v>
      </c>
      <c r="BG78" s="20">
        <v>40921678</v>
      </c>
      <c r="BH78" s="20">
        <v>40853681</v>
      </c>
      <c r="BI78" s="44"/>
      <c r="BJ78" s="44"/>
      <c r="BK78" s="44"/>
      <c r="BL78" s="5">
        <v>423740951.83606559</v>
      </c>
      <c r="BM78" s="5">
        <v>306902650.83606559</v>
      </c>
      <c r="BN78" s="15">
        <v>273314</v>
      </c>
      <c r="BO78" s="3"/>
      <c r="BP78" s="1"/>
      <c r="BQ78" s="1"/>
      <c r="BR78" s="5"/>
      <c r="BS78" s="5"/>
      <c r="BT78" s="5"/>
    </row>
    <row r="79" spans="1:72" x14ac:dyDescent="0.25">
      <c r="A79" s="6" t="s">
        <v>133</v>
      </c>
      <c r="B79" s="40">
        <v>419586815</v>
      </c>
      <c r="C79" s="40">
        <v>178949238</v>
      </c>
      <c r="D79" s="40">
        <v>243936363</v>
      </c>
      <c r="E79" s="40">
        <v>3500000</v>
      </c>
      <c r="F79" s="40">
        <v>40840550</v>
      </c>
      <c r="G79" s="40">
        <v>10455560</v>
      </c>
      <c r="H79" s="40">
        <v>12843300</v>
      </c>
      <c r="I79" s="40">
        <v>1971500</v>
      </c>
      <c r="J79" s="40">
        <v>166000</v>
      </c>
      <c r="K79" s="40">
        <v>34000</v>
      </c>
      <c r="L79" s="40">
        <v>305714579</v>
      </c>
      <c r="M79" s="40">
        <v>108113072</v>
      </c>
      <c r="N79" s="40">
        <v>1627</v>
      </c>
      <c r="O79" s="40">
        <v>411</v>
      </c>
      <c r="P79" s="40">
        <v>5603900</v>
      </c>
      <c r="Q79" s="40">
        <v>2215782</v>
      </c>
      <c r="R79" s="40">
        <v>3807000</v>
      </c>
      <c r="S79" s="40">
        <v>5709047</v>
      </c>
      <c r="T79" s="40">
        <v>2404460</v>
      </c>
      <c r="U79" s="40">
        <v>2015300</v>
      </c>
      <c r="V79" s="40">
        <v>5603900</v>
      </c>
      <c r="W79" s="40">
        <v>2566400</v>
      </c>
      <c r="X79" s="40">
        <v>3807000</v>
      </c>
      <c r="Y79" s="40">
        <v>5709047</v>
      </c>
      <c r="Z79" s="40">
        <v>3168058</v>
      </c>
      <c r="AA79" s="40">
        <v>2015300</v>
      </c>
      <c r="AB79" s="40">
        <v>-688111</v>
      </c>
      <c r="AC79" s="40">
        <v>-742841</v>
      </c>
      <c r="AD79" s="40">
        <v>54200</v>
      </c>
      <c r="AE79" s="40">
        <v>0</v>
      </c>
      <c r="AF79" s="40">
        <v>0</v>
      </c>
      <c r="AG79" s="40">
        <v>204133</v>
      </c>
      <c r="AH79" s="40">
        <v>0</v>
      </c>
      <c r="AI79" s="40">
        <v>296557.37704918033</v>
      </c>
      <c r="AJ79" s="46">
        <v>0</v>
      </c>
      <c r="AK79" s="1">
        <v>99226366</v>
      </c>
      <c r="AL79" s="1">
        <v>1898669</v>
      </c>
      <c r="AM79" s="40">
        <v>0</v>
      </c>
      <c r="AN79" s="40">
        <v>36590947</v>
      </c>
      <c r="AO79" s="40">
        <v>6398601</v>
      </c>
      <c r="AP79" s="40">
        <v>224844412</v>
      </c>
      <c r="AQ79" s="40">
        <v>27708058</v>
      </c>
      <c r="AR79" s="40">
        <v>62067116</v>
      </c>
      <c r="AS79" s="40">
        <v>4470149</v>
      </c>
      <c r="AT79" s="40">
        <v>219515</v>
      </c>
      <c r="AU79" s="40">
        <v>0</v>
      </c>
      <c r="AV79" s="40">
        <v>0</v>
      </c>
      <c r="AW79" s="40">
        <v>50458</v>
      </c>
      <c r="AX79" s="40">
        <v>0</v>
      </c>
      <c r="AY79" s="40">
        <v>0</v>
      </c>
      <c r="AZ79" s="1">
        <v>7475758.4800000004</v>
      </c>
      <c r="BA79" s="1">
        <v>3812637</v>
      </c>
      <c r="BB79" s="1"/>
      <c r="BC79" s="15">
        <v>0</v>
      </c>
      <c r="BD79" s="15">
        <v>0</v>
      </c>
      <c r="BE79" s="20">
        <v>12438946</v>
      </c>
      <c r="BF79" s="20">
        <v>12438946</v>
      </c>
      <c r="BG79" s="20">
        <v>35207528</v>
      </c>
      <c r="BH79" s="20">
        <v>35131455</v>
      </c>
      <c r="BI79" s="44">
        <v>54769436</v>
      </c>
      <c r="BJ79" s="44"/>
      <c r="BK79" s="44"/>
      <c r="BL79" s="5">
        <v>1120744088.3770492</v>
      </c>
      <c r="BM79" s="5">
        <v>913466579.37704921</v>
      </c>
      <c r="BN79" s="15">
        <v>605000</v>
      </c>
      <c r="BO79" s="3"/>
      <c r="BP79" s="1"/>
      <c r="BQ79" s="1"/>
      <c r="BR79" s="5"/>
      <c r="BS79" s="5"/>
      <c r="BT79" s="5"/>
    </row>
    <row r="80" spans="1:72" x14ac:dyDescent="0.25">
      <c r="A80" s="6" t="s">
        <v>134</v>
      </c>
      <c r="B80" s="40">
        <v>1136574444</v>
      </c>
      <c r="C80" s="40">
        <v>180285548</v>
      </c>
      <c r="D80" s="40">
        <v>310982067</v>
      </c>
      <c r="E80" s="40">
        <v>0</v>
      </c>
      <c r="F80" s="40">
        <v>96119503</v>
      </c>
      <c r="G80" s="40">
        <v>17614996</v>
      </c>
      <c r="H80" s="40">
        <v>18405622</v>
      </c>
      <c r="I80" s="40">
        <v>2040873</v>
      </c>
      <c r="J80" s="40">
        <v>431100</v>
      </c>
      <c r="K80" s="40">
        <v>52000</v>
      </c>
      <c r="L80" s="40">
        <v>191769846</v>
      </c>
      <c r="M80" s="40">
        <v>152032319</v>
      </c>
      <c r="N80" s="40">
        <v>3520</v>
      </c>
      <c r="O80" s="40">
        <v>634</v>
      </c>
      <c r="P80" s="40">
        <v>18844033</v>
      </c>
      <c r="Q80" s="40">
        <v>2787587</v>
      </c>
      <c r="R80" s="40">
        <v>2094500</v>
      </c>
      <c r="S80" s="40">
        <v>3435576</v>
      </c>
      <c r="T80" s="40">
        <v>318750</v>
      </c>
      <c r="U80" s="40">
        <v>258437</v>
      </c>
      <c r="V80" s="40">
        <v>18844033</v>
      </c>
      <c r="W80" s="40">
        <v>2787587</v>
      </c>
      <c r="X80" s="40">
        <v>2094500</v>
      </c>
      <c r="Y80" s="40">
        <v>3435576</v>
      </c>
      <c r="Z80" s="40">
        <v>318750</v>
      </c>
      <c r="AA80" s="40">
        <v>258437</v>
      </c>
      <c r="AB80" s="40">
        <v>-5977968</v>
      </c>
      <c r="AC80" s="40">
        <v>-157113</v>
      </c>
      <c r="AD80" s="40">
        <v>0</v>
      </c>
      <c r="AE80" s="40">
        <v>0</v>
      </c>
      <c r="AF80" s="40">
        <v>0</v>
      </c>
      <c r="AG80" s="40">
        <v>25975</v>
      </c>
      <c r="AH80" s="40">
        <v>0</v>
      </c>
      <c r="AI80" s="40">
        <v>42106.557377049183</v>
      </c>
      <c r="AJ80" s="46">
        <v>0</v>
      </c>
      <c r="AK80" s="1">
        <v>232674408</v>
      </c>
      <c r="AL80" s="1">
        <v>24680786</v>
      </c>
      <c r="AM80" s="40">
        <v>4219070</v>
      </c>
      <c r="AN80" s="40">
        <v>78753044</v>
      </c>
      <c r="AO80" s="40">
        <v>42847369</v>
      </c>
      <c r="AP80" s="40">
        <v>845424822</v>
      </c>
      <c r="AQ80" s="40">
        <v>60318514</v>
      </c>
      <c r="AR80" s="40">
        <v>170905961</v>
      </c>
      <c r="AS80" s="40">
        <v>116883580</v>
      </c>
      <c r="AT80" s="40">
        <v>887580</v>
      </c>
      <c r="AU80" s="40">
        <v>0</v>
      </c>
      <c r="AV80" s="40">
        <v>0</v>
      </c>
      <c r="AW80" s="40">
        <v>387000</v>
      </c>
      <c r="AX80" s="40">
        <v>0</v>
      </c>
      <c r="AY80" s="40">
        <v>81019</v>
      </c>
      <c r="AZ80" s="1">
        <v>17529793.23</v>
      </c>
      <c r="BA80" s="1">
        <v>8940195</v>
      </c>
      <c r="BB80" s="1">
        <v>13717617</v>
      </c>
      <c r="BC80" s="15">
        <v>766782</v>
      </c>
      <c r="BD80" s="15">
        <v>1503493</v>
      </c>
      <c r="BE80" s="20">
        <v>14411294</v>
      </c>
      <c r="BF80" s="20">
        <v>12135501</v>
      </c>
      <c r="BG80" s="20">
        <v>57225690</v>
      </c>
      <c r="BH80" s="20">
        <v>55239463</v>
      </c>
      <c r="BI80" s="44"/>
      <c r="BJ80" s="44">
        <v>3211780</v>
      </c>
      <c r="BK80" s="44"/>
      <c r="BL80" s="5">
        <v>2147452007.5573771</v>
      </c>
      <c r="BM80" s="5">
        <v>1809803092.5573771</v>
      </c>
      <c r="BN80" s="15">
        <v>2365998</v>
      </c>
      <c r="BO80" s="3"/>
      <c r="BP80" s="1"/>
      <c r="BQ80" s="1"/>
      <c r="BR80" s="5"/>
      <c r="BS80" s="5"/>
      <c r="BT80" s="5"/>
    </row>
    <row r="81" spans="1:72" x14ac:dyDescent="0.25">
      <c r="A81" s="6" t="s">
        <v>135</v>
      </c>
      <c r="B81" s="40">
        <v>102848892</v>
      </c>
      <c r="C81" s="40">
        <v>29324054</v>
      </c>
      <c r="D81" s="40">
        <v>75023570</v>
      </c>
      <c r="E81" s="40">
        <v>0</v>
      </c>
      <c r="F81" s="40">
        <v>16907225</v>
      </c>
      <c r="G81" s="40">
        <v>13784090</v>
      </c>
      <c r="H81" s="40">
        <v>7666925</v>
      </c>
      <c r="I81" s="40">
        <v>2356925</v>
      </c>
      <c r="J81" s="40">
        <v>102000</v>
      </c>
      <c r="K81" s="40">
        <v>0</v>
      </c>
      <c r="L81" s="40">
        <v>15630896</v>
      </c>
      <c r="M81" s="40">
        <v>5150</v>
      </c>
      <c r="N81" s="40">
        <v>922</v>
      </c>
      <c r="O81" s="40">
        <v>606</v>
      </c>
      <c r="P81" s="40">
        <v>4285089</v>
      </c>
      <c r="Q81" s="40">
        <v>118500</v>
      </c>
      <c r="R81" s="40">
        <v>1933100</v>
      </c>
      <c r="S81" s="40">
        <v>1588905</v>
      </c>
      <c r="T81" s="40">
        <v>261750</v>
      </c>
      <c r="U81" s="40">
        <v>259000</v>
      </c>
      <c r="V81" s="40">
        <v>4285089</v>
      </c>
      <c r="W81" s="40">
        <v>111500</v>
      </c>
      <c r="X81" s="40">
        <v>1933100</v>
      </c>
      <c r="Y81" s="40">
        <v>1588905</v>
      </c>
      <c r="Z81" s="40">
        <v>288400</v>
      </c>
      <c r="AA81" s="40">
        <v>259000</v>
      </c>
      <c r="AB81" s="40">
        <v>-1876725</v>
      </c>
      <c r="AC81" s="40">
        <v>-284372</v>
      </c>
      <c r="AD81" s="40">
        <v>0</v>
      </c>
      <c r="AE81" s="40">
        <v>0</v>
      </c>
      <c r="AF81" s="40">
        <v>0</v>
      </c>
      <c r="AG81" s="40">
        <v>0</v>
      </c>
      <c r="AH81" s="40">
        <v>1200672.1311475409</v>
      </c>
      <c r="AI81" s="40">
        <v>85762600.819672137</v>
      </c>
      <c r="AJ81" s="46">
        <v>117680565.57377049</v>
      </c>
      <c r="AK81" s="1">
        <v>74423194</v>
      </c>
      <c r="AL81" s="1">
        <v>2718406</v>
      </c>
      <c r="AM81" s="40">
        <v>0</v>
      </c>
      <c r="AN81" s="40">
        <v>121567753</v>
      </c>
      <c r="AO81" s="40">
        <v>1813984</v>
      </c>
      <c r="AP81" s="40">
        <v>61030861</v>
      </c>
      <c r="AQ81" s="40">
        <v>10757539</v>
      </c>
      <c r="AR81" s="40">
        <v>3657245</v>
      </c>
      <c r="AS81" s="40">
        <v>1376989</v>
      </c>
      <c r="AT81" s="40">
        <v>185398</v>
      </c>
      <c r="AU81" s="40">
        <v>0</v>
      </c>
      <c r="AV81" s="40">
        <v>0</v>
      </c>
      <c r="AW81" s="40">
        <v>0</v>
      </c>
      <c r="AX81" s="40">
        <v>0</v>
      </c>
      <c r="AY81" s="40">
        <v>14717500</v>
      </c>
      <c r="AZ81" s="1">
        <v>5607076.4900000002</v>
      </c>
      <c r="BA81" s="1">
        <v>2859609</v>
      </c>
      <c r="BB81" s="1"/>
      <c r="BC81" s="15">
        <v>2509686</v>
      </c>
      <c r="BD81" s="15">
        <v>4920953</v>
      </c>
      <c r="BE81" s="20">
        <v>24612123</v>
      </c>
      <c r="BF81" s="20">
        <v>24612123</v>
      </c>
      <c r="BG81" s="20">
        <v>50099656</v>
      </c>
      <c r="BH81" s="20">
        <v>45586863</v>
      </c>
      <c r="BI81" s="44"/>
      <c r="BJ81" s="44"/>
      <c r="BK81" s="44"/>
      <c r="BL81" s="5">
        <v>698689511.52459013</v>
      </c>
      <c r="BM81" s="5">
        <v>545979630.52459013</v>
      </c>
      <c r="BN81" s="15">
        <v>1282530</v>
      </c>
      <c r="BO81" s="3"/>
      <c r="BP81" s="1"/>
      <c r="BQ81" s="1"/>
      <c r="BR81" s="5"/>
      <c r="BS81" s="5"/>
      <c r="BT81" s="5"/>
    </row>
    <row r="82" spans="1:72" x14ac:dyDescent="0.25">
      <c r="A82" s="6" t="s">
        <v>136</v>
      </c>
      <c r="B82" s="40">
        <v>389217550</v>
      </c>
      <c r="C82" s="40">
        <v>103287435</v>
      </c>
      <c r="D82" s="40">
        <v>236192640</v>
      </c>
      <c r="E82" s="40">
        <v>23840137</v>
      </c>
      <c r="F82" s="40">
        <v>39334598</v>
      </c>
      <c r="G82" s="40">
        <v>6126998</v>
      </c>
      <c r="H82" s="40">
        <v>5994760</v>
      </c>
      <c r="I82" s="40">
        <v>825907</v>
      </c>
      <c r="J82" s="40">
        <v>34000</v>
      </c>
      <c r="K82" s="40">
        <v>0</v>
      </c>
      <c r="L82" s="40">
        <v>279602088</v>
      </c>
      <c r="M82" s="40">
        <v>65576349</v>
      </c>
      <c r="N82" s="40">
        <v>1422</v>
      </c>
      <c r="O82" s="40">
        <v>231</v>
      </c>
      <c r="P82" s="40">
        <v>1025025</v>
      </c>
      <c r="Q82" s="40">
        <v>1399916</v>
      </c>
      <c r="R82" s="40">
        <v>789000</v>
      </c>
      <c r="S82" s="40">
        <v>3690048</v>
      </c>
      <c r="T82" s="40">
        <v>451528</v>
      </c>
      <c r="U82" s="40">
        <v>933584</v>
      </c>
      <c r="V82" s="40">
        <v>1025025</v>
      </c>
      <c r="W82" s="40">
        <v>1581991</v>
      </c>
      <c r="X82" s="40">
        <v>789000</v>
      </c>
      <c r="Y82" s="40">
        <v>3690048</v>
      </c>
      <c r="Z82" s="40">
        <v>714365</v>
      </c>
      <c r="AA82" s="40">
        <v>933584</v>
      </c>
      <c r="AB82" s="40">
        <v>-2715253</v>
      </c>
      <c r="AC82" s="40">
        <v>-112669</v>
      </c>
      <c r="AD82" s="40">
        <v>0</v>
      </c>
      <c r="AE82" s="40">
        <v>0</v>
      </c>
      <c r="AF82" s="40">
        <v>0</v>
      </c>
      <c r="AG82" s="40">
        <v>136102</v>
      </c>
      <c r="AH82" s="40">
        <v>3188.5245901639346</v>
      </c>
      <c r="AI82" s="40">
        <v>2146680.3278688523</v>
      </c>
      <c r="AJ82" s="46">
        <v>0</v>
      </c>
      <c r="AK82" s="1">
        <v>98324104</v>
      </c>
      <c r="AL82" s="1">
        <v>1913218</v>
      </c>
      <c r="AM82" s="40">
        <v>0</v>
      </c>
      <c r="AN82" s="40">
        <v>68108670</v>
      </c>
      <c r="AO82" s="40">
        <v>9437019</v>
      </c>
      <c r="AP82" s="40">
        <v>192044931</v>
      </c>
      <c r="AQ82" s="40">
        <v>45473980</v>
      </c>
      <c r="AR82" s="40">
        <v>41385435</v>
      </c>
      <c r="AS82" s="40">
        <v>58827489</v>
      </c>
      <c r="AT82" s="40">
        <v>0</v>
      </c>
      <c r="AU82" s="40">
        <v>148879</v>
      </c>
      <c r="AV82" s="40">
        <v>0</v>
      </c>
      <c r="AW82" s="40">
        <v>27456711</v>
      </c>
      <c r="AX82" s="40">
        <v>31754</v>
      </c>
      <c r="AY82" s="40">
        <v>610150</v>
      </c>
      <c r="AZ82" s="1">
        <v>7407781.6600000001</v>
      </c>
      <c r="BA82" s="1">
        <v>3777969</v>
      </c>
      <c r="BB82" s="1">
        <v>15466321</v>
      </c>
      <c r="BC82" s="15">
        <v>3119612</v>
      </c>
      <c r="BD82" s="15">
        <v>6116887</v>
      </c>
      <c r="BE82" s="20">
        <v>186816920</v>
      </c>
      <c r="BF82" s="20">
        <v>186816920</v>
      </c>
      <c r="BG82" s="20">
        <v>80176231</v>
      </c>
      <c r="BH82" s="20">
        <v>74380628</v>
      </c>
      <c r="BI82" s="44"/>
      <c r="BJ82" s="44"/>
      <c r="BK82" s="44"/>
      <c r="BL82" s="5">
        <v>1222199613.852459</v>
      </c>
      <c r="BM82" s="5">
        <v>853867162.85245895</v>
      </c>
      <c r="BN82" s="15">
        <v>496424</v>
      </c>
      <c r="BO82" s="3"/>
      <c r="BP82" s="1"/>
      <c r="BQ82" s="1"/>
      <c r="BR82" s="5"/>
      <c r="BS82" s="5"/>
      <c r="BT82" s="5"/>
    </row>
    <row r="83" spans="1:72" x14ac:dyDescent="0.25">
      <c r="A83" s="6" t="s">
        <v>137</v>
      </c>
      <c r="B83" s="40">
        <v>822555994</v>
      </c>
      <c r="C83" s="40">
        <v>146736005</v>
      </c>
      <c r="D83" s="40">
        <v>98896600</v>
      </c>
      <c r="E83" s="40">
        <v>0</v>
      </c>
      <c r="F83" s="40">
        <v>50526967</v>
      </c>
      <c r="G83" s="40">
        <v>13497050</v>
      </c>
      <c r="H83" s="40">
        <v>13835595</v>
      </c>
      <c r="I83" s="40">
        <v>1200350</v>
      </c>
      <c r="J83" s="40">
        <v>102000</v>
      </c>
      <c r="K83" s="40">
        <v>0</v>
      </c>
      <c r="L83" s="40">
        <v>344257900</v>
      </c>
      <c r="M83" s="40">
        <v>80913700</v>
      </c>
      <c r="N83" s="40">
        <v>2007</v>
      </c>
      <c r="O83" s="40">
        <v>475</v>
      </c>
      <c r="P83" s="40">
        <v>15694900</v>
      </c>
      <c r="Q83" s="40">
        <v>1797300</v>
      </c>
      <c r="R83" s="40">
        <v>1207700</v>
      </c>
      <c r="S83" s="40">
        <v>2409700</v>
      </c>
      <c r="T83" s="40">
        <v>302800</v>
      </c>
      <c r="U83" s="40">
        <v>1498500</v>
      </c>
      <c r="V83" s="40">
        <v>15694900</v>
      </c>
      <c r="W83" s="40">
        <v>1797300</v>
      </c>
      <c r="X83" s="40">
        <v>1207700</v>
      </c>
      <c r="Y83" s="40">
        <v>2409700</v>
      </c>
      <c r="Z83" s="40">
        <v>302800</v>
      </c>
      <c r="AA83" s="40">
        <v>1498500</v>
      </c>
      <c r="AB83" s="40">
        <v>-3065100</v>
      </c>
      <c r="AC83" s="40">
        <v>-62516</v>
      </c>
      <c r="AD83" s="40">
        <v>56933</v>
      </c>
      <c r="AE83" s="40">
        <v>0</v>
      </c>
      <c r="AF83" s="40">
        <v>0</v>
      </c>
      <c r="AG83" s="40">
        <v>144387</v>
      </c>
      <c r="AH83" s="40">
        <v>0</v>
      </c>
      <c r="AI83" s="40">
        <v>12447585.245901641</v>
      </c>
      <c r="AJ83" s="46">
        <v>0</v>
      </c>
      <c r="AK83" s="1">
        <v>155656998</v>
      </c>
      <c r="AL83" s="1">
        <v>7766635</v>
      </c>
      <c r="AM83" s="40">
        <v>0</v>
      </c>
      <c r="AN83" s="40">
        <v>34112346</v>
      </c>
      <c r="AO83" s="40">
        <v>2016395</v>
      </c>
      <c r="AP83" s="40">
        <v>60461496</v>
      </c>
      <c r="AQ83" s="40">
        <v>16424661</v>
      </c>
      <c r="AR83" s="40">
        <v>16144134</v>
      </c>
      <c r="AS83" s="40">
        <v>23497369</v>
      </c>
      <c r="AT83" s="40">
        <v>0</v>
      </c>
      <c r="AU83" s="40">
        <v>0</v>
      </c>
      <c r="AV83" s="40">
        <v>0</v>
      </c>
      <c r="AW83" s="40">
        <v>346514</v>
      </c>
      <c r="AX83" s="40">
        <v>4383</v>
      </c>
      <c r="AY83" s="40">
        <v>0</v>
      </c>
      <c r="AZ83" s="1">
        <v>11727267.359999999</v>
      </c>
      <c r="BA83" s="1">
        <v>5980906</v>
      </c>
      <c r="BB83" s="1">
        <v>44300518</v>
      </c>
      <c r="BC83" s="15">
        <v>1659651</v>
      </c>
      <c r="BD83" s="15">
        <v>3254217</v>
      </c>
      <c r="BE83" s="20">
        <v>14942197</v>
      </c>
      <c r="BF83" s="20">
        <v>14398994</v>
      </c>
      <c r="BG83" s="20">
        <v>58926529</v>
      </c>
      <c r="BH83" s="20">
        <v>56546172</v>
      </c>
      <c r="BI83" s="44"/>
      <c r="BJ83" s="44"/>
      <c r="BK83" s="44"/>
      <c r="BL83" s="5">
        <v>1375198942.2459016</v>
      </c>
      <c r="BM83" s="5">
        <v>1133189586.2459016</v>
      </c>
      <c r="BN83" s="15">
        <v>3788250</v>
      </c>
      <c r="BO83" s="3"/>
      <c r="BP83" s="1"/>
      <c r="BQ83" s="1"/>
      <c r="BR83" s="5"/>
      <c r="BS83" s="5"/>
      <c r="BT83" s="5"/>
    </row>
    <row r="84" spans="1:72" x14ac:dyDescent="0.25">
      <c r="A84" s="6" t="s">
        <v>138</v>
      </c>
      <c r="B84" s="40">
        <v>91756464</v>
      </c>
      <c r="C84" s="40">
        <v>31449109</v>
      </c>
      <c r="D84" s="40">
        <v>8617041</v>
      </c>
      <c r="E84" s="40">
        <v>0</v>
      </c>
      <c r="F84" s="40">
        <v>9933555</v>
      </c>
      <c r="G84" s="40">
        <v>9225560</v>
      </c>
      <c r="H84" s="40">
        <v>5384985</v>
      </c>
      <c r="I84" s="40">
        <v>1615230</v>
      </c>
      <c r="J84" s="40">
        <v>0</v>
      </c>
      <c r="K84" s="40">
        <v>34000</v>
      </c>
      <c r="L84" s="40">
        <v>25974638</v>
      </c>
      <c r="M84" s="40">
        <v>20790306</v>
      </c>
      <c r="N84" s="40">
        <v>534</v>
      </c>
      <c r="O84" s="40">
        <v>406</v>
      </c>
      <c r="P84" s="40">
        <v>468450</v>
      </c>
      <c r="Q84" s="40">
        <v>0</v>
      </c>
      <c r="R84" s="40">
        <v>456000</v>
      </c>
      <c r="S84" s="40">
        <v>1627085</v>
      </c>
      <c r="T84" s="40">
        <v>187507</v>
      </c>
      <c r="U84" s="40">
        <v>160473</v>
      </c>
      <c r="V84" s="40">
        <v>468450</v>
      </c>
      <c r="W84" s="40">
        <v>72400</v>
      </c>
      <c r="X84" s="40">
        <v>456000</v>
      </c>
      <c r="Y84" s="40">
        <v>1627085</v>
      </c>
      <c r="Z84" s="40">
        <v>244807</v>
      </c>
      <c r="AA84" s="40">
        <v>160473</v>
      </c>
      <c r="AB84" s="40">
        <v>-1739740</v>
      </c>
      <c r="AC84" s="40">
        <v>-55632</v>
      </c>
      <c r="AD84" s="40">
        <v>67228</v>
      </c>
      <c r="AE84" s="40">
        <v>0</v>
      </c>
      <c r="AF84" s="40">
        <v>3882105</v>
      </c>
      <c r="AG84" s="40">
        <v>77129</v>
      </c>
      <c r="AH84" s="40">
        <v>0</v>
      </c>
      <c r="AI84" s="40">
        <v>207524.59016393445</v>
      </c>
      <c r="AJ84" s="46">
        <v>0</v>
      </c>
      <c r="AK84" s="1">
        <v>24615807</v>
      </c>
      <c r="AL84" s="1">
        <v>1265062</v>
      </c>
      <c r="AM84" s="40">
        <v>0</v>
      </c>
      <c r="AN84" s="40">
        <v>2612009</v>
      </c>
      <c r="AO84" s="40">
        <v>13903</v>
      </c>
      <c r="AP84" s="40">
        <v>3812274</v>
      </c>
      <c r="AQ84" s="40">
        <v>3328600</v>
      </c>
      <c r="AR84" s="40">
        <v>1803301</v>
      </c>
      <c r="AS84" s="40">
        <v>0</v>
      </c>
      <c r="AT84" s="40">
        <v>250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1">
        <v>1854565.83</v>
      </c>
      <c r="BA84" s="1">
        <v>945829</v>
      </c>
      <c r="BB84" s="1"/>
      <c r="BC84" s="15">
        <v>0</v>
      </c>
      <c r="BD84" s="15">
        <v>0</v>
      </c>
      <c r="BE84" s="20">
        <v>2775126</v>
      </c>
      <c r="BF84" s="20">
        <v>2775126</v>
      </c>
      <c r="BG84" s="20">
        <v>16587382</v>
      </c>
      <c r="BH84" s="20">
        <v>16563038</v>
      </c>
      <c r="BI84" s="44"/>
      <c r="BJ84" s="44"/>
      <c r="BK84" s="44"/>
      <c r="BL84" s="5">
        <v>184149512.59016395</v>
      </c>
      <c r="BM84" s="5">
        <v>137984650.59016395</v>
      </c>
      <c r="BN84" s="15">
        <v>229530</v>
      </c>
      <c r="BO84" s="3"/>
      <c r="BP84" s="1"/>
      <c r="BQ84" s="1"/>
      <c r="BR84" s="5"/>
      <c r="BS84" s="5"/>
      <c r="BT84" s="5"/>
    </row>
    <row r="85" spans="1:72" x14ac:dyDescent="0.25">
      <c r="A85" s="6" t="s">
        <v>139</v>
      </c>
      <c r="B85" s="40">
        <v>730256040</v>
      </c>
      <c r="C85" s="40">
        <v>229852672</v>
      </c>
      <c r="D85" s="40">
        <v>205973278</v>
      </c>
      <c r="E85" s="40">
        <v>0</v>
      </c>
      <c r="F85" s="40">
        <v>61262319</v>
      </c>
      <c r="G85" s="40">
        <v>8818331</v>
      </c>
      <c r="H85" s="40">
        <v>15703777</v>
      </c>
      <c r="I85" s="40">
        <v>1928221</v>
      </c>
      <c r="J85" s="40">
        <v>68000</v>
      </c>
      <c r="K85" s="40">
        <v>0</v>
      </c>
      <c r="L85" s="40">
        <v>337181054</v>
      </c>
      <c r="M85" s="40">
        <v>181217510</v>
      </c>
      <c r="N85" s="40">
        <v>2303</v>
      </c>
      <c r="O85" s="40">
        <v>326</v>
      </c>
      <c r="P85" s="40">
        <v>3300950</v>
      </c>
      <c r="Q85" s="40">
        <v>1842780</v>
      </c>
      <c r="R85" s="40">
        <v>9593452</v>
      </c>
      <c r="S85" s="40">
        <v>13931422</v>
      </c>
      <c r="T85" s="40">
        <v>666248</v>
      </c>
      <c r="U85" s="40">
        <v>1900472</v>
      </c>
      <c r="V85" s="40">
        <v>3300950</v>
      </c>
      <c r="W85" s="40">
        <v>2403403</v>
      </c>
      <c r="X85" s="40">
        <v>9593452</v>
      </c>
      <c r="Y85" s="40">
        <v>14027778</v>
      </c>
      <c r="Z85" s="40">
        <v>1699361</v>
      </c>
      <c r="AA85" s="40">
        <v>1900472</v>
      </c>
      <c r="AB85" s="40">
        <v>-1813830</v>
      </c>
      <c r="AC85" s="40">
        <v>306420</v>
      </c>
      <c r="AD85" s="40">
        <v>3529</v>
      </c>
      <c r="AE85" s="40">
        <v>0</v>
      </c>
      <c r="AF85" s="40">
        <v>0</v>
      </c>
      <c r="AG85" s="40">
        <v>138326</v>
      </c>
      <c r="AH85" s="40">
        <v>0</v>
      </c>
      <c r="AI85" s="40">
        <v>137721.31147540986</v>
      </c>
      <c r="AJ85" s="46">
        <v>0</v>
      </c>
      <c r="AK85" s="1">
        <v>133710976</v>
      </c>
      <c r="AL85" s="1">
        <v>6609039</v>
      </c>
      <c r="AM85" s="40">
        <v>633234</v>
      </c>
      <c r="AN85" s="40">
        <v>34019731</v>
      </c>
      <c r="AO85" s="40">
        <v>8243902</v>
      </c>
      <c r="AP85" s="40">
        <v>204492489</v>
      </c>
      <c r="AQ85" s="40">
        <v>27237525</v>
      </c>
      <c r="AR85" s="40">
        <v>12429824</v>
      </c>
      <c r="AS85" s="40">
        <v>12584361</v>
      </c>
      <c r="AT85" s="40">
        <v>183473790</v>
      </c>
      <c r="AU85" s="40">
        <v>0</v>
      </c>
      <c r="AV85" s="40">
        <v>0</v>
      </c>
      <c r="AW85" s="40">
        <v>10526</v>
      </c>
      <c r="AX85" s="40">
        <v>158409</v>
      </c>
      <c r="AY85" s="40">
        <v>22000</v>
      </c>
      <c r="AZ85" s="1">
        <v>10073844.310000001</v>
      </c>
      <c r="BA85" s="1">
        <v>5137661</v>
      </c>
      <c r="BB85" s="1"/>
      <c r="BC85" s="15">
        <v>2074714</v>
      </c>
      <c r="BD85" s="15">
        <v>4068067</v>
      </c>
      <c r="BE85" s="20">
        <v>44765377</v>
      </c>
      <c r="BF85" s="20">
        <v>44765377</v>
      </c>
      <c r="BG85" s="20">
        <v>58891150</v>
      </c>
      <c r="BH85" s="20">
        <v>55947908</v>
      </c>
      <c r="BI85" s="44"/>
      <c r="BJ85" s="44"/>
      <c r="BK85" s="44"/>
      <c r="BL85" s="5">
        <v>1483966544.3114755</v>
      </c>
      <c r="BM85" s="5">
        <v>1235720869.3114755</v>
      </c>
      <c r="BN85" s="15">
        <v>823913</v>
      </c>
      <c r="BO85" s="3"/>
      <c r="BP85" s="1"/>
      <c r="BQ85" s="1"/>
      <c r="BR85" s="5"/>
      <c r="BS85" s="5"/>
      <c r="BT85" s="5"/>
    </row>
    <row r="86" spans="1:72" x14ac:dyDescent="0.25">
      <c r="A86" s="6" t="s">
        <v>140</v>
      </c>
      <c r="B86" s="40">
        <v>109930277</v>
      </c>
      <c r="C86" s="40">
        <v>110178943</v>
      </c>
      <c r="D86" s="40">
        <v>46684632</v>
      </c>
      <c r="E86" s="40">
        <v>0</v>
      </c>
      <c r="F86" s="40">
        <v>17445720</v>
      </c>
      <c r="G86" s="40">
        <v>5595811</v>
      </c>
      <c r="H86" s="40">
        <v>13789875</v>
      </c>
      <c r="I86" s="40">
        <v>1649572</v>
      </c>
      <c r="J86" s="40">
        <v>71000</v>
      </c>
      <c r="K86" s="40">
        <v>0</v>
      </c>
      <c r="L86" s="40">
        <v>159039658</v>
      </c>
      <c r="M86" s="40">
        <v>0</v>
      </c>
      <c r="N86" s="40">
        <v>1006</v>
      </c>
      <c r="O86" s="40">
        <v>270</v>
      </c>
      <c r="P86" s="40">
        <v>1727775</v>
      </c>
      <c r="Q86" s="40">
        <v>1875656</v>
      </c>
      <c r="R86" s="40">
        <v>120000</v>
      </c>
      <c r="S86" s="40">
        <v>1655161</v>
      </c>
      <c r="T86" s="40">
        <v>1283475</v>
      </c>
      <c r="U86" s="40">
        <v>1198383</v>
      </c>
      <c r="V86" s="40">
        <v>1727775</v>
      </c>
      <c r="W86" s="40">
        <v>3370364</v>
      </c>
      <c r="X86" s="40">
        <v>120000</v>
      </c>
      <c r="Y86" s="40">
        <v>1655161</v>
      </c>
      <c r="Z86" s="40">
        <v>2369168</v>
      </c>
      <c r="AA86" s="40">
        <v>1198383</v>
      </c>
      <c r="AB86" s="40">
        <v>-1176150</v>
      </c>
      <c r="AC86" s="40">
        <v>-26428</v>
      </c>
      <c r="AD86" s="40">
        <v>38</v>
      </c>
      <c r="AE86" s="40">
        <v>0</v>
      </c>
      <c r="AF86" s="40">
        <v>0</v>
      </c>
      <c r="AG86" s="40">
        <v>0</v>
      </c>
      <c r="AH86" s="40">
        <v>1366663.9344262294</v>
      </c>
      <c r="AI86" s="40">
        <v>0</v>
      </c>
      <c r="AJ86" s="46">
        <v>0</v>
      </c>
      <c r="AK86" s="1">
        <v>47187711</v>
      </c>
      <c r="AL86" s="1">
        <v>1102470</v>
      </c>
      <c r="AM86" s="40">
        <v>0</v>
      </c>
      <c r="AN86" s="40">
        <v>8529128</v>
      </c>
      <c r="AO86" s="40">
        <v>2302528</v>
      </c>
      <c r="AP86" s="40">
        <v>61020031</v>
      </c>
      <c r="AQ86" s="40">
        <v>8713353</v>
      </c>
      <c r="AR86" s="40">
        <v>26323014</v>
      </c>
      <c r="AS86" s="40">
        <v>7626601</v>
      </c>
      <c r="AT86" s="40">
        <v>207785</v>
      </c>
      <c r="AU86" s="40">
        <v>0</v>
      </c>
      <c r="AV86" s="40">
        <v>0</v>
      </c>
      <c r="AW86" s="40">
        <v>0</v>
      </c>
      <c r="AX86" s="40">
        <v>0</v>
      </c>
      <c r="AY86" s="40">
        <v>10000</v>
      </c>
      <c r="AZ86" s="1">
        <v>3555143.1</v>
      </c>
      <c r="BA86" s="1">
        <v>1813123</v>
      </c>
      <c r="BB86" s="1"/>
      <c r="BC86" s="15">
        <v>0</v>
      </c>
      <c r="BD86" s="15">
        <v>0</v>
      </c>
      <c r="BE86" s="20">
        <v>16520979</v>
      </c>
      <c r="BF86" s="20">
        <v>16520979</v>
      </c>
      <c r="BG86" s="20">
        <v>39334563</v>
      </c>
      <c r="BH86" s="20">
        <v>39325434</v>
      </c>
      <c r="BI86" s="44"/>
      <c r="BJ86" s="44"/>
      <c r="BK86" s="44"/>
      <c r="BL86" s="5">
        <v>393655241.93442619</v>
      </c>
      <c r="BM86" s="5">
        <v>287705524.93442619</v>
      </c>
      <c r="BN86" s="15">
        <v>590398</v>
      </c>
      <c r="BO86" s="3"/>
      <c r="BP86" s="1"/>
      <c r="BQ86" s="1"/>
      <c r="BR86" s="5"/>
      <c r="BS86" s="5"/>
      <c r="BT86" s="5"/>
    </row>
    <row r="87" spans="1:72" x14ac:dyDescent="0.25">
      <c r="A87" s="6" t="s">
        <v>141</v>
      </c>
      <c r="B87" s="40">
        <v>142949248</v>
      </c>
      <c r="C87" s="40">
        <v>93856575</v>
      </c>
      <c r="D87" s="40">
        <v>42308317</v>
      </c>
      <c r="E87" s="40">
        <v>0</v>
      </c>
      <c r="F87" s="40">
        <v>26815469</v>
      </c>
      <c r="G87" s="40">
        <v>7438150</v>
      </c>
      <c r="H87" s="40">
        <v>10055000</v>
      </c>
      <c r="I87" s="40">
        <v>735400</v>
      </c>
      <c r="J87" s="40">
        <v>34000</v>
      </c>
      <c r="K87" s="40">
        <v>0</v>
      </c>
      <c r="L87" s="40">
        <v>237312169</v>
      </c>
      <c r="M87" s="40">
        <v>26444000</v>
      </c>
      <c r="N87" s="40">
        <v>1165</v>
      </c>
      <c r="O87" s="40">
        <v>299</v>
      </c>
      <c r="P87" s="40">
        <v>875600</v>
      </c>
      <c r="Q87" s="40">
        <v>1455750</v>
      </c>
      <c r="R87" s="40">
        <v>341000</v>
      </c>
      <c r="S87" s="40">
        <v>1606914</v>
      </c>
      <c r="T87" s="40">
        <v>700650</v>
      </c>
      <c r="U87" s="40">
        <v>346500</v>
      </c>
      <c r="V87" s="40">
        <v>875600</v>
      </c>
      <c r="W87" s="40">
        <v>1378000</v>
      </c>
      <c r="X87" s="40">
        <v>341000</v>
      </c>
      <c r="Y87" s="40">
        <v>1606914</v>
      </c>
      <c r="Z87" s="40">
        <v>1093073</v>
      </c>
      <c r="AA87" s="40">
        <v>346500</v>
      </c>
      <c r="AB87" s="40">
        <v>-622100</v>
      </c>
      <c r="AC87" s="40">
        <v>0</v>
      </c>
      <c r="AD87" s="40">
        <v>86650</v>
      </c>
      <c r="AE87" s="40">
        <v>0</v>
      </c>
      <c r="AF87" s="40">
        <v>0</v>
      </c>
      <c r="AG87" s="40">
        <v>198559</v>
      </c>
      <c r="AH87" s="40">
        <v>57237.704918032789</v>
      </c>
      <c r="AI87" s="40">
        <v>68229.508196721305</v>
      </c>
      <c r="AJ87" s="46">
        <v>0</v>
      </c>
      <c r="AK87" s="1">
        <v>53506764</v>
      </c>
      <c r="AL87" s="1">
        <v>1009718</v>
      </c>
      <c r="AM87" s="40">
        <v>0</v>
      </c>
      <c r="AN87" s="40">
        <v>13203735</v>
      </c>
      <c r="AO87" s="40">
        <v>108911</v>
      </c>
      <c r="AP87" s="40">
        <v>14184403</v>
      </c>
      <c r="AQ87" s="40">
        <v>19608610</v>
      </c>
      <c r="AR87" s="40">
        <v>9791683</v>
      </c>
      <c r="AS87" s="40">
        <v>0</v>
      </c>
      <c r="AT87" s="40">
        <v>393393</v>
      </c>
      <c r="AU87" s="40">
        <v>0</v>
      </c>
      <c r="AV87" s="40">
        <v>129251</v>
      </c>
      <c r="AW87" s="40">
        <v>0</v>
      </c>
      <c r="AX87" s="40">
        <v>0</v>
      </c>
      <c r="AY87" s="40">
        <v>0</v>
      </c>
      <c r="AZ87" s="1">
        <v>4031223.36</v>
      </c>
      <c r="BA87" s="1">
        <v>2055924</v>
      </c>
      <c r="BB87" s="1"/>
      <c r="BC87" s="15">
        <v>0</v>
      </c>
      <c r="BD87" s="15">
        <v>0</v>
      </c>
      <c r="BE87" s="20">
        <v>12879803</v>
      </c>
      <c r="BF87" s="20">
        <v>12879803</v>
      </c>
      <c r="BG87" s="20">
        <v>26221448</v>
      </c>
      <c r="BH87" s="20">
        <v>26154350</v>
      </c>
      <c r="BI87" s="44"/>
      <c r="BJ87" s="44"/>
      <c r="BK87" s="44"/>
      <c r="BL87" s="5">
        <v>407767422.21311474</v>
      </c>
      <c r="BM87" s="5">
        <v>312160863.21311474</v>
      </c>
      <c r="BN87" s="15">
        <v>255200</v>
      </c>
      <c r="BO87" s="3"/>
      <c r="BP87" s="1"/>
      <c r="BQ87" s="1"/>
      <c r="BR87" s="5"/>
      <c r="BS87" s="5"/>
      <c r="BT87" s="5"/>
    </row>
    <row r="88" spans="1:72" x14ac:dyDescent="0.25">
      <c r="A88" s="6" t="s">
        <v>142</v>
      </c>
      <c r="B88" s="40">
        <v>716952609</v>
      </c>
      <c r="C88" s="40">
        <v>112808277</v>
      </c>
      <c r="D88" s="40">
        <v>300097151</v>
      </c>
      <c r="E88" s="40">
        <v>18746129</v>
      </c>
      <c r="F88" s="40">
        <v>56081700</v>
      </c>
      <c r="G88" s="40">
        <v>16888100</v>
      </c>
      <c r="H88" s="40">
        <v>9065000</v>
      </c>
      <c r="I88" s="40">
        <v>2228000</v>
      </c>
      <c r="J88" s="40">
        <v>136000</v>
      </c>
      <c r="K88" s="40">
        <v>0</v>
      </c>
      <c r="L88" s="40">
        <v>192856123</v>
      </c>
      <c r="M88" s="40">
        <v>86177000</v>
      </c>
      <c r="N88" s="40">
        <v>1996</v>
      </c>
      <c r="O88" s="40">
        <v>623</v>
      </c>
      <c r="P88" s="40">
        <v>3859850</v>
      </c>
      <c r="Q88" s="40">
        <v>1207400</v>
      </c>
      <c r="R88" s="40">
        <v>12142000</v>
      </c>
      <c r="S88" s="40">
        <v>12106425</v>
      </c>
      <c r="T88" s="40">
        <v>1382300</v>
      </c>
      <c r="U88" s="40">
        <v>8790000</v>
      </c>
      <c r="V88" s="40">
        <v>3859850</v>
      </c>
      <c r="W88" s="40">
        <v>1284900</v>
      </c>
      <c r="X88" s="40">
        <v>12142000</v>
      </c>
      <c r="Y88" s="40">
        <v>12106425</v>
      </c>
      <c r="Z88" s="40">
        <v>3907100</v>
      </c>
      <c r="AA88" s="40">
        <v>8790000</v>
      </c>
      <c r="AB88" s="40">
        <v>-1393150</v>
      </c>
      <c r="AC88" s="40">
        <v>119986</v>
      </c>
      <c r="AD88" s="40">
        <v>5020</v>
      </c>
      <c r="AE88" s="40">
        <v>0</v>
      </c>
      <c r="AF88" s="40">
        <v>0</v>
      </c>
      <c r="AG88" s="40">
        <v>108510</v>
      </c>
      <c r="AH88" s="40">
        <v>0</v>
      </c>
      <c r="AI88" s="40">
        <v>162573.7704918033</v>
      </c>
      <c r="AJ88" s="46">
        <v>0</v>
      </c>
      <c r="AK88" s="1">
        <v>145568299</v>
      </c>
      <c r="AL88" s="1">
        <v>3948297</v>
      </c>
      <c r="AM88" s="40">
        <v>0</v>
      </c>
      <c r="AN88" s="40">
        <v>45669124</v>
      </c>
      <c r="AO88" s="40">
        <v>2539768</v>
      </c>
      <c r="AP88" s="40">
        <v>139978505</v>
      </c>
      <c r="AQ88" s="40">
        <v>47480338</v>
      </c>
      <c r="AR88" s="40">
        <v>65438317</v>
      </c>
      <c r="AS88" s="40">
        <v>18026611</v>
      </c>
      <c r="AT88" s="40">
        <v>537685</v>
      </c>
      <c r="AU88" s="40">
        <v>0</v>
      </c>
      <c r="AV88" s="40">
        <v>0</v>
      </c>
      <c r="AW88" s="40">
        <v>9233260</v>
      </c>
      <c r="AX88" s="40">
        <v>36373</v>
      </c>
      <c r="AY88" s="40">
        <v>4885387</v>
      </c>
      <c r="AZ88" s="1">
        <v>10967180.289999999</v>
      </c>
      <c r="BA88" s="1">
        <v>5593262</v>
      </c>
      <c r="BB88" s="1"/>
      <c r="BC88" s="15">
        <v>0</v>
      </c>
      <c r="BD88" s="15">
        <v>0</v>
      </c>
      <c r="BE88" s="20">
        <v>25682003</v>
      </c>
      <c r="BF88" s="20">
        <v>25682003</v>
      </c>
      <c r="BG88" s="20">
        <v>38667315</v>
      </c>
      <c r="BH88" s="20">
        <v>37432801</v>
      </c>
      <c r="BI88" s="44"/>
      <c r="BJ88" s="44"/>
      <c r="BK88" s="44"/>
      <c r="BL88" s="5">
        <v>1443934502.7704918</v>
      </c>
      <c r="BM88" s="5">
        <v>1225709840.7704918</v>
      </c>
      <c r="BN88" s="15">
        <v>1307100</v>
      </c>
      <c r="BO88" s="3"/>
      <c r="BP88" s="1"/>
      <c r="BQ88" s="1"/>
      <c r="BR88" s="5"/>
      <c r="BS88" s="5"/>
      <c r="BT88" s="5"/>
    </row>
    <row r="89" spans="1:72" x14ac:dyDescent="0.25">
      <c r="A89" s="6" t="s">
        <v>143</v>
      </c>
      <c r="B89" s="40">
        <v>123892400</v>
      </c>
      <c r="C89" s="40">
        <v>91288850</v>
      </c>
      <c r="D89" s="40">
        <v>43551440</v>
      </c>
      <c r="E89" s="40">
        <v>0</v>
      </c>
      <c r="F89" s="40">
        <v>16267100</v>
      </c>
      <c r="G89" s="40">
        <v>12478300</v>
      </c>
      <c r="H89" s="40">
        <v>11394500</v>
      </c>
      <c r="I89" s="40">
        <v>5282200</v>
      </c>
      <c r="J89" s="40">
        <v>0</v>
      </c>
      <c r="K89" s="40">
        <v>0</v>
      </c>
      <c r="L89" s="40">
        <v>66292425</v>
      </c>
      <c r="M89" s="40">
        <v>0</v>
      </c>
      <c r="N89" s="40">
        <v>813</v>
      </c>
      <c r="O89" s="40">
        <v>522</v>
      </c>
      <c r="P89" s="40">
        <v>992000</v>
      </c>
      <c r="Q89" s="40">
        <v>312000</v>
      </c>
      <c r="R89" s="40">
        <v>3932000</v>
      </c>
      <c r="S89" s="40">
        <v>1187900</v>
      </c>
      <c r="T89" s="40">
        <v>1399000</v>
      </c>
      <c r="U89" s="40">
        <v>788940</v>
      </c>
      <c r="V89" s="40">
        <v>992000</v>
      </c>
      <c r="W89" s="40">
        <v>415000</v>
      </c>
      <c r="X89" s="40">
        <v>3932000</v>
      </c>
      <c r="Y89" s="40">
        <v>1187900</v>
      </c>
      <c r="Z89" s="40">
        <v>1418400</v>
      </c>
      <c r="AA89" s="40">
        <v>788940</v>
      </c>
      <c r="AB89" s="40">
        <v>-1663640</v>
      </c>
      <c r="AC89" s="40">
        <v>0</v>
      </c>
      <c r="AD89" s="40">
        <v>1050</v>
      </c>
      <c r="AE89" s="40">
        <v>0</v>
      </c>
      <c r="AF89" s="40">
        <v>0</v>
      </c>
      <c r="AG89" s="40">
        <v>0</v>
      </c>
      <c r="AH89" s="40">
        <v>449467.21311475412</v>
      </c>
      <c r="AI89" s="40">
        <v>1051936.8852459018</v>
      </c>
      <c r="AJ89" s="46">
        <v>1196.7213114754099</v>
      </c>
      <c r="AK89" s="15">
        <v>67643792</v>
      </c>
      <c r="AL89" s="1">
        <v>1877169</v>
      </c>
      <c r="AM89" s="40">
        <v>0</v>
      </c>
      <c r="AN89" s="40">
        <v>14098740</v>
      </c>
      <c r="AO89" s="40">
        <v>74621</v>
      </c>
      <c r="AP89" s="40">
        <v>1047681</v>
      </c>
      <c r="AQ89" s="40">
        <v>6617910</v>
      </c>
      <c r="AR89" s="40">
        <v>11682784</v>
      </c>
      <c r="AS89" s="40">
        <v>0</v>
      </c>
      <c r="AT89" s="40">
        <v>630241</v>
      </c>
      <c r="AU89" s="40">
        <v>0</v>
      </c>
      <c r="AV89" s="40">
        <v>0</v>
      </c>
      <c r="AW89" s="40">
        <v>0</v>
      </c>
      <c r="AX89" s="40">
        <v>0</v>
      </c>
      <c r="AY89" s="40">
        <v>56370</v>
      </c>
      <c r="AZ89" s="1">
        <v>5096313.33</v>
      </c>
      <c r="BA89" s="1">
        <v>2599120</v>
      </c>
      <c r="BB89" s="1"/>
      <c r="BC89" s="15">
        <v>0</v>
      </c>
      <c r="BD89" s="15">
        <v>0</v>
      </c>
      <c r="BE89" s="20">
        <v>659097</v>
      </c>
      <c r="BF89" s="20">
        <v>659097</v>
      </c>
      <c r="BG89" s="20">
        <v>35847118</v>
      </c>
      <c r="BH89" s="20">
        <v>35831904</v>
      </c>
      <c r="BI89" s="44"/>
      <c r="BJ89" s="44"/>
      <c r="BK89" s="44"/>
      <c r="BL89" s="5">
        <v>389637643.81967211</v>
      </c>
      <c r="BM89" s="5">
        <v>281026561.81967211</v>
      </c>
      <c r="BN89" s="15">
        <v>5293500</v>
      </c>
      <c r="BO89" s="3"/>
      <c r="BP89" s="1"/>
      <c r="BQ89" s="1"/>
      <c r="BR89" s="5"/>
      <c r="BS89" s="5"/>
      <c r="BT89" s="5"/>
    </row>
    <row r="90" spans="1:72" x14ac:dyDescent="0.25">
      <c r="A90" s="6" t="s">
        <v>144</v>
      </c>
      <c r="B90" s="40">
        <v>559593842</v>
      </c>
      <c r="C90" s="40">
        <v>153978351</v>
      </c>
      <c r="D90" s="40">
        <v>182110698</v>
      </c>
      <c r="E90" s="40">
        <v>0</v>
      </c>
      <c r="F90" s="40">
        <v>79616110</v>
      </c>
      <c r="G90" s="40">
        <v>35560440</v>
      </c>
      <c r="H90" s="40">
        <v>12675400</v>
      </c>
      <c r="I90" s="40">
        <v>3336800</v>
      </c>
      <c r="J90" s="40">
        <v>136000</v>
      </c>
      <c r="K90" s="40">
        <v>34000</v>
      </c>
      <c r="L90" s="40">
        <v>162136880</v>
      </c>
      <c r="M90" s="40">
        <v>64105550</v>
      </c>
      <c r="N90" s="40">
        <v>2861</v>
      </c>
      <c r="O90" s="40">
        <v>1265</v>
      </c>
      <c r="P90" s="40">
        <v>13364682</v>
      </c>
      <c r="Q90" s="40">
        <v>5914445</v>
      </c>
      <c r="R90" s="40">
        <v>9408476</v>
      </c>
      <c r="S90" s="40">
        <v>7778142</v>
      </c>
      <c r="T90" s="40">
        <v>2654100</v>
      </c>
      <c r="U90" s="40">
        <v>2109510</v>
      </c>
      <c r="V90" s="40">
        <v>13364682</v>
      </c>
      <c r="W90" s="40">
        <v>11426620</v>
      </c>
      <c r="X90" s="40">
        <v>9408476</v>
      </c>
      <c r="Y90" s="40">
        <v>7778142</v>
      </c>
      <c r="Z90" s="40">
        <v>2969300</v>
      </c>
      <c r="AA90" s="40">
        <v>2109510</v>
      </c>
      <c r="AB90" s="40">
        <v>-8146000</v>
      </c>
      <c r="AC90" s="40">
        <v>-40271</v>
      </c>
      <c r="AD90" s="40">
        <v>66606</v>
      </c>
      <c r="AE90" s="40">
        <v>53231</v>
      </c>
      <c r="AF90" s="40">
        <v>13866</v>
      </c>
      <c r="AG90" s="40">
        <v>125168</v>
      </c>
      <c r="AH90" s="40">
        <v>8853762.2950819675</v>
      </c>
      <c r="AI90" s="40">
        <v>516969.67213114758</v>
      </c>
      <c r="AJ90" s="46">
        <v>39521286.885245904</v>
      </c>
      <c r="AK90" s="1">
        <v>239355180</v>
      </c>
      <c r="AL90" s="1">
        <v>5980960</v>
      </c>
      <c r="AM90" s="40">
        <v>0</v>
      </c>
      <c r="AN90" s="40">
        <v>87360894</v>
      </c>
      <c r="AO90" s="40">
        <v>7607463</v>
      </c>
      <c r="AP90" s="40">
        <v>61829977</v>
      </c>
      <c r="AQ90" s="40">
        <v>57386101</v>
      </c>
      <c r="AR90" s="40">
        <v>22836722</v>
      </c>
      <c r="AS90" s="40">
        <v>11961274</v>
      </c>
      <c r="AT90" s="40">
        <v>13481176</v>
      </c>
      <c r="AU90" s="40">
        <v>0</v>
      </c>
      <c r="AV90" s="40">
        <v>0</v>
      </c>
      <c r="AW90" s="40">
        <v>2047325</v>
      </c>
      <c r="AX90" s="40">
        <v>25231</v>
      </c>
      <c r="AY90" s="40">
        <v>469500</v>
      </c>
      <c r="AZ90" s="1">
        <v>18033125.559999999</v>
      </c>
      <c r="BA90" s="1">
        <v>9196894</v>
      </c>
      <c r="BB90" s="1">
        <v>6198187</v>
      </c>
      <c r="BC90" s="15">
        <v>3235444</v>
      </c>
      <c r="BD90" s="15">
        <v>6344008</v>
      </c>
      <c r="BE90" s="20">
        <v>54558600</v>
      </c>
      <c r="BF90" s="20">
        <v>52726352</v>
      </c>
      <c r="BG90" s="20">
        <v>119513519</v>
      </c>
      <c r="BH90" s="20">
        <v>116876001</v>
      </c>
      <c r="BI90" s="44"/>
      <c r="BJ90" s="44"/>
      <c r="BK90" s="44"/>
      <c r="BL90" s="5">
        <v>1524300198.852459</v>
      </c>
      <c r="BM90" s="5">
        <v>1096929367.852459</v>
      </c>
      <c r="BN90" s="15">
        <v>587700</v>
      </c>
      <c r="BO90" s="3"/>
      <c r="BP90" s="1"/>
      <c r="BQ90" s="1"/>
      <c r="BR90" s="5"/>
      <c r="BS90" s="5"/>
      <c r="BT90" s="5"/>
    </row>
    <row r="91" spans="1:72" x14ac:dyDescent="0.25">
      <c r="A91" s="6" t="s">
        <v>145</v>
      </c>
      <c r="B91" s="40">
        <v>1569605167</v>
      </c>
      <c r="C91" s="40">
        <v>311692710</v>
      </c>
      <c r="D91" s="40">
        <v>473209099</v>
      </c>
      <c r="E91" s="40">
        <v>2600000</v>
      </c>
      <c r="F91" s="40">
        <v>81894779</v>
      </c>
      <c r="G91" s="40">
        <v>17560432</v>
      </c>
      <c r="H91" s="40">
        <v>19302300</v>
      </c>
      <c r="I91" s="40">
        <v>2082565</v>
      </c>
      <c r="J91" s="40">
        <v>340000</v>
      </c>
      <c r="K91" s="40">
        <v>0</v>
      </c>
      <c r="L91" s="40">
        <v>605823692</v>
      </c>
      <c r="M91" s="40">
        <v>258979713</v>
      </c>
      <c r="N91" s="40">
        <v>3032</v>
      </c>
      <c r="O91" s="40">
        <v>606</v>
      </c>
      <c r="P91" s="40">
        <v>11270575</v>
      </c>
      <c r="Q91" s="40">
        <v>3433240</v>
      </c>
      <c r="R91" s="40">
        <v>2869500</v>
      </c>
      <c r="S91" s="40">
        <v>6019397</v>
      </c>
      <c r="T91" s="40">
        <v>440870</v>
      </c>
      <c r="U91" s="40">
        <v>4759131</v>
      </c>
      <c r="V91" s="40">
        <v>11270575</v>
      </c>
      <c r="W91" s="40">
        <v>3433240</v>
      </c>
      <c r="X91" s="40">
        <v>2869500</v>
      </c>
      <c r="Y91" s="40">
        <v>6019397</v>
      </c>
      <c r="Z91" s="40">
        <v>440870</v>
      </c>
      <c r="AA91" s="40">
        <v>4759131</v>
      </c>
      <c r="AB91" s="40">
        <v>-9159537</v>
      </c>
      <c r="AC91" s="40">
        <v>-27569658</v>
      </c>
      <c r="AD91" s="40">
        <v>29080</v>
      </c>
      <c r="AE91" s="40">
        <v>0</v>
      </c>
      <c r="AF91" s="40">
        <v>0</v>
      </c>
      <c r="AG91" s="40">
        <v>250433</v>
      </c>
      <c r="AH91" s="40">
        <v>0</v>
      </c>
      <c r="AI91" s="40">
        <v>439000.00000000006</v>
      </c>
      <c r="AJ91" s="46">
        <v>0</v>
      </c>
      <c r="AK91" s="1">
        <v>279294168</v>
      </c>
      <c r="AL91" s="1">
        <v>7405550</v>
      </c>
      <c r="AM91" s="40">
        <v>26400</v>
      </c>
      <c r="AN91" s="40">
        <v>66807187</v>
      </c>
      <c r="AO91" s="40">
        <v>9704136</v>
      </c>
      <c r="AP91" s="40">
        <v>350806283</v>
      </c>
      <c r="AQ91" s="40">
        <v>64783411</v>
      </c>
      <c r="AR91" s="40">
        <v>69203724</v>
      </c>
      <c r="AS91" s="15">
        <v>1994454</v>
      </c>
      <c r="AT91" s="40">
        <v>564576</v>
      </c>
      <c r="AU91" s="40">
        <v>0</v>
      </c>
      <c r="AV91" s="40">
        <v>0</v>
      </c>
      <c r="AW91" s="40">
        <v>1486583</v>
      </c>
      <c r="AX91" s="40">
        <v>117995</v>
      </c>
      <c r="AY91" s="40">
        <v>1806018</v>
      </c>
      <c r="AZ91" s="1">
        <v>21042146.649999999</v>
      </c>
      <c r="BA91" s="1">
        <v>10731495</v>
      </c>
      <c r="BB91" s="1"/>
      <c r="BC91" s="15">
        <v>775228</v>
      </c>
      <c r="BD91" s="15">
        <v>1520054</v>
      </c>
      <c r="BE91" s="20">
        <v>11758711</v>
      </c>
      <c r="BF91" s="20">
        <v>11383643</v>
      </c>
      <c r="BG91" s="20">
        <v>44823012</v>
      </c>
      <c r="BH91" s="20">
        <v>44249171</v>
      </c>
      <c r="BI91" s="44">
        <v>384378253</v>
      </c>
      <c r="BJ91" s="44"/>
      <c r="BK91" s="44"/>
      <c r="BL91" s="5">
        <v>3234458218</v>
      </c>
      <c r="BM91" s="5">
        <v>2496240710</v>
      </c>
      <c r="BN91" s="15">
        <v>2637812</v>
      </c>
      <c r="BO91" s="3"/>
      <c r="BP91" s="1"/>
      <c r="BQ91" s="1"/>
      <c r="BR91" s="5"/>
      <c r="BS91" s="5"/>
      <c r="BT91" s="5"/>
    </row>
    <row r="92" spans="1:72" x14ac:dyDescent="0.25">
      <c r="A92" s="6" t="s">
        <v>146</v>
      </c>
      <c r="B92" s="40">
        <v>108221769</v>
      </c>
      <c r="C92" s="40">
        <v>89694699</v>
      </c>
      <c r="D92" s="40">
        <v>14791446</v>
      </c>
      <c r="E92" s="40">
        <v>0</v>
      </c>
      <c r="F92" s="40">
        <v>17345800</v>
      </c>
      <c r="G92" s="40">
        <v>3463620</v>
      </c>
      <c r="H92" s="40">
        <v>6695300</v>
      </c>
      <c r="I92" s="40">
        <v>1023900</v>
      </c>
      <c r="J92" s="40">
        <v>136000</v>
      </c>
      <c r="K92" s="40">
        <v>0</v>
      </c>
      <c r="L92" s="40">
        <v>70124285</v>
      </c>
      <c r="M92" s="40">
        <v>42853560</v>
      </c>
      <c r="N92" s="40">
        <v>747</v>
      </c>
      <c r="O92" s="40">
        <v>150</v>
      </c>
      <c r="P92" s="40">
        <v>651665</v>
      </c>
      <c r="Q92" s="40">
        <v>543900</v>
      </c>
      <c r="R92" s="40">
        <v>0</v>
      </c>
      <c r="S92" s="40">
        <v>1259394</v>
      </c>
      <c r="T92" s="40">
        <v>1343030</v>
      </c>
      <c r="U92" s="40">
        <v>220000</v>
      </c>
      <c r="V92" s="40">
        <v>651665</v>
      </c>
      <c r="W92" s="40">
        <v>563100</v>
      </c>
      <c r="X92" s="40">
        <v>0</v>
      </c>
      <c r="Y92" s="40">
        <v>1259394</v>
      </c>
      <c r="Z92" s="40">
        <v>1959090</v>
      </c>
      <c r="AA92" s="40">
        <v>220000</v>
      </c>
      <c r="AB92" s="40">
        <v>-398500</v>
      </c>
      <c r="AC92" s="40">
        <v>0</v>
      </c>
      <c r="AD92" s="40">
        <v>0</v>
      </c>
      <c r="AE92" s="40">
        <v>0</v>
      </c>
      <c r="AF92" s="40">
        <v>0</v>
      </c>
      <c r="AG92" s="40">
        <v>81</v>
      </c>
      <c r="AH92" s="40">
        <v>0</v>
      </c>
      <c r="AI92" s="40">
        <v>0</v>
      </c>
      <c r="AJ92" s="46">
        <v>0</v>
      </c>
      <c r="AK92" s="1">
        <v>41151436</v>
      </c>
      <c r="AL92" s="1">
        <v>838325</v>
      </c>
      <c r="AM92" s="3"/>
      <c r="AN92" s="40">
        <v>2483867</v>
      </c>
      <c r="AO92" s="40">
        <v>13058</v>
      </c>
      <c r="AP92" s="40">
        <v>1155715</v>
      </c>
      <c r="AQ92" s="40">
        <v>1818461</v>
      </c>
      <c r="AR92" s="40">
        <v>335345</v>
      </c>
      <c r="AS92" s="3"/>
      <c r="AT92" s="40">
        <v>84229</v>
      </c>
      <c r="AU92" s="3"/>
      <c r="AV92" s="3"/>
      <c r="AW92" s="40">
        <v>12636</v>
      </c>
      <c r="AX92" s="3"/>
      <c r="AY92" s="3"/>
      <c r="AZ92" s="1">
        <v>3100367.46</v>
      </c>
      <c r="BA92" s="1">
        <v>1581187</v>
      </c>
      <c r="BB92" s="1"/>
      <c r="BC92" s="15">
        <v>892266</v>
      </c>
      <c r="BD92" s="15">
        <v>1749541</v>
      </c>
      <c r="BE92" s="20">
        <v>6875945</v>
      </c>
      <c r="BF92" s="20">
        <v>6875945</v>
      </c>
      <c r="BG92" s="20">
        <v>17396387</v>
      </c>
      <c r="BH92" s="20">
        <v>16810876</v>
      </c>
      <c r="BI92" s="44"/>
      <c r="BJ92" s="44"/>
      <c r="BK92" s="44"/>
      <c r="BL92" s="5">
        <v>285173335</v>
      </c>
      <c r="BM92" s="5">
        <v>217023300</v>
      </c>
      <c r="BN92" s="15">
        <v>241950</v>
      </c>
      <c r="BO92" s="3"/>
      <c r="BP92" s="1"/>
      <c r="BQ92" s="1"/>
      <c r="BR92" s="5"/>
      <c r="BS92" s="5"/>
      <c r="BT92" s="5"/>
    </row>
    <row r="93" spans="1:72" x14ac:dyDescent="0.25">
      <c r="A93" s="6" t="s">
        <v>147</v>
      </c>
      <c r="B93" s="40">
        <v>347466534</v>
      </c>
      <c r="C93" s="40">
        <v>202531080</v>
      </c>
      <c r="D93" s="40">
        <v>103179147</v>
      </c>
      <c r="E93" s="40">
        <v>0</v>
      </c>
      <c r="F93" s="40">
        <v>47951060</v>
      </c>
      <c r="G93" s="40">
        <v>14579513</v>
      </c>
      <c r="H93" s="40">
        <v>16861067</v>
      </c>
      <c r="I93" s="40">
        <v>3304410</v>
      </c>
      <c r="J93" s="40">
        <v>168670</v>
      </c>
      <c r="K93" s="40">
        <v>68000</v>
      </c>
      <c r="L93" s="40">
        <v>302878161</v>
      </c>
      <c r="M93" s="40">
        <v>13411038</v>
      </c>
      <c r="N93" s="40">
        <v>2107</v>
      </c>
      <c r="O93" s="40">
        <v>645</v>
      </c>
      <c r="P93" s="40">
        <v>4361050</v>
      </c>
      <c r="Q93" s="40">
        <v>3358150</v>
      </c>
      <c r="R93" s="40">
        <v>1417242</v>
      </c>
      <c r="S93" s="40">
        <v>5226145</v>
      </c>
      <c r="T93" s="40">
        <v>887203</v>
      </c>
      <c r="U93" s="40">
        <v>407320</v>
      </c>
      <c r="V93" s="40">
        <v>4361050</v>
      </c>
      <c r="W93" s="40">
        <v>0</v>
      </c>
      <c r="X93" s="40">
        <v>1417242</v>
      </c>
      <c r="Y93" s="40">
        <v>5226145</v>
      </c>
      <c r="Z93" s="40">
        <v>726826</v>
      </c>
      <c r="AA93" s="40">
        <v>407320</v>
      </c>
      <c r="AB93" s="40">
        <v>-4037730</v>
      </c>
      <c r="AC93" s="40">
        <v>-181069</v>
      </c>
      <c r="AD93" s="40">
        <v>388894</v>
      </c>
      <c r="AE93" s="40">
        <v>19175</v>
      </c>
      <c r="AF93" s="40">
        <v>21259502</v>
      </c>
      <c r="AG93" s="40">
        <v>338894</v>
      </c>
      <c r="AH93" s="40">
        <v>6344401.6393442629</v>
      </c>
      <c r="AI93" s="40">
        <v>389565.57377049181</v>
      </c>
      <c r="AJ93" s="46">
        <v>102599295.08196722</v>
      </c>
      <c r="AK93" s="1">
        <v>119334722</v>
      </c>
      <c r="AL93" s="1">
        <v>3176749</v>
      </c>
      <c r="AM93" s="40">
        <v>8800</v>
      </c>
      <c r="AN93" s="40">
        <v>147350145</v>
      </c>
      <c r="AO93" s="40">
        <v>9950032</v>
      </c>
      <c r="AP93" s="40">
        <v>121833536</v>
      </c>
      <c r="AQ93" s="40">
        <v>26965603</v>
      </c>
      <c r="AR93" s="40">
        <v>24832945</v>
      </c>
      <c r="AS93" s="40">
        <v>3129732</v>
      </c>
      <c r="AT93" s="40">
        <v>2495892</v>
      </c>
      <c r="AU93" s="40">
        <v>0</v>
      </c>
      <c r="AV93" s="40">
        <v>0</v>
      </c>
      <c r="AW93" s="40">
        <v>3637367</v>
      </c>
      <c r="AX93" s="40">
        <v>6924</v>
      </c>
      <c r="AY93" s="40">
        <v>67500</v>
      </c>
      <c r="AZ93" s="1">
        <v>8990730.9499999993</v>
      </c>
      <c r="BA93" s="1">
        <v>4585273</v>
      </c>
      <c r="BB93" s="1">
        <v>7305699</v>
      </c>
      <c r="BC93" s="15">
        <v>1950436</v>
      </c>
      <c r="BD93" s="15">
        <v>3824385</v>
      </c>
      <c r="BE93" s="20">
        <v>52923284</v>
      </c>
      <c r="BF93" s="20">
        <v>50024370</v>
      </c>
      <c r="BG93" s="20">
        <v>59391055</v>
      </c>
      <c r="BH93" s="20">
        <v>56193291</v>
      </c>
      <c r="BI93" s="44"/>
      <c r="BJ93" s="44"/>
      <c r="BK93" s="44"/>
      <c r="BL93" s="5">
        <v>1182040644.2950821</v>
      </c>
      <c r="BM93" s="5">
        <v>946775803.29508197</v>
      </c>
      <c r="BN93" s="15">
        <v>617414</v>
      </c>
      <c r="BO93" s="3"/>
      <c r="BP93" s="1"/>
      <c r="BQ93" s="1"/>
      <c r="BR93" s="5"/>
      <c r="BS93" s="5"/>
      <c r="BT93" s="5"/>
    </row>
    <row r="94" spans="1:72" x14ac:dyDescent="0.25">
      <c r="A94" s="6" t="s">
        <v>148</v>
      </c>
      <c r="B94" s="40">
        <v>4729744647</v>
      </c>
      <c r="C94" s="40">
        <v>225351075</v>
      </c>
      <c r="D94" s="40">
        <v>410087745</v>
      </c>
      <c r="E94" s="40">
        <v>0</v>
      </c>
      <c r="F94" s="40">
        <v>109661000</v>
      </c>
      <c r="G94" s="40">
        <v>9667500</v>
      </c>
      <c r="H94" s="40">
        <v>6528000</v>
      </c>
      <c r="I94" s="40">
        <v>340000</v>
      </c>
      <c r="J94" s="40">
        <v>238000</v>
      </c>
      <c r="K94" s="40">
        <v>0</v>
      </c>
      <c r="L94" s="40">
        <v>596666479</v>
      </c>
      <c r="M94" s="40">
        <v>188623450</v>
      </c>
      <c r="N94" s="40">
        <v>3442</v>
      </c>
      <c r="O94" s="40">
        <v>302</v>
      </c>
      <c r="P94" s="40">
        <v>42451750</v>
      </c>
      <c r="Q94" s="40">
        <v>5306400</v>
      </c>
      <c r="R94" s="40">
        <v>800000</v>
      </c>
      <c r="S94" s="40">
        <v>17352814</v>
      </c>
      <c r="T94" s="40">
        <v>2888000</v>
      </c>
      <c r="U94" s="40">
        <v>450000</v>
      </c>
      <c r="V94" s="40">
        <v>42451750</v>
      </c>
      <c r="W94" s="40">
        <v>15109000</v>
      </c>
      <c r="X94" s="40">
        <v>800000</v>
      </c>
      <c r="Y94" s="40">
        <v>17352814</v>
      </c>
      <c r="Z94" s="40">
        <v>6187500</v>
      </c>
      <c r="AA94" s="40">
        <v>450000</v>
      </c>
      <c r="AB94" s="40">
        <v>-23429154</v>
      </c>
      <c r="AC94" s="40">
        <v>-322991</v>
      </c>
      <c r="AD94" s="40">
        <v>0</v>
      </c>
      <c r="AE94" s="40">
        <v>0</v>
      </c>
      <c r="AF94" s="40">
        <v>0</v>
      </c>
      <c r="AG94" s="40">
        <v>64448</v>
      </c>
      <c r="AH94" s="40">
        <v>0</v>
      </c>
      <c r="AI94" s="40">
        <v>835040.98360655736</v>
      </c>
      <c r="AJ94" s="46">
        <v>0</v>
      </c>
      <c r="AK94" s="1">
        <v>448859104</v>
      </c>
      <c r="AL94" s="1">
        <v>15160250</v>
      </c>
      <c r="AM94" s="40">
        <v>4428175</v>
      </c>
      <c r="AN94" s="40">
        <v>45810456</v>
      </c>
      <c r="AO94" s="40">
        <v>1099540</v>
      </c>
      <c r="AP94" s="40">
        <v>20768796</v>
      </c>
      <c r="AQ94" s="40">
        <v>30545057</v>
      </c>
      <c r="AR94" s="40">
        <v>20519074</v>
      </c>
      <c r="AS94" s="40">
        <v>0</v>
      </c>
      <c r="AT94" s="40">
        <v>8186931</v>
      </c>
      <c r="AU94" s="40">
        <v>0</v>
      </c>
      <c r="AV94" s="40">
        <v>0</v>
      </c>
      <c r="AW94" s="40">
        <v>22996</v>
      </c>
      <c r="AX94" s="40">
        <v>21581</v>
      </c>
      <c r="AY94" s="40">
        <v>25350</v>
      </c>
      <c r="AZ94" s="1">
        <v>33817244.229999997</v>
      </c>
      <c r="BA94" s="1">
        <v>17246795</v>
      </c>
      <c r="BB94" s="1">
        <v>12590674</v>
      </c>
      <c r="BC94" s="15">
        <v>898299</v>
      </c>
      <c r="BD94" s="15">
        <v>1761370</v>
      </c>
      <c r="BE94" s="20">
        <v>29720998</v>
      </c>
      <c r="BF94" s="20">
        <v>29720998</v>
      </c>
      <c r="BG94" s="20">
        <v>67762284</v>
      </c>
      <c r="BH94" s="20">
        <v>66063021</v>
      </c>
      <c r="BI94" s="44"/>
      <c r="BJ94" s="44"/>
      <c r="BK94" s="44"/>
      <c r="BL94" s="5">
        <v>6021422027.9836063</v>
      </c>
      <c r="BM94" s="5">
        <v>5443473560.9836063</v>
      </c>
      <c r="BN94" s="15">
        <v>1505000</v>
      </c>
      <c r="BO94" s="3"/>
      <c r="BP94" s="1"/>
      <c r="BQ94" s="1"/>
      <c r="BR94" s="5"/>
      <c r="BS94" s="5"/>
      <c r="BT94" s="5"/>
    </row>
    <row r="95" spans="1:72" x14ac:dyDescent="0.25">
      <c r="A95" s="6" t="s">
        <v>149</v>
      </c>
      <c r="B95" s="40">
        <v>263997312</v>
      </c>
      <c r="C95" s="40">
        <v>137205375</v>
      </c>
      <c r="D95" s="40">
        <v>41209500</v>
      </c>
      <c r="E95" s="40">
        <v>0</v>
      </c>
      <c r="F95" s="40">
        <v>19717700</v>
      </c>
      <c r="G95" s="40">
        <v>4558800</v>
      </c>
      <c r="H95" s="40">
        <v>10440200</v>
      </c>
      <c r="I95" s="40">
        <v>1108600</v>
      </c>
      <c r="J95" s="40">
        <v>34000</v>
      </c>
      <c r="K95" s="40">
        <v>0</v>
      </c>
      <c r="L95" s="40">
        <v>304364693</v>
      </c>
      <c r="M95" s="40">
        <v>304400</v>
      </c>
      <c r="N95" s="40">
        <v>927</v>
      </c>
      <c r="O95" s="40">
        <v>185</v>
      </c>
      <c r="P95" s="40">
        <v>4884400</v>
      </c>
      <c r="Q95" s="40">
        <v>4598450</v>
      </c>
      <c r="R95" s="40">
        <v>721100</v>
      </c>
      <c r="S95" s="40">
        <v>4966600</v>
      </c>
      <c r="T95" s="40">
        <v>1779800</v>
      </c>
      <c r="U95" s="40">
        <v>1435800</v>
      </c>
      <c r="V95" s="40">
        <v>4884400</v>
      </c>
      <c r="W95" s="40">
        <v>6439100</v>
      </c>
      <c r="X95" s="40">
        <v>721100</v>
      </c>
      <c r="Y95" s="40">
        <v>4966600</v>
      </c>
      <c r="Z95" s="40">
        <v>2768195</v>
      </c>
      <c r="AA95" s="40">
        <v>1435800</v>
      </c>
      <c r="AB95" s="40">
        <v>-2045000</v>
      </c>
      <c r="AC95" s="40">
        <v>-619003</v>
      </c>
      <c r="AD95" s="40">
        <v>71072</v>
      </c>
      <c r="AE95" s="40">
        <v>0</v>
      </c>
      <c r="AF95" s="40">
        <v>0</v>
      </c>
      <c r="AG95" s="40">
        <v>199437</v>
      </c>
      <c r="AH95" s="40">
        <v>0</v>
      </c>
      <c r="AI95" s="40">
        <v>0</v>
      </c>
      <c r="AJ95" s="46">
        <v>0</v>
      </c>
      <c r="AK95" s="1">
        <v>69728759</v>
      </c>
      <c r="AL95" s="1">
        <v>2580613</v>
      </c>
      <c r="AM95" s="40">
        <v>0</v>
      </c>
      <c r="AN95" s="40">
        <v>8342456</v>
      </c>
      <c r="AO95" s="40">
        <v>3537382</v>
      </c>
      <c r="AP95" s="40">
        <v>4603257</v>
      </c>
      <c r="AQ95" s="40">
        <v>4754293</v>
      </c>
      <c r="AR95" s="40">
        <v>6480230</v>
      </c>
      <c r="AS95" s="40">
        <v>510145</v>
      </c>
      <c r="AT95" s="40">
        <v>482055</v>
      </c>
      <c r="AU95" s="40">
        <v>0</v>
      </c>
      <c r="AV95" s="40">
        <v>22728</v>
      </c>
      <c r="AW95" s="40">
        <v>0</v>
      </c>
      <c r="AX95" s="40">
        <v>0</v>
      </c>
      <c r="AY95" s="40">
        <v>125500</v>
      </c>
      <c r="AZ95" s="1">
        <v>5253395.67</v>
      </c>
      <c r="BA95" s="1">
        <v>2679232</v>
      </c>
      <c r="BB95" s="1">
        <v>3847150</v>
      </c>
      <c r="BC95" s="15">
        <v>0</v>
      </c>
      <c r="BD95" s="15">
        <v>0</v>
      </c>
      <c r="BE95" s="20">
        <v>71463722</v>
      </c>
      <c r="BF95" s="20">
        <v>71463722</v>
      </c>
      <c r="BG95" s="20">
        <v>45826327</v>
      </c>
      <c r="BH95" s="20">
        <v>45739352</v>
      </c>
      <c r="BI95" s="44"/>
      <c r="BJ95" s="44"/>
      <c r="BK95" s="44"/>
      <c r="BL95" s="5">
        <v>651237996</v>
      </c>
      <c r="BM95" s="5">
        <v>459046318</v>
      </c>
      <c r="BN95" s="15">
        <v>246300</v>
      </c>
      <c r="BO95" s="3"/>
      <c r="BP95" s="1"/>
      <c r="BQ95" s="1"/>
      <c r="BR95" s="5"/>
      <c r="BS95" s="5"/>
      <c r="BT95" s="5"/>
    </row>
    <row r="96" spans="1:72" x14ac:dyDescent="0.25">
      <c r="A96" s="6" t="s">
        <v>150</v>
      </c>
      <c r="B96" s="40">
        <v>33150247</v>
      </c>
      <c r="C96" s="40">
        <v>33570466</v>
      </c>
      <c r="D96" s="40">
        <v>10672130</v>
      </c>
      <c r="E96" s="40">
        <v>0</v>
      </c>
      <c r="F96" s="40">
        <v>7348600</v>
      </c>
      <c r="G96" s="40">
        <v>7644200</v>
      </c>
      <c r="H96" s="40">
        <v>5640600</v>
      </c>
      <c r="I96" s="40">
        <v>2993600</v>
      </c>
      <c r="J96" s="40">
        <v>26000</v>
      </c>
      <c r="K96" s="40">
        <v>0</v>
      </c>
      <c r="L96" s="40">
        <v>20312162</v>
      </c>
      <c r="M96" s="40">
        <v>21064836</v>
      </c>
      <c r="N96" s="56">
        <v>415</v>
      </c>
      <c r="O96" s="56">
        <v>354</v>
      </c>
      <c r="P96" s="40">
        <v>842000</v>
      </c>
      <c r="Q96" s="40">
        <v>345000</v>
      </c>
      <c r="R96" s="40">
        <v>5000</v>
      </c>
      <c r="S96" s="40">
        <v>269400</v>
      </c>
      <c r="T96" s="40">
        <v>422500</v>
      </c>
      <c r="U96" s="40">
        <v>53000</v>
      </c>
      <c r="V96" s="40">
        <v>842000</v>
      </c>
      <c r="W96" s="40">
        <v>345000</v>
      </c>
      <c r="X96" s="40">
        <v>5000</v>
      </c>
      <c r="Y96" s="40">
        <v>269400</v>
      </c>
      <c r="Z96" s="40">
        <v>422500</v>
      </c>
      <c r="AA96" s="40">
        <v>53000</v>
      </c>
      <c r="AB96" s="40">
        <v>-1288000</v>
      </c>
      <c r="AC96" s="40">
        <v>-7552</v>
      </c>
      <c r="AD96" s="40">
        <v>49906</v>
      </c>
      <c r="AE96" s="40">
        <v>0</v>
      </c>
      <c r="AF96" s="40">
        <v>0</v>
      </c>
      <c r="AG96" s="40">
        <v>105295</v>
      </c>
      <c r="AH96" s="40">
        <v>0</v>
      </c>
      <c r="AI96" s="40">
        <v>395328.68852459022</v>
      </c>
      <c r="AJ96" s="46">
        <v>3119467.2131147543</v>
      </c>
      <c r="AK96" s="1">
        <v>17686436</v>
      </c>
      <c r="AL96" s="1">
        <v>403643</v>
      </c>
      <c r="AM96" s="40">
        <v>0</v>
      </c>
      <c r="AN96" s="40">
        <v>4084910</v>
      </c>
      <c r="AO96" s="40">
        <v>31994</v>
      </c>
      <c r="AP96" s="40">
        <v>947181</v>
      </c>
      <c r="AQ96" s="40">
        <v>709338</v>
      </c>
      <c r="AR96" s="40">
        <v>12188</v>
      </c>
      <c r="AS96" s="40">
        <v>0</v>
      </c>
      <c r="AT96" s="40">
        <v>0</v>
      </c>
      <c r="AU96" s="40">
        <v>0</v>
      </c>
      <c r="AV96" s="40">
        <v>0</v>
      </c>
      <c r="AW96" s="40">
        <v>0</v>
      </c>
      <c r="AX96" s="40">
        <v>0</v>
      </c>
      <c r="AY96" s="40">
        <v>0</v>
      </c>
      <c r="AZ96" s="1">
        <v>1332503.94</v>
      </c>
      <c r="BA96" s="1">
        <v>679577</v>
      </c>
      <c r="BB96" s="1"/>
      <c r="BC96" s="15">
        <v>0</v>
      </c>
      <c r="BD96" s="15">
        <v>0</v>
      </c>
      <c r="BE96" s="20">
        <v>795746</v>
      </c>
      <c r="BF96" s="20">
        <v>795746</v>
      </c>
      <c r="BG96" s="20">
        <v>17139720</v>
      </c>
      <c r="BH96" s="20">
        <v>17118419</v>
      </c>
      <c r="BI96" s="44"/>
      <c r="BJ96" s="44"/>
      <c r="BK96" s="44"/>
      <c r="BL96" s="5">
        <v>122417701.90163934</v>
      </c>
      <c r="BM96" s="5">
        <v>85733880.901639342</v>
      </c>
      <c r="BN96" s="15">
        <v>270800</v>
      </c>
      <c r="BO96" s="3"/>
      <c r="BP96" s="1"/>
      <c r="BQ96" s="1"/>
      <c r="BR96" s="5"/>
      <c r="BS96" s="5"/>
      <c r="BT96" s="5"/>
    </row>
    <row r="97" spans="1:72" x14ac:dyDescent="0.25">
      <c r="A97" s="6" t="s">
        <v>151</v>
      </c>
      <c r="B97" s="40">
        <v>293856674</v>
      </c>
      <c r="C97" s="40">
        <v>164778961</v>
      </c>
      <c r="D97" s="40">
        <v>59452589</v>
      </c>
      <c r="E97" s="40">
        <v>14000</v>
      </c>
      <c r="F97" s="40">
        <v>23163900</v>
      </c>
      <c r="G97" s="40">
        <v>6069200</v>
      </c>
      <c r="H97" s="40">
        <v>14352000</v>
      </c>
      <c r="I97" s="40">
        <v>1555200</v>
      </c>
      <c r="J97" s="40">
        <v>94000</v>
      </c>
      <c r="K97" s="40">
        <v>34000</v>
      </c>
      <c r="L97" s="40">
        <v>244756097</v>
      </c>
      <c r="M97" s="40">
        <v>126856977</v>
      </c>
      <c r="N97" s="40">
        <v>1149</v>
      </c>
      <c r="O97" s="40">
        <v>241</v>
      </c>
      <c r="P97" s="40">
        <v>2016904</v>
      </c>
      <c r="Q97" s="40">
        <v>4648385</v>
      </c>
      <c r="R97" s="40">
        <v>522100</v>
      </c>
      <c r="S97" s="40">
        <v>8553735</v>
      </c>
      <c r="T97" s="40">
        <v>3684298</v>
      </c>
      <c r="U97" s="40">
        <v>726110</v>
      </c>
      <c r="V97" s="40">
        <v>2016904</v>
      </c>
      <c r="W97" s="40">
        <v>5593100</v>
      </c>
      <c r="X97" s="40">
        <v>522100</v>
      </c>
      <c r="Y97" s="40">
        <v>8553735</v>
      </c>
      <c r="Z97" s="40">
        <v>17929137</v>
      </c>
      <c r="AA97" s="40">
        <v>726110</v>
      </c>
      <c r="AB97" s="40">
        <v>-1277800</v>
      </c>
      <c r="AC97" s="40">
        <v>-7000</v>
      </c>
      <c r="AD97" s="40">
        <v>62</v>
      </c>
      <c r="AE97" s="40">
        <v>0</v>
      </c>
      <c r="AF97" s="40">
        <v>0</v>
      </c>
      <c r="AG97" s="40">
        <v>157312</v>
      </c>
      <c r="AH97" s="40">
        <v>0</v>
      </c>
      <c r="AI97" s="40">
        <v>2296278.6885245903</v>
      </c>
      <c r="AJ97" s="46">
        <v>0</v>
      </c>
      <c r="AK97" s="1">
        <v>86433870</v>
      </c>
      <c r="AL97" s="1">
        <v>2029899</v>
      </c>
      <c r="AM97" s="40">
        <v>0</v>
      </c>
      <c r="AN97" s="40">
        <v>17853476</v>
      </c>
      <c r="AO97" s="40">
        <v>3526147</v>
      </c>
      <c r="AP97" s="40">
        <v>65887376</v>
      </c>
      <c r="AQ97" s="40">
        <v>7846042</v>
      </c>
      <c r="AR97" s="40">
        <v>7056149</v>
      </c>
      <c r="AS97" s="40">
        <v>2559943</v>
      </c>
      <c r="AT97" s="40">
        <v>220227</v>
      </c>
      <c r="AU97" s="40">
        <v>0</v>
      </c>
      <c r="AV97" s="40">
        <v>0</v>
      </c>
      <c r="AW97" s="40">
        <v>0</v>
      </c>
      <c r="AX97" s="40">
        <v>316590</v>
      </c>
      <c r="AY97" s="40">
        <v>525954</v>
      </c>
      <c r="AZ97" s="1">
        <v>6511966.1500000004</v>
      </c>
      <c r="BA97" s="1">
        <v>3321103</v>
      </c>
      <c r="BB97" s="1">
        <v>2642487</v>
      </c>
      <c r="BC97" s="15">
        <v>2509686</v>
      </c>
      <c r="BD97" s="15">
        <v>4920953</v>
      </c>
      <c r="BE97" s="20">
        <v>18824112</v>
      </c>
      <c r="BF97" s="20">
        <v>18824112</v>
      </c>
      <c r="BG97" s="20">
        <v>52360527</v>
      </c>
      <c r="BH97" s="20">
        <v>46122104</v>
      </c>
      <c r="BI97" s="44"/>
      <c r="BJ97" s="44"/>
      <c r="BK97" s="44"/>
      <c r="BL97" s="5">
        <v>708850941.6885246</v>
      </c>
      <c r="BM97" s="5">
        <v>549610167.6885246</v>
      </c>
      <c r="BN97" s="15">
        <v>455525</v>
      </c>
      <c r="BO97" s="3"/>
      <c r="BP97" s="1"/>
      <c r="BQ97" s="1"/>
      <c r="BR97" s="5"/>
      <c r="BS97" s="5"/>
      <c r="BT97" s="5"/>
    </row>
    <row r="98" spans="1:72" x14ac:dyDescent="0.25">
      <c r="A98" s="6" t="s">
        <v>152</v>
      </c>
      <c r="B98" s="40">
        <v>445433553</v>
      </c>
      <c r="C98" s="40">
        <v>57876344</v>
      </c>
      <c r="D98" s="40">
        <v>277596417</v>
      </c>
      <c r="E98" s="40">
        <v>0</v>
      </c>
      <c r="F98" s="40">
        <v>61919800</v>
      </c>
      <c r="G98" s="40">
        <v>41444913</v>
      </c>
      <c r="H98" s="40">
        <v>11774300</v>
      </c>
      <c r="I98" s="40">
        <v>4234300</v>
      </c>
      <c r="J98" s="40">
        <v>567800</v>
      </c>
      <c r="K98" s="40">
        <v>136000</v>
      </c>
      <c r="L98" s="40">
        <v>60100100</v>
      </c>
      <c r="M98" s="40">
        <v>41133259</v>
      </c>
      <c r="N98" s="40">
        <v>2437</v>
      </c>
      <c r="O98" s="40">
        <v>1647</v>
      </c>
      <c r="P98" s="40">
        <v>1783000</v>
      </c>
      <c r="Q98" s="40">
        <v>0</v>
      </c>
      <c r="R98" s="40">
        <v>5000</v>
      </c>
      <c r="S98" s="40">
        <v>906100</v>
      </c>
      <c r="T98" s="40">
        <v>0</v>
      </c>
      <c r="U98" s="40">
        <v>48000</v>
      </c>
      <c r="V98" s="40">
        <v>1783000</v>
      </c>
      <c r="W98" s="40">
        <v>0</v>
      </c>
      <c r="X98" s="40">
        <v>5000</v>
      </c>
      <c r="Y98" s="40">
        <v>906100</v>
      </c>
      <c r="Z98" s="40">
        <v>0</v>
      </c>
      <c r="AA98" s="40">
        <v>48000</v>
      </c>
      <c r="AB98" s="40">
        <v>-7552081</v>
      </c>
      <c r="AC98" s="40">
        <v>-9471</v>
      </c>
      <c r="AD98" s="40">
        <v>144879</v>
      </c>
      <c r="AE98" s="40">
        <v>35</v>
      </c>
      <c r="AF98" s="40">
        <v>0</v>
      </c>
      <c r="AG98" s="40">
        <v>171348</v>
      </c>
      <c r="AH98" s="40">
        <v>16801180.327868853</v>
      </c>
      <c r="AI98" s="40">
        <v>99646118.852459028</v>
      </c>
      <c r="AJ98" s="46">
        <v>277269445</v>
      </c>
      <c r="AK98" s="1">
        <v>199011847</v>
      </c>
      <c r="AL98" s="1">
        <v>5003966</v>
      </c>
      <c r="AM98" s="40">
        <v>0</v>
      </c>
      <c r="AN98" s="40">
        <v>246104740</v>
      </c>
      <c r="AO98" s="40">
        <v>16530880</v>
      </c>
      <c r="AP98" s="40">
        <v>75808656</v>
      </c>
      <c r="AQ98" s="40">
        <v>66090504</v>
      </c>
      <c r="AR98" s="40">
        <v>47420199</v>
      </c>
      <c r="AS98" s="40">
        <v>481645</v>
      </c>
      <c r="AT98" s="40">
        <v>131875</v>
      </c>
      <c r="AU98" s="40">
        <v>0</v>
      </c>
      <c r="AV98" s="40">
        <v>0</v>
      </c>
      <c r="AW98" s="40">
        <v>38785832</v>
      </c>
      <c r="AX98" s="40">
        <v>20662</v>
      </c>
      <c r="AY98" s="40">
        <v>15104290</v>
      </c>
      <c r="AZ98" s="1">
        <v>14993640.93</v>
      </c>
      <c r="BA98" s="1">
        <v>7646757</v>
      </c>
      <c r="BB98" s="1"/>
      <c r="BC98" s="15">
        <v>6289901</v>
      </c>
      <c r="BD98" s="15">
        <v>12333140</v>
      </c>
      <c r="BE98" s="20">
        <v>17144589</v>
      </c>
      <c r="BF98" s="20">
        <v>17144589</v>
      </c>
      <c r="BG98" s="20">
        <v>94475567</v>
      </c>
      <c r="BH98" s="20">
        <v>84700971</v>
      </c>
      <c r="BI98" s="44"/>
      <c r="BJ98" s="44"/>
      <c r="BK98" s="44"/>
      <c r="BL98" s="5">
        <v>1823147213.1803279</v>
      </c>
      <c r="BM98" s="5">
        <v>1503349182.1803279</v>
      </c>
      <c r="BN98" s="15">
        <v>1160600</v>
      </c>
      <c r="BO98" s="3"/>
      <c r="BP98" s="1"/>
      <c r="BQ98" s="1"/>
      <c r="BR98" s="5"/>
      <c r="BS98" s="5"/>
      <c r="BT98" s="5"/>
    </row>
    <row r="99" spans="1:72" x14ac:dyDescent="0.25">
      <c r="A99" s="6" t="s">
        <v>153</v>
      </c>
      <c r="B99" s="40">
        <v>964008220</v>
      </c>
      <c r="C99" s="40">
        <v>150528998</v>
      </c>
      <c r="D99" s="40">
        <v>380194374</v>
      </c>
      <c r="E99" s="40">
        <v>0</v>
      </c>
      <c r="F99" s="40">
        <v>135562800</v>
      </c>
      <c r="G99" s="40">
        <v>123578550</v>
      </c>
      <c r="H99" s="40">
        <v>29843250</v>
      </c>
      <c r="I99" s="40">
        <v>18150950</v>
      </c>
      <c r="J99" s="40">
        <v>578000</v>
      </c>
      <c r="K99" s="40">
        <v>294000</v>
      </c>
      <c r="L99" s="40">
        <v>150675938</v>
      </c>
      <c r="M99" s="40">
        <v>152931559</v>
      </c>
      <c r="N99" s="40">
        <v>5661</v>
      </c>
      <c r="O99" s="40">
        <v>5295</v>
      </c>
      <c r="P99" s="40">
        <v>11645600</v>
      </c>
      <c r="Q99" s="40">
        <v>2091800</v>
      </c>
      <c r="R99" s="40">
        <v>2042500</v>
      </c>
      <c r="S99" s="40">
        <v>7700892</v>
      </c>
      <c r="T99" s="40">
        <v>850700</v>
      </c>
      <c r="U99" s="40">
        <v>1559350</v>
      </c>
      <c r="V99" s="40">
        <v>11645600</v>
      </c>
      <c r="W99" s="40">
        <v>3005200</v>
      </c>
      <c r="X99" s="40">
        <v>2042500</v>
      </c>
      <c r="Y99" s="40">
        <v>7700892</v>
      </c>
      <c r="Z99" s="40">
        <v>840760</v>
      </c>
      <c r="AA99" s="40">
        <v>1559350</v>
      </c>
      <c r="AB99" s="40">
        <v>-8460761</v>
      </c>
      <c r="AC99" s="40">
        <v>-1066314</v>
      </c>
      <c r="AD99" s="40">
        <v>375274</v>
      </c>
      <c r="AE99" s="40">
        <v>0</v>
      </c>
      <c r="AF99" s="40">
        <v>0</v>
      </c>
      <c r="AG99" s="40">
        <v>486976</v>
      </c>
      <c r="AH99" s="40">
        <v>11730204.918032788</v>
      </c>
      <c r="AI99" s="40">
        <v>405521229.50819677</v>
      </c>
      <c r="AJ99" s="46">
        <v>412313075</v>
      </c>
      <c r="AK99" s="1">
        <v>468195681</v>
      </c>
      <c r="AL99" s="1">
        <v>9600447</v>
      </c>
      <c r="AM99" s="40">
        <v>0</v>
      </c>
      <c r="AN99" s="40">
        <v>527377847</v>
      </c>
      <c r="AO99" s="40">
        <v>18547585</v>
      </c>
      <c r="AP99" s="40">
        <v>238828381</v>
      </c>
      <c r="AQ99" s="40">
        <v>122908138</v>
      </c>
      <c r="AR99" s="40">
        <v>78870713</v>
      </c>
      <c r="AS99" s="40">
        <v>2912711</v>
      </c>
      <c r="AT99" s="40">
        <v>0</v>
      </c>
      <c r="AU99" s="40">
        <v>0</v>
      </c>
      <c r="AV99" s="40">
        <v>0</v>
      </c>
      <c r="AW99" s="40">
        <v>0</v>
      </c>
      <c r="AX99" s="40">
        <v>29201</v>
      </c>
      <c r="AY99" s="40">
        <v>3555300</v>
      </c>
      <c r="AZ99" s="1">
        <v>35274070.530000001</v>
      </c>
      <c r="BA99" s="1">
        <v>17989776</v>
      </c>
      <c r="BB99" s="1"/>
      <c r="BC99" s="15">
        <v>6691089</v>
      </c>
      <c r="BD99" s="15">
        <v>13119782</v>
      </c>
      <c r="BE99" s="20">
        <v>51412706</v>
      </c>
      <c r="BF99" s="20">
        <v>51412706</v>
      </c>
      <c r="BG99" s="20">
        <v>198948468</v>
      </c>
      <c r="BH99" s="20">
        <v>189027526</v>
      </c>
      <c r="BI99" s="44"/>
      <c r="BJ99" s="44"/>
      <c r="BK99" s="44"/>
      <c r="BL99" s="5">
        <v>3736046896.4262295</v>
      </c>
      <c r="BM99" s="5">
        <v>2993129671.4262295</v>
      </c>
      <c r="BN99" s="15">
        <v>12697469</v>
      </c>
      <c r="BO99" s="3"/>
      <c r="BP99" s="1"/>
      <c r="BQ99" s="1"/>
      <c r="BR99" s="5"/>
      <c r="BS99" s="5"/>
      <c r="BT99" s="5"/>
    </row>
    <row r="100" spans="1:72" x14ac:dyDescent="0.25">
      <c r="A100" s="6" t="s">
        <v>154</v>
      </c>
      <c r="B100" s="40">
        <v>239262324</v>
      </c>
      <c r="C100" s="40">
        <v>51820936</v>
      </c>
      <c r="D100" s="40">
        <v>77936855</v>
      </c>
      <c r="E100" s="40">
        <v>0</v>
      </c>
      <c r="F100" s="40">
        <v>24865054</v>
      </c>
      <c r="G100" s="40">
        <v>12813546</v>
      </c>
      <c r="H100" s="40">
        <v>4742697</v>
      </c>
      <c r="I100" s="40">
        <v>1434935</v>
      </c>
      <c r="J100" s="40">
        <v>68000</v>
      </c>
      <c r="K100" s="40">
        <v>0</v>
      </c>
      <c r="L100" s="40">
        <v>26852281</v>
      </c>
      <c r="M100" s="40">
        <v>27167607</v>
      </c>
      <c r="N100" s="40">
        <v>990</v>
      </c>
      <c r="O100" s="40">
        <v>491</v>
      </c>
      <c r="P100" s="40">
        <v>3022441</v>
      </c>
      <c r="Q100" s="40">
        <v>151460</v>
      </c>
      <c r="R100" s="40">
        <v>2353712</v>
      </c>
      <c r="S100" s="40">
        <v>1662462</v>
      </c>
      <c r="T100" s="40">
        <v>286287</v>
      </c>
      <c r="U100" s="40">
        <v>1174000</v>
      </c>
      <c r="V100" s="40">
        <v>3022441</v>
      </c>
      <c r="W100" s="40">
        <v>76800</v>
      </c>
      <c r="X100" s="40">
        <v>2353712</v>
      </c>
      <c r="Y100" s="40">
        <v>1662462</v>
      </c>
      <c r="Z100" s="40">
        <v>49670</v>
      </c>
      <c r="AA100" s="40">
        <v>1174000</v>
      </c>
      <c r="AB100" s="40">
        <v>-4248826</v>
      </c>
      <c r="AC100" s="40">
        <v>-40139</v>
      </c>
      <c r="AD100" s="40">
        <v>63675</v>
      </c>
      <c r="AE100" s="40">
        <v>0</v>
      </c>
      <c r="AF100" s="40">
        <v>0</v>
      </c>
      <c r="AG100" s="40">
        <v>78059</v>
      </c>
      <c r="AH100" s="40">
        <v>271319.67213114753</v>
      </c>
      <c r="AI100" s="40">
        <v>397778.68852459016</v>
      </c>
      <c r="AJ100" s="46">
        <v>0</v>
      </c>
      <c r="AK100" s="1">
        <v>70215222</v>
      </c>
      <c r="AL100" s="1">
        <v>1385667</v>
      </c>
      <c r="AM100" s="40">
        <v>0</v>
      </c>
      <c r="AN100" s="40">
        <v>7800521</v>
      </c>
      <c r="AO100" s="40">
        <v>54945</v>
      </c>
      <c r="AP100" s="40">
        <v>5160494</v>
      </c>
      <c r="AQ100" s="40">
        <v>9219812</v>
      </c>
      <c r="AR100" s="40">
        <v>4922235</v>
      </c>
      <c r="AS100" s="40">
        <v>0</v>
      </c>
      <c r="AT100" s="40">
        <v>0</v>
      </c>
      <c r="AU100" s="40">
        <v>0</v>
      </c>
      <c r="AV100" s="40">
        <v>0</v>
      </c>
      <c r="AW100" s="40">
        <v>0</v>
      </c>
      <c r="AX100" s="40">
        <v>3715868</v>
      </c>
      <c r="AY100" s="40">
        <v>99500</v>
      </c>
      <c r="AZ100" s="1">
        <v>5290046.01</v>
      </c>
      <c r="BA100" s="1">
        <v>2697923</v>
      </c>
      <c r="BB100" s="1"/>
      <c r="BC100" s="15">
        <v>0</v>
      </c>
      <c r="BD100" s="15">
        <v>0</v>
      </c>
      <c r="BE100" s="20">
        <v>9526909</v>
      </c>
      <c r="BF100" s="20">
        <v>9526909</v>
      </c>
      <c r="BG100" s="20">
        <v>42480511</v>
      </c>
      <c r="BH100" s="20">
        <v>42431824</v>
      </c>
      <c r="BI100" s="44"/>
      <c r="BJ100" s="44"/>
      <c r="BK100" s="44"/>
      <c r="BL100" s="5">
        <v>513022036.36065573</v>
      </c>
      <c r="BM100" s="5">
        <v>386764491.36065573</v>
      </c>
      <c r="BN100" s="15">
        <v>832493</v>
      </c>
      <c r="BO100" s="3"/>
      <c r="BP100" s="1"/>
      <c r="BQ100" s="1"/>
      <c r="BR100" s="5"/>
      <c r="BS100" s="5"/>
      <c r="BT100" s="5"/>
    </row>
    <row r="101" spans="1:72" x14ac:dyDescent="0.25">
      <c r="A101" s="6" t="s">
        <v>155</v>
      </c>
      <c r="B101" s="40">
        <v>2043434562</v>
      </c>
      <c r="C101" s="40">
        <v>324886152</v>
      </c>
      <c r="D101" s="40">
        <v>719627843</v>
      </c>
      <c r="E101" s="56">
        <v>0</v>
      </c>
      <c r="F101" s="40">
        <v>161489460</v>
      </c>
      <c r="G101" s="40">
        <v>35465074</v>
      </c>
      <c r="H101" s="40">
        <v>33710102</v>
      </c>
      <c r="I101" s="40">
        <v>3841000</v>
      </c>
      <c r="J101" s="40">
        <v>306000</v>
      </c>
      <c r="K101" s="40">
        <v>102000</v>
      </c>
      <c r="L101" s="40">
        <v>637945637</v>
      </c>
      <c r="M101" s="40">
        <v>212071423</v>
      </c>
      <c r="N101" s="40">
        <v>6051</v>
      </c>
      <c r="O101" s="40">
        <v>1299</v>
      </c>
      <c r="P101" s="40">
        <v>12206000</v>
      </c>
      <c r="Q101" s="40">
        <v>2665220</v>
      </c>
      <c r="R101" s="40">
        <v>7955250</v>
      </c>
      <c r="S101" s="40">
        <v>5320274</v>
      </c>
      <c r="T101" s="40">
        <v>155000</v>
      </c>
      <c r="U101" s="40">
        <v>139000</v>
      </c>
      <c r="V101" s="40">
        <v>12206000</v>
      </c>
      <c r="W101" s="40">
        <v>2665220</v>
      </c>
      <c r="X101" s="40">
        <v>7955250</v>
      </c>
      <c r="Y101" s="40">
        <v>5320274</v>
      </c>
      <c r="Z101" s="40">
        <v>155000</v>
      </c>
      <c r="AA101" s="40">
        <v>139000</v>
      </c>
      <c r="AB101" s="40">
        <v>-12993636</v>
      </c>
      <c r="AC101" s="40">
        <v>160267</v>
      </c>
      <c r="AD101" s="40">
        <v>44575</v>
      </c>
      <c r="AE101" s="40">
        <v>0</v>
      </c>
      <c r="AF101" s="40">
        <v>0</v>
      </c>
      <c r="AG101" s="40">
        <v>308469</v>
      </c>
      <c r="AH101" s="40">
        <v>117106.55737704919</v>
      </c>
      <c r="AI101" s="40">
        <v>1131979.5081967213</v>
      </c>
      <c r="AJ101" s="46">
        <v>1622.9508196721313</v>
      </c>
      <c r="AK101" s="1">
        <v>382195915</v>
      </c>
      <c r="AL101" s="1">
        <v>27316028</v>
      </c>
      <c r="AM101" s="40">
        <v>9765960</v>
      </c>
      <c r="AN101" s="40">
        <v>121977414</v>
      </c>
      <c r="AO101" s="40">
        <v>11942328</v>
      </c>
      <c r="AP101" s="40">
        <v>207340004</v>
      </c>
      <c r="AQ101" s="40">
        <v>109255298</v>
      </c>
      <c r="AR101" s="40">
        <v>94885196</v>
      </c>
      <c r="AS101" s="40">
        <v>20785867</v>
      </c>
      <c r="AT101" s="40">
        <v>6254375</v>
      </c>
      <c r="AU101" s="40">
        <v>0</v>
      </c>
      <c r="AV101" s="40">
        <v>54769</v>
      </c>
      <c r="AW101" s="40">
        <v>0</v>
      </c>
      <c r="AX101" s="40">
        <v>3242630</v>
      </c>
      <c r="AY101" s="40">
        <v>2973751</v>
      </c>
      <c r="AZ101" s="1">
        <v>28794809.969999999</v>
      </c>
      <c r="BA101" s="1">
        <v>14685353</v>
      </c>
      <c r="BB101" s="1"/>
      <c r="BC101" s="15">
        <v>4565698</v>
      </c>
      <c r="BD101" s="15">
        <v>8952350</v>
      </c>
      <c r="BE101" s="20">
        <v>56063148</v>
      </c>
      <c r="BF101" s="20">
        <v>56063148</v>
      </c>
      <c r="BG101" s="20">
        <v>144580352</v>
      </c>
      <c r="BH101" s="20">
        <v>134805089</v>
      </c>
      <c r="BI101" s="44"/>
      <c r="BJ101" s="44"/>
      <c r="BK101" s="44"/>
      <c r="BL101" s="5">
        <v>3952005537.0163932</v>
      </c>
      <c r="BM101" s="5">
        <v>3332374306.0163932</v>
      </c>
      <c r="BN101" s="15">
        <v>4709500</v>
      </c>
      <c r="BO101" s="3"/>
      <c r="BP101" s="1"/>
      <c r="BQ101" s="1"/>
      <c r="BR101" s="5"/>
      <c r="BS101" s="5"/>
      <c r="BT101" s="5"/>
    </row>
    <row r="102" spans="1:72" x14ac:dyDescent="0.25">
      <c r="A102" s="6" t="s">
        <v>156</v>
      </c>
      <c r="B102" s="40">
        <v>20502356</v>
      </c>
      <c r="C102" s="40">
        <v>34594616</v>
      </c>
      <c r="D102" s="40">
        <v>3331301</v>
      </c>
      <c r="E102" s="40">
        <v>0</v>
      </c>
      <c r="F102" s="40">
        <v>3669516</v>
      </c>
      <c r="G102" s="40">
        <v>680600</v>
      </c>
      <c r="H102" s="40">
        <v>3290176</v>
      </c>
      <c r="I102" s="40">
        <v>761947</v>
      </c>
      <c r="J102" s="40">
        <v>0</v>
      </c>
      <c r="K102" s="40">
        <v>0</v>
      </c>
      <c r="L102" s="40">
        <v>51913814</v>
      </c>
      <c r="M102" s="40">
        <v>19725278</v>
      </c>
      <c r="N102" s="40">
        <v>220</v>
      </c>
      <c r="O102" s="40">
        <v>50</v>
      </c>
      <c r="P102" s="40">
        <v>398345</v>
      </c>
      <c r="Q102" s="40">
        <v>172646</v>
      </c>
      <c r="R102" s="40">
        <v>0</v>
      </c>
      <c r="S102" s="40">
        <v>126572</v>
      </c>
      <c r="T102" s="40">
        <v>108336</v>
      </c>
      <c r="U102" s="40">
        <v>42500</v>
      </c>
      <c r="V102" s="40">
        <v>398345</v>
      </c>
      <c r="W102" s="40">
        <v>181455</v>
      </c>
      <c r="X102" s="40">
        <v>0</v>
      </c>
      <c r="Y102" s="40">
        <v>126572</v>
      </c>
      <c r="Z102" s="40">
        <v>118990</v>
      </c>
      <c r="AA102" s="40">
        <v>42500</v>
      </c>
      <c r="AB102" s="40">
        <v>-179709</v>
      </c>
      <c r="AC102" s="40">
        <v>0</v>
      </c>
      <c r="AD102" s="40">
        <v>0</v>
      </c>
      <c r="AE102" s="40">
        <v>0</v>
      </c>
      <c r="AF102" s="40">
        <v>0</v>
      </c>
      <c r="AG102" s="40">
        <v>0</v>
      </c>
      <c r="AH102" s="40">
        <v>0</v>
      </c>
      <c r="AI102" s="40">
        <v>0</v>
      </c>
      <c r="AJ102" s="46">
        <v>0</v>
      </c>
      <c r="AK102" s="1">
        <v>12069978</v>
      </c>
      <c r="AL102" s="1">
        <v>270656</v>
      </c>
      <c r="AM102" s="40">
        <v>0</v>
      </c>
      <c r="AN102" s="40">
        <v>783514</v>
      </c>
      <c r="AO102" s="40">
        <v>22313</v>
      </c>
      <c r="AP102" s="40">
        <v>1215</v>
      </c>
      <c r="AQ102" s="40">
        <v>270428</v>
      </c>
      <c r="AR102" s="40">
        <v>8200</v>
      </c>
      <c r="AS102" s="40">
        <v>0</v>
      </c>
      <c r="AT102" s="40">
        <v>0</v>
      </c>
      <c r="AU102" s="40">
        <v>0</v>
      </c>
      <c r="AV102" s="40">
        <v>0</v>
      </c>
      <c r="AW102" s="40">
        <v>0</v>
      </c>
      <c r="AX102" s="40">
        <v>0</v>
      </c>
      <c r="AY102" s="40">
        <v>0</v>
      </c>
      <c r="AZ102" s="1">
        <v>909357.5</v>
      </c>
      <c r="BA102" s="1">
        <v>463772</v>
      </c>
      <c r="BB102" s="1"/>
      <c r="BC102" s="15">
        <v>0</v>
      </c>
      <c r="BD102" s="15">
        <v>0</v>
      </c>
      <c r="BE102" s="20">
        <v>3039546</v>
      </c>
      <c r="BF102" s="20">
        <v>3039546</v>
      </c>
      <c r="BG102" s="20">
        <v>9854518</v>
      </c>
      <c r="BH102" s="20">
        <v>9854518</v>
      </c>
      <c r="BI102" s="44"/>
      <c r="BJ102" s="44"/>
      <c r="BK102" s="44"/>
      <c r="BL102" s="5">
        <v>85202998</v>
      </c>
      <c r="BM102" s="5">
        <v>59504528</v>
      </c>
      <c r="BN102" s="15">
        <v>71800</v>
      </c>
      <c r="BO102" s="3"/>
      <c r="BP102" s="1"/>
      <c r="BQ102" s="1"/>
      <c r="BR102" s="5"/>
      <c r="BS102" s="5"/>
      <c r="BT102" s="5"/>
    </row>
    <row r="103" spans="1:72" x14ac:dyDescent="0.25">
      <c r="A103" s="6" t="s">
        <v>157</v>
      </c>
      <c r="B103" s="40">
        <v>226122392</v>
      </c>
      <c r="C103" s="40">
        <v>78771960</v>
      </c>
      <c r="D103" s="40">
        <v>64309764</v>
      </c>
      <c r="E103" s="40">
        <v>0</v>
      </c>
      <c r="F103" s="40">
        <v>34576500</v>
      </c>
      <c r="G103" s="40">
        <v>15760400</v>
      </c>
      <c r="H103" s="40">
        <v>12368400</v>
      </c>
      <c r="I103" s="40">
        <v>2067000</v>
      </c>
      <c r="J103" s="40">
        <v>68000</v>
      </c>
      <c r="K103" s="40">
        <v>0</v>
      </c>
      <c r="L103" s="40">
        <v>85306309</v>
      </c>
      <c r="M103" s="40">
        <v>55688900</v>
      </c>
      <c r="N103" s="40">
        <v>1456</v>
      </c>
      <c r="O103" s="40">
        <v>585</v>
      </c>
      <c r="P103" s="40">
        <v>1537200</v>
      </c>
      <c r="Q103" s="40">
        <v>780000</v>
      </c>
      <c r="R103" s="40">
        <v>0</v>
      </c>
      <c r="S103" s="40">
        <v>2809450</v>
      </c>
      <c r="T103" s="40">
        <v>243900</v>
      </c>
      <c r="U103" s="40">
        <v>1277000</v>
      </c>
      <c r="V103" s="40">
        <v>1537200</v>
      </c>
      <c r="W103" s="40">
        <v>750000</v>
      </c>
      <c r="X103" s="40">
        <v>0</v>
      </c>
      <c r="Y103" s="40">
        <v>2809450</v>
      </c>
      <c r="Z103" s="40">
        <v>373700</v>
      </c>
      <c r="AA103" s="40">
        <v>1277000</v>
      </c>
      <c r="AB103" s="40">
        <v>-3313100</v>
      </c>
      <c r="AC103" s="40">
        <v>0</v>
      </c>
      <c r="AD103" s="40">
        <v>79254</v>
      </c>
      <c r="AE103" s="40">
        <v>0</v>
      </c>
      <c r="AF103" s="40">
        <v>0</v>
      </c>
      <c r="AG103" s="40">
        <v>0</v>
      </c>
      <c r="AH103" s="40">
        <v>0</v>
      </c>
      <c r="AI103" s="40">
        <v>232221.31147540984</v>
      </c>
      <c r="AJ103" s="46">
        <v>0</v>
      </c>
      <c r="AK103" s="1">
        <v>76485849</v>
      </c>
      <c r="AL103" s="1">
        <v>2044646</v>
      </c>
      <c r="AM103" s="40">
        <v>23166</v>
      </c>
      <c r="AN103" s="40">
        <v>11112546</v>
      </c>
      <c r="AO103" s="40">
        <v>165300</v>
      </c>
      <c r="AP103" s="40">
        <v>10105930</v>
      </c>
      <c r="AQ103" s="40">
        <v>6839541</v>
      </c>
      <c r="AR103" s="40">
        <v>2360519</v>
      </c>
      <c r="AS103" s="40">
        <v>0</v>
      </c>
      <c r="AT103" s="40">
        <v>0</v>
      </c>
      <c r="AU103" s="40">
        <v>0</v>
      </c>
      <c r="AV103" s="40">
        <v>0</v>
      </c>
      <c r="AW103" s="40">
        <v>0</v>
      </c>
      <c r="AX103" s="40">
        <v>285000</v>
      </c>
      <c r="AY103" s="40">
        <v>6000</v>
      </c>
      <c r="AZ103" s="1">
        <v>5762477.8300000001</v>
      </c>
      <c r="BA103" s="1">
        <v>2938864</v>
      </c>
      <c r="BB103" s="1"/>
      <c r="BC103" s="15">
        <v>2433068</v>
      </c>
      <c r="BD103" s="15">
        <v>4770722</v>
      </c>
      <c r="BE103" s="20">
        <v>3934656</v>
      </c>
      <c r="BF103" s="20">
        <v>3934656</v>
      </c>
      <c r="BG103" s="20">
        <v>39073618</v>
      </c>
      <c r="BH103" s="20">
        <v>35072706</v>
      </c>
      <c r="BI103" s="44"/>
      <c r="BJ103" s="44"/>
      <c r="BK103" s="44"/>
      <c r="BL103" s="5">
        <v>510463513.3114754</v>
      </c>
      <c r="BM103" s="5">
        <v>387553724.3114754</v>
      </c>
      <c r="BN103" s="15">
        <v>1154306</v>
      </c>
      <c r="BO103" s="3"/>
      <c r="BP103" s="1"/>
      <c r="BQ103" s="1"/>
      <c r="BR103" s="5"/>
      <c r="BS103" s="5"/>
      <c r="BT103" s="5"/>
    </row>
    <row r="104" spans="1:72" x14ac:dyDescent="0.25">
      <c r="A104" s="6" t="s">
        <v>158</v>
      </c>
      <c r="B104" s="40">
        <v>505374641</v>
      </c>
      <c r="C104" s="40">
        <v>94910485</v>
      </c>
      <c r="D104" s="40">
        <v>269132293</v>
      </c>
      <c r="E104" s="40">
        <v>0</v>
      </c>
      <c r="F104" s="40">
        <v>42634475</v>
      </c>
      <c r="G104" s="40">
        <v>10094036</v>
      </c>
      <c r="H104" s="40">
        <v>12127948</v>
      </c>
      <c r="I104" s="40">
        <v>1701700</v>
      </c>
      <c r="J104" s="40">
        <v>127000</v>
      </c>
      <c r="K104" s="40">
        <v>0</v>
      </c>
      <c r="L104" s="40">
        <v>85236061</v>
      </c>
      <c r="M104" s="40">
        <v>1950</v>
      </c>
      <c r="N104" s="40">
        <v>1755</v>
      </c>
      <c r="O104" s="40">
        <v>419</v>
      </c>
      <c r="P104" s="40">
        <v>12062802</v>
      </c>
      <c r="Q104" s="40">
        <v>1688889</v>
      </c>
      <c r="R104" s="40">
        <v>5003632</v>
      </c>
      <c r="S104" s="40">
        <v>5433909</v>
      </c>
      <c r="T104" s="40">
        <v>614043</v>
      </c>
      <c r="U104" s="40">
        <v>8137525</v>
      </c>
      <c r="V104" s="40">
        <v>12062802</v>
      </c>
      <c r="W104" s="40">
        <v>2014875</v>
      </c>
      <c r="X104" s="40">
        <v>5003632</v>
      </c>
      <c r="Y104" s="40">
        <v>5433909</v>
      </c>
      <c r="Z104" s="40">
        <v>641350</v>
      </c>
      <c r="AA104" s="40">
        <v>8137525</v>
      </c>
      <c r="AB104" s="40">
        <v>-14325586</v>
      </c>
      <c r="AC104" s="40">
        <v>-48275</v>
      </c>
      <c r="AD104" s="40">
        <v>929</v>
      </c>
      <c r="AE104" s="40">
        <v>0</v>
      </c>
      <c r="AF104" s="40">
        <v>0</v>
      </c>
      <c r="AG104" s="40">
        <v>1329</v>
      </c>
      <c r="AH104" s="40">
        <v>0</v>
      </c>
      <c r="AI104" s="40">
        <v>70803.278688524588</v>
      </c>
      <c r="AJ104" s="46">
        <v>0</v>
      </c>
      <c r="AK104" s="1">
        <v>116692447</v>
      </c>
      <c r="AL104" s="1">
        <v>5345107</v>
      </c>
      <c r="AM104" s="40">
        <v>1517887</v>
      </c>
      <c r="AN104" s="40">
        <v>41689595</v>
      </c>
      <c r="AO104" s="40">
        <v>4998631</v>
      </c>
      <c r="AP104" s="40">
        <v>51156239</v>
      </c>
      <c r="AQ104" s="40">
        <v>32369156</v>
      </c>
      <c r="AR104" s="40">
        <v>25229678</v>
      </c>
      <c r="AS104" s="40">
        <v>30005877</v>
      </c>
      <c r="AT104" s="40">
        <v>194699</v>
      </c>
      <c r="AU104" s="40">
        <v>16266</v>
      </c>
      <c r="AV104" s="40">
        <v>0</v>
      </c>
      <c r="AW104" s="40">
        <v>7838</v>
      </c>
      <c r="AX104" s="40">
        <v>30823</v>
      </c>
      <c r="AY104" s="40">
        <v>395000</v>
      </c>
      <c r="AZ104" s="1">
        <v>8791660.7799999993</v>
      </c>
      <c r="BA104" s="1">
        <v>4483747</v>
      </c>
      <c r="BB104" s="1"/>
      <c r="BC104" s="15">
        <v>0</v>
      </c>
      <c r="BD104" s="15">
        <v>0</v>
      </c>
      <c r="BE104" s="20">
        <v>21602348</v>
      </c>
      <c r="BF104" s="20">
        <v>21602348</v>
      </c>
      <c r="BG104" s="20">
        <v>54541135</v>
      </c>
      <c r="BH104" s="20">
        <v>54513748</v>
      </c>
      <c r="BI104" s="44"/>
      <c r="BJ104" s="44"/>
      <c r="BK104" s="44"/>
      <c r="BL104" s="5">
        <v>1151183001.2786884</v>
      </c>
      <c r="BM104" s="5">
        <v>948545604.27868855</v>
      </c>
      <c r="BN104" s="15">
        <v>3817662</v>
      </c>
      <c r="BO104" s="3"/>
      <c r="BP104" s="1"/>
      <c r="BQ104" s="1"/>
      <c r="BR104" s="5"/>
      <c r="BS104" s="5"/>
      <c r="BT104" s="5"/>
    </row>
    <row r="105" spans="1:72" x14ac:dyDescent="0.25">
      <c r="A105" s="6" t="s">
        <v>159</v>
      </c>
      <c r="B105" s="40">
        <v>522499215</v>
      </c>
      <c r="C105" s="40">
        <v>121271582</v>
      </c>
      <c r="D105" s="40">
        <v>146712233</v>
      </c>
      <c r="E105" s="40">
        <v>10000000</v>
      </c>
      <c r="F105" s="40">
        <v>50546200</v>
      </c>
      <c r="G105" s="40">
        <v>14289200</v>
      </c>
      <c r="H105" s="40">
        <v>15092100</v>
      </c>
      <c r="I105" s="40">
        <v>1508800</v>
      </c>
      <c r="J105" s="40">
        <v>33700</v>
      </c>
      <c r="K105" s="40">
        <v>68000</v>
      </c>
      <c r="L105" s="40">
        <v>264702153</v>
      </c>
      <c r="M105" s="40">
        <v>0</v>
      </c>
      <c r="N105" s="40">
        <v>2069</v>
      </c>
      <c r="O105" s="40">
        <v>536</v>
      </c>
      <c r="P105" s="40">
        <v>8224325</v>
      </c>
      <c r="Q105" s="40">
        <v>2300750</v>
      </c>
      <c r="R105" s="40">
        <v>719100</v>
      </c>
      <c r="S105" s="40">
        <v>7501002</v>
      </c>
      <c r="T105" s="40">
        <v>1559650</v>
      </c>
      <c r="U105" s="40">
        <v>514250</v>
      </c>
      <c r="V105" s="40">
        <v>8224325</v>
      </c>
      <c r="W105" s="40">
        <v>1987150</v>
      </c>
      <c r="X105" s="40">
        <v>719100</v>
      </c>
      <c r="Y105" s="40">
        <v>7501002</v>
      </c>
      <c r="Z105" s="40">
        <v>4478372</v>
      </c>
      <c r="AA105" s="40">
        <v>514250</v>
      </c>
      <c r="AB105" s="40">
        <v>-1922675</v>
      </c>
      <c r="AC105" s="40">
        <v>-72607</v>
      </c>
      <c r="AD105" s="40">
        <v>69328</v>
      </c>
      <c r="AE105" s="40">
        <v>0</v>
      </c>
      <c r="AF105" s="40">
        <v>0</v>
      </c>
      <c r="AG105" s="40">
        <v>60442</v>
      </c>
      <c r="AH105" s="40">
        <v>240540.98360655736</v>
      </c>
      <c r="AI105" s="40">
        <v>0</v>
      </c>
      <c r="AJ105" s="46">
        <v>0</v>
      </c>
      <c r="AK105" s="1">
        <v>94092823</v>
      </c>
      <c r="AL105" s="1">
        <v>19787826</v>
      </c>
      <c r="AM105" s="40">
        <v>21876853</v>
      </c>
      <c r="AN105" s="40">
        <v>56539367</v>
      </c>
      <c r="AO105" s="40">
        <v>7448845</v>
      </c>
      <c r="AP105" s="40">
        <v>75548263</v>
      </c>
      <c r="AQ105" s="40">
        <v>24294024</v>
      </c>
      <c r="AR105" s="40">
        <v>64462601</v>
      </c>
      <c r="AS105" s="40">
        <v>4947777</v>
      </c>
      <c r="AT105" s="40">
        <v>0</v>
      </c>
      <c r="AU105" s="40">
        <v>0</v>
      </c>
      <c r="AV105" s="40">
        <v>0</v>
      </c>
      <c r="AW105" s="40">
        <v>0</v>
      </c>
      <c r="AX105" s="40">
        <v>6000</v>
      </c>
      <c r="AY105" s="40">
        <v>3805250</v>
      </c>
      <c r="AZ105" s="1">
        <v>7088995.0700000003</v>
      </c>
      <c r="BA105" s="1">
        <v>3615387</v>
      </c>
      <c r="BB105" s="1"/>
      <c r="BC105" s="15">
        <v>0</v>
      </c>
      <c r="BD105" s="15">
        <v>0</v>
      </c>
      <c r="BE105" s="20">
        <v>3006672</v>
      </c>
      <c r="BF105" s="20">
        <v>3006672</v>
      </c>
      <c r="BG105" s="20">
        <v>57624948</v>
      </c>
      <c r="BH105" s="20">
        <v>57561046</v>
      </c>
      <c r="BI105" s="44"/>
      <c r="BJ105" s="44"/>
      <c r="BK105" s="44"/>
      <c r="BL105" s="5">
        <v>1057069560.9836066</v>
      </c>
      <c r="BM105" s="5">
        <v>879005806.98360658</v>
      </c>
      <c r="BN105" s="15">
        <v>4897500</v>
      </c>
      <c r="BO105" s="3"/>
      <c r="BP105" s="1"/>
      <c r="BQ105" s="1"/>
      <c r="BR105" s="5"/>
      <c r="BS105" s="5"/>
      <c r="BT105" s="5"/>
    </row>
    <row r="106" spans="1:72" x14ac:dyDescent="0.25">
      <c r="A106" s="6" t="s">
        <v>160</v>
      </c>
      <c r="B106" s="40">
        <v>2230463892</v>
      </c>
      <c r="C106" s="40">
        <v>290463490</v>
      </c>
      <c r="D106" s="40">
        <v>849275025</v>
      </c>
      <c r="E106" s="40">
        <v>400000000</v>
      </c>
      <c r="F106" s="40">
        <v>69648672</v>
      </c>
      <c r="G106" s="40">
        <v>8311996</v>
      </c>
      <c r="H106" s="40">
        <v>12512273</v>
      </c>
      <c r="I106" s="40">
        <v>881174</v>
      </c>
      <c r="J106" s="40">
        <v>0</v>
      </c>
      <c r="K106" s="40">
        <v>0</v>
      </c>
      <c r="L106" s="40">
        <v>549768034</v>
      </c>
      <c r="M106" s="40">
        <v>226754597</v>
      </c>
      <c r="N106" s="40">
        <v>2453</v>
      </c>
      <c r="O106" s="40">
        <v>278</v>
      </c>
      <c r="P106" s="40">
        <v>24010256</v>
      </c>
      <c r="Q106" s="40">
        <v>1278554</v>
      </c>
      <c r="R106" s="40">
        <v>6646290</v>
      </c>
      <c r="S106" s="40">
        <v>5904786</v>
      </c>
      <c r="T106" s="40">
        <v>341503</v>
      </c>
      <c r="U106" s="40">
        <v>11490497</v>
      </c>
      <c r="V106" s="40">
        <v>24010256</v>
      </c>
      <c r="W106" s="40">
        <v>1792810</v>
      </c>
      <c r="X106" s="40">
        <v>6646290</v>
      </c>
      <c r="Y106" s="40">
        <v>5904786</v>
      </c>
      <c r="Z106" s="40">
        <v>274215</v>
      </c>
      <c r="AA106" s="40">
        <v>11490497</v>
      </c>
      <c r="AB106" s="40">
        <v>-3405544</v>
      </c>
      <c r="AC106" s="40">
        <v>-752509</v>
      </c>
      <c r="AD106" s="40">
        <v>0</v>
      </c>
      <c r="AE106" s="40">
        <v>0</v>
      </c>
      <c r="AF106" s="40">
        <v>0</v>
      </c>
      <c r="AG106" s="40">
        <v>149541</v>
      </c>
      <c r="AH106" s="40">
        <v>0</v>
      </c>
      <c r="AI106" s="40">
        <v>453114.75409836066</v>
      </c>
      <c r="AJ106" s="46">
        <v>0</v>
      </c>
      <c r="AK106" s="1">
        <v>330291395</v>
      </c>
      <c r="AL106" s="1">
        <v>6709685</v>
      </c>
      <c r="AM106" s="40">
        <v>0</v>
      </c>
      <c r="AN106" s="40">
        <v>75990806</v>
      </c>
      <c r="AO106" s="40">
        <v>10449668</v>
      </c>
      <c r="AP106" s="40">
        <v>197215838</v>
      </c>
      <c r="AQ106" s="40">
        <v>104677898</v>
      </c>
      <c r="AR106" s="40">
        <v>102327924</v>
      </c>
      <c r="AS106" s="40">
        <v>26586955</v>
      </c>
      <c r="AT106" s="40">
        <v>1228476097</v>
      </c>
      <c r="AU106" s="40">
        <v>0</v>
      </c>
      <c r="AV106" s="40">
        <v>12541</v>
      </c>
      <c r="AW106" s="40">
        <v>0</v>
      </c>
      <c r="AX106" s="40">
        <v>5471912</v>
      </c>
      <c r="AY106" s="40">
        <v>4042844</v>
      </c>
      <c r="AZ106" s="1">
        <v>24884300.379999999</v>
      </c>
      <c r="BA106" s="1">
        <v>12690993</v>
      </c>
      <c r="BB106" s="1"/>
      <c r="BC106" s="15">
        <v>3859246</v>
      </c>
      <c r="BD106" s="15">
        <v>7567149</v>
      </c>
      <c r="BE106" s="20">
        <v>84432004</v>
      </c>
      <c r="BF106" s="20">
        <v>84388476</v>
      </c>
      <c r="BG106" s="20">
        <v>60697969</v>
      </c>
      <c r="BH106" s="20">
        <v>55829017</v>
      </c>
      <c r="BI106" s="44"/>
      <c r="BJ106" s="44"/>
      <c r="BK106" s="44"/>
      <c r="BL106" s="5">
        <v>4055542705.7540984</v>
      </c>
      <c r="BM106" s="5">
        <v>3561773893.7540984</v>
      </c>
      <c r="BN106" s="15">
        <v>2749885</v>
      </c>
      <c r="BO106" s="3"/>
      <c r="BP106" s="1"/>
      <c r="BQ106" s="1"/>
      <c r="BR106" s="5"/>
      <c r="BS106" s="5"/>
      <c r="BT106" s="5"/>
    </row>
    <row r="107" spans="1:72" x14ac:dyDescent="0.25">
      <c r="A107" s="6" t="s">
        <v>161</v>
      </c>
      <c r="B107" s="40">
        <v>1736107571</v>
      </c>
      <c r="C107" s="40">
        <v>437484651</v>
      </c>
      <c r="D107" s="40">
        <v>449698873</v>
      </c>
      <c r="E107" s="40">
        <v>0</v>
      </c>
      <c r="F107" s="40">
        <v>77468981</v>
      </c>
      <c r="G107" s="40">
        <v>8711100</v>
      </c>
      <c r="H107" s="40">
        <v>19167600</v>
      </c>
      <c r="I107" s="40">
        <v>1248500</v>
      </c>
      <c r="J107" s="40">
        <v>68000</v>
      </c>
      <c r="K107" s="40">
        <v>0</v>
      </c>
      <c r="L107" s="40">
        <v>752733405</v>
      </c>
      <c r="M107" s="40">
        <v>292115937</v>
      </c>
      <c r="N107" s="40">
        <v>2865</v>
      </c>
      <c r="O107" s="40">
        <v>296</v>
      </c>
      <c r="P107" s="40">
        <v>16902356</v>
      </c>
      <c r="Q107" s="40">
        <v>1940120</v>
      </c>
      <c r="R107" s="40">
        <v>5606000</v>
      </c>
      <c r="S107" s="40">
        <v>16577964</v>
      </c>
      <c r="T107" s="40">
        <v>3571584</v>
      </c>
      <c r="U107" s="40">
        <v>9028668</v>
      </c>
      <c r="V107" s="40">
        <v>16902356</v>
      </c>
      <c r="W107" s="40">
        <v>3122120</v>
      </c>
      <c r="X107" s="40">
        <v>5606000</v>
      </c>
      <c r="Y107" s="40">
        <v>16577964</v>
      </c>
      <c r="Z107" s="40">
        <v>4048260</v>
      </c>
      <c r="AA107" s="40">
        <v>9028668</v>
      </c>
      <c r="AB107" s="56">
        <v>-9048592</v>
      </c>
      <c r="AC107" s="56">
        <v>-2684791</v>
      </c>
      <c r="AD107" s="40">
        <v>0</v>
      </c>
      <c r="AE107" s="40">
        <v>0</v>
      </c>
      <c r="AF107" s="40">
        <v>58239630</v>
      </c>
      <c r="AG107" s="40">
        <v>235112</v>
      </c>
      <c r="AH107" s="40">
        <v>0</v>
      </c>
      <c r="AI107" s="40">
        <v>0</v>
      </c>
      <c r="AJ107" s="46">
        <v>0</v>
      </c>
      <c r="AK107" s="1">
        <v>278627624</v>
      </c>
      <c r="AL107" s="1">
        <v>6189630</v>
      </c>
      <c r="AM107" s="40">
        <v>25000</v>
      </c>
      <c r="AN107" s="40">
        <v>107866660</v>
      </c>
      <c r="AO107" s="40">
        <v>6944696</v>
      </c>
      <c r="AP107" s="40">
        <v>227279279</v>
      </c>
      <c r="AQ107" s="40">
        <v>72060111</v>
      </c>
      <c r="AR107" s="40">
        <v>83341295</v>
      </c>
      <c r="AS107" s="40">
        <v>24324488</v>
      </c>
      <c r="AT107" s="40">
        <v>3182581</v>
      </c>
      <c r="AU107" s="40">
        <v>0</v>
      </c>
      <c r="AV107" s="40">
        <v>0</v>
      </c>
      <c r="AW107" s="40">
        <v>1119691</v>
      </c>
      <c r="AX107" s="40">
        <v>112577</v>
      </c>
      <c r="AY107" s="40">
        <v>455850</v>
      </c>
      <c r="AZ107" s="1">
        <v>20991928.93</v>
      </c>
      <c r="BA107" s="1">
        <v>10705884</v>
      </c>
      <c r="BB107" s="1"/>
      <c r="BC107" s="15">
        <v>4512006</v>
      </c>
      <c r="BD107" s="15">
        <v>8847070</v>
      </c>
      <c r="BE107" s="20">
        <v>47383758</v>
      </c>
      <c r="BF107" s="20">
        <v>46580232</v>
      </c>
      <c r="BG107" s="20">
        <v>126040665</v>
      </c>
      <c r="BH107" s="20">
        <v>123366926</v>
      </c>
      <c r="BI107" s="44"/>
      <c r="BJ107" s="44"/>
      <c r="BK107" s="44"/>
      <c r="BL107" s="5">
        <v>3280144864</v>
      </c>
      <c r="BM107" s="5">
        <v>2810162562</v>
      </c>
      <c r="BN107" s="15">
        <v>1940564</v>
      </c>
      <c r="BO107" s="3"/>
      <c r="BP107" s="1"/>
      <c r="BQ107" s="1"/>
      <c r="BR107" s="5"/>
      <c r="BS107" s="5"/>
      <c r="BT107" s="5"/>
    </row>
    <row r="108" spans="1:72" x14ac:dyDescent="0.25">
      <c r="A108" s="6" t="s">
        <v>162</v>
      </c>
      <c r="B108" s="40">
        <v>507741281</v>
      </c>
      <c r="C108" s="40">
        <v>175973050</v>
      </c>
      <c r="D108" s="40">
        <v>294010398</v>
      </c>
      <c r="E108" s="40">
        <v>54000000</v>
      </c>
      <c r="F108" s="40">
        <v>41347600</v>
      </c>
      <c r="G108" s="40">
        <v>4841400</v>
      </c>
      <c r="H108" s="40">
        <v>6780000</v>
      </c>
      <c r="I108" s="40">
        <v>578000</v>
      </c>
      <c r="J108" s="40">
        <v>0</v>
      </c>
      <c r="K108" s="40">
        <v>0</v>
      </c>
      <c r="L108" s="40">
        <v>362023424</v>
      </c>
      <c r="M108" s="40">
        <v>90366725</v>
      </c>
      <c r="N108" s="40">
        <v>1451</v>
      </c>
      <c r="O108" s="40">
        <v>166</v>
      </c>
      <c r="P108" s="40">
        <v>5562685</v>
      </c>
      <c r="Q108" s="40">
        <v>1129250</v>
      </c>
      <c r="R108" s="40">
        <v>5890171</v>
      </c>
      <c r="S108" s="40">
        <v>5021586</v>
      </c>
      <c r="T108" s="40">
        <v>1481800</v>
      </c>
      <c r="U108" s="40">
        <v>9311025</v>
      </c>
      <c r="V108" s="40">
        <v>5562685</v>
      </c>
      <c r="W108" s="40">
        <v>1299732</v>
      </c>
      <c r="X108" s="40">
        <v>5890171</v>
      </c>
      <c r="Y108" s="40">
        <v>5021586</v>
      </c>
      <c r="Z108" s="40">
        <v>6886718</v>
      </c>
      <c r="AA108" s="40">
        <v>9311025</v>
      </c>
      <c r="AB108" s="40">
        <v>-2756900</v>
      </c>
      <c r="AC108" s="40">
        <v>-9819366</v>
      </c>
      <c r="AD108" s="40">
        <v>0</v>
      </c>
      <c r="AE108" s="40">
        <v>0</v>
      </c>
      <c r="AF108" s="40">
        <v>0</v>
      </c>
      <c r="AG108" s="40">
        <v>0</v>
      </c>
      <c r="AH108" s="40">
        <v>142918.03278688528</v>
      </c>
      <c r="AI108" s="40">
        <v>277836.06557377049</v>
      </c>
      <c r="AJ108" s="46">
        <v>0</v>
      </c>
      <c r="AK108" s="1">
        <v>99822151</v>
      </c>
      <c r="AL108" s="1">
        <v>2272653</v>
      </c>
      <c r="AM108" s="40">
        <v>0</v>
      </c>
      <c r="AN108" s="40">
        <v>66822900</v>
      </c>
      <c r="AO108" s="40">
        <v>3763843</v>
      </c>
      <c r="AP108" s="40">
        <v>196128934</v>
      </c>
      <c r="AQ108" s="40">
        <v>59225827</v>
      </c>
      <c r="AR108" s="40">
        <v>60914922</v>
      </c>
      <c r="AS108" s="40">
        <v>17472683</v>
      </c>
      <c r="AT108" s="40">
        <v>23938838</v>
      </c>
      <c r="AU108" s="40">
        <v>0</v>
      </c>
      <c r="AV108" s="40">
        <v>601188</v>
      </c>
      <c r="AW108" s="40">
        <v>10579998</v>
      </c>
      <c r="AX108" s="40">
        <v>225594</v>
      </c>
      <c r="AY108" s="40">
        <v>139000</v>
      </c>
      <c r="AZ108" s="1">
        <v>7520645.1900000004</v>
      </c>
      <c r="BA108" s="1">
        <v>3835529</v>
      </c>
      <c r="BB108" s="1"/>
      <c r="BC108" s="15">
        <v>873564</v>
      </c>
      <c r="BD108" s="15">
        <v>1712870</v>
      </c>
      <c r="BE108" s="20">
        <v>9748708</v>
      </c>
      <c r="BF108" s="20">
        <v>9748708</v>
      </c>
      <c r="BG108" s="20">
        <v>23867842</v>
      </c>
      <c r="BH108" s="20">
        <v>21603455</v>
      </c>
      <c r="BI108" s="44"/>
      <c r="BJ108" s="44">
        <v>4341309</v>
      </c>
      <c r="BK108" s="44"/>
      <c r="BL108" s="5">
        <v>1250455422.0983605</v>
      </c>
      <c r="BM108" s="5">
        <v>1107958053.0983605</v>
      </c>
      <c r="BN108" s="15">
        <v>1753478</v>
      </c>
      <c r="BO108" s="3"/>
      <c r="BP108" s="1"/>
      <c r="BQ108" s="1"/>
      <c r="BR108" s="5"/>
      <c r="BS108" s="5"/>
      <c r="BT108" s="5"/>
    </row>
    <row r="109" spans="1:72" x14ac:dyDescent="0.25">
      <c r="A109" s="6" t="s">
        <v>163</v>
      </c>
      <c r="B109" s="40">
        <v>796667828</v>
      </c>
      <c r="C109" s="40">
        <v>160796150</v>
      </c>
      <c r="D109" s="40">
        <v>56680290</v>
      </c>
      <c r="E109" s="40">
        <v>0</v>
      </c>
      <c r="F109" s="40">
        <v>28466825</v>
      </c>
      <c r="G109" s="40">
        <v>5593100</v>
      </c>
      <c r="H109" s="40">
        <v>8128780</v>
      </c>
      <c r="I109" s="40">
        <v>1185500</v>
      </c>
      <c r="J109" s="40">
        <v>59000</v>
      </c>
      <c r="K109" s="40">
        <v>0</v>
      </c>
      <c r="L109" s="40">
        <v>182585989</v>
      </c>
      <c r="M109" s="40">
        <v>114330898</v>
      </c>
      <c r="N109" s="40">
        <v>1097</v>
      </c>
      <c r="O109" s="40">
        <v>210</v>
      </c>
      <c r="P109" s="40">
        <v>12478534</v>
      </c>
      <c r="Q109" s="40">
        <v>4631977</v>
      </c>
      <c r="R109" s="40">
        <v>414000</v>
      </c>
      <c r="S109" s="40">
        <v>6350450</v>
      </c>
      <c r="T109" s="40">
        <v>2332800</v>
      </c>
      <c r="U109" s="40">
        <v>676300</v>
      </c>
      <c r="V109" s="40">
        <v>12478534</v>
      </c>
      <c r="W109" s="40">
        <v>5635642</v>
      </c>
      <c r="X109" s="40">
        <v>414000</v>
      </c>
      <c r="Y109" s="40">
        <v>6350450</v>
      </c>
      <c r="Z109" s="40">
        <v>3061800</v>
      </c>
      <c r="AA109" s="40">
        <v>676300</v>
      </c>
      <c r="AB109" s="40">
        <v>-567210</v>
      </c>
      <c r="AC109" s="40">
        <v>-15198</v>
      </c>
      <c r="AD109" s="40">
        <v>21386</v>
      </c>
      <c r="AE109" s="40">
        <v>0</v>
      </c>
      <c r="AF109" s="40">
        <v>173180139</v>
      </c>
      <c r="AG109" s="40">
        <v>93387</v>
      </c>
      <c r="AH109" s="40">
        <v>0</v>
      </c>
      <c r="AI109" s="40">
        <v>0</v>
      </c>
      <c r="AJ109" s="46">
        <v>0</v>
      </c>
      <c r="AK109" s="1">
        <v>116378103</v>
      </c>
      <c r="AL109" s="1">
        <v>7752829</v>
      </c>
      <c r="AM109" s="40">
        <v>776498</v>
      </c>
      <c r="AN109" s="40">
        <v>6914845</v>
      </c>
      <c r="AO109" s="40">
        <v>48767</v>
      </c>
      <c r="AP109" s="40">
        <v>166939</v>
      </c>
      <c r="AQ109" s="40">
        <v>3116668</v>
      </c>
      <c r="AR109" s="40">
        <v>235020</v>
      </c>
      <c r="AS109" s="3"/>
      <c r="AT109" s="40">
        <v>1082178</v>
      </c>
      <c r="AU109" s="3"/>
      <c r="AV109" s="3"/>
      <c r="AW109" s="3"/>
      <c r="AX109" s="40">
        <v>8052</v>
      </c>
      <c r="AY109" s="40">
        <v>93900</v>
      </c>
      <c r="AZ109" s="1">
        <v>8767977.9600000009</v>
      </c>
      <c r="BA109" s="1">
        <v>4471669</v>
      </c>
      <c r="BB109" s="1"/>
      <c r="BC109" s="15">
        <v>0</v>
      </c>
      <c r="BD109" s="15">
        <v>0</v>
      </c>
      <c r="BE109" s="20">
        <v>1073963</v>
      </c>
      <c r="BF109" s="20">
        <v>1073963</v>
      </c>
      <c r="BG109" s="20">
        <v>19539828</v>
      </c>
      <c r="BH109" s="20">
        <v>19513963</v>
      </c>
      <c r="BI109" s="44"/>
      <c r="BJ109" s="44"/>
      <c r="BK109" s="44"/>
      <c r="BL109" s="5">
        <v>1173415075</v>
      </c>
      <c r="BM109" s="5">
        <v>1024224548</v>
      </c>
      <c r="BN109" s="15">
        <v>158413</v>
      </c>
      <c r="BO109" s="3"/>
      <c r="BP109" s="1"/>
      <c r="BQ109" s="1"/>
      <c r="BR109" s="5"/>
      <c r="BS109" s="5"/>
      <c r="BT109" s="5"/>
    </row>
    <row r="110" spans="1:72" x14ac:dyDescent="0.25">
      <c r="A110" s="6" t="s">
        <v>164</v>
      </c>
      <c r="B110" s="40">
        <v>581231825</v>
      </c>
      <c r="C110" s="40">
        <v>126457676</v>
      </c>
      <c r="D110" s="40">
        <v>262691674</v>
      </c>
      <c r="E110" s="40">
        <v>0</v>
      </c>
      <c r="F110" s="40">
        <v>62467775</v>
      </c>
      <c r="G110" s="40">
        <v>12974571</v>
      </c>
      <c r="H110" s="40">
        <v>12814425</v>
      </c>
      <c r="I110" s="40">
        <v>1352650</v>
      </c>
      <c r="J110" s="40">
        <v>127000</v>
      </c>
      <c r="K110" s="40">
        <v>34000</v>
      </c>
      <c r="L110" s="40">
        <v>264601701</v>
      </c>
      <c r="M110" s="40">
        <v>89808720</v>
      </c>
      <c r="N110" s="40">
        <v>2306</v>
      </c>
      <c r="O110" s="40">
        <v>458</v>
      </c>
      <c r="P110" s="40">
        <v>4856191</v>
      </c>
      <c r="Q110" s="40">
        <v>1850375</v>
      </c>
      <c r="R110" s="40">
        <v>584660</v>
      </c>
      <c r="S110" s="40">
        <v>5067888</v>
      </c>
      <c r="T110" s="40">
        <v>280249</v>
      </c>
      <c r="U110" s="40">
        <v>2845998</v>
      </c>
      <c r="V110" s="40">
        <v>4856191</v>
      </c>
      <c r="W110" s="40">
        <v>2003520</v>
      </c>
      <c r="X110" s="40">
        <v>584660</v>
      </c>
      <c r="Y110" s="40">
        <v>5067888</v>
      </c>
      <c r="Z110" s="40">
        <v>1222100</v>
      </c>
      <c r="AA110" s="40">
        <v>2845998</v>
      </c>
      <c r="AB110" s="40">
        <v>-6434340</v>
      </c>
      <c r="AC110" s="40">
        <v>-229172</v>
      </c>
      <c r="AD110" s="40">
        <v>49576</v>
      </c>
      <c r="AE110" s="40">
        <v>0</v>
      </c>
      <c r="AF110" s="40">
        <v>0</v>
      </c>
      <c r="AG110" s="40">
        <v>181645</v>
      </c>
      <c r="AH110" s="40">
        <v>5909.8360655737706</v>
      </c>
      <c r="AI110" s="40">
        <v>6557.377049180328</v>
      </c>
      <c r="AJ110" s="46">
        <v>0</v>
      </c>
      <c r="AK110" s="1">
        <v>127538834</v>
      </c>
      <c r="AL110" s="1">
        <v>5870368</v>
      </c>
      <c r="AM110" s="40">
        <v>5821490</v>
      </c>
      <c r="AN110" s="40">
        <v>55653915</v>
      </c>
      <c r="AO110" s="40">
        <v>1816198</v>
      </c>
      <c r="AP110" s="40">
        <v>45312462</v>
      </c>
      <c r="AQ110" s="40">
        <v>35660707</v>
      </c>
      <c r="AR110" s="40">
        <v>22263494</v>
      </c>
      <c r="AS110" s="40">
        <v>145795635</v>
      </c>
      <c r="AT110" s="40">
        <v>230776</v>
      </c>
      <c r="AU110" s="40">
        <v>0</v>
      </c>
      <c r="AV110" s="40">
        <v>0</v>
      </c>
      <c r="AW110" s="40">
        <v>9258</v>
      </c>
      <c r="AX110" s="40">
        <v>123535</v>
      </c>
      <c r="AY110" s="40">
        <v>506000</v>
      </c>
      <c r="AZ110" s="1">
        <v>9608832.3900000006</v>
      </c>
      <c r="BA110" s="1">
        <v>4900505</v>
      </c>
      <c r="BB110" s="1"/>
      <c r="BC110" s="15">
        <v>0</v>
      </c>
      <c r="BD110" s="15">
        <v>0</v>
      </c>
      <c r="BE110" s="20">
        <v>15801829</v>
      </c>
      <c r="BF110" s="20">
        <v>15801829</v>
      </c>
      <c r="BG110" s="20">
        <v>52110373</v>
      </c>
      <c r="BH110" s="20">
        <v>51588202</v>
      </c>
      <c r="BI110" s="44"/>
      <c r="BJ110" s="44"/>
      <c r="BK110" s="44"/>
      <c r="BL110" s="5">
        <v>1269224200.2131147</v>
      </c>
      <c r="BM110" s="5">
        <v>1063524462.2131147</v>
      </c>
      <c r="BN110" s="15">
        <v>1468000</v>
      </c>
      <c r="BO110" s="3"/>
      <c r="BP110" s="1"/>
      <c r="BQ110" s="1"/>
      <c r="BR110" s="5"/>
      <c r="BS110" s="5"/>
      <c r="BT110" s="5"/>
    </row>
    <row r="111" spans="1:72" x14ac:dyDescent="0.25">
      <c r="A111" s="6" t="s">
        <v>165</v>
      </c>
      <c r="B111" s="40">
        <v>201526825</v>
      </c>
      <c r="C111" s="40">
        <v>153256810</v>
      </c>
      <c r="D111" s="40">
        <v>63505723</v>
      </c>
      <c r="E111" s="40">
        <v>0</v>
      </c>
      <c r="F111" s="40">
        <v>26663110</v>
      </c>
      <c r="G111" s="40">
        <v>4392141</v>
      </c>
      <c r="H111" s="40">
        <v>8903000</v>
      </c>
      <c r="I111" s="40">
        <v>301811</v>
      </c>
      <c r="J111" s="40">
        <v>0</v>
      </c>
      <c r="K111" s="40">
        <v>0</v>
      </c>
      <c r="L111" s="40">
        <v>460357117</v>
      </c>
      <c r="M111" s="40">
        <v>59762625</v>
      </c>
      <c r="N111" s="40">
        <v>1121</v>
      </c>
      <c r="O111" s="40">
        <v>162</v>
      </c>
      <c r="P111" s="40">
        <v>2284855</v>
      </c>
      <c r="Q111" s="40">
        <v>860820</v>
      </c>
      <c r="R111" s="40">
        <v>2575597</v>
      </c>
      <c r="S111" s="40">
        <v>864474</v>
      </c>
      <c r="T111" s="40">
        <v>0</v>
      </c>
      <c r="U111" s="40">
        <v>88000</v>
      </c>
      <c r="V111" s="40">
        <v>2284855</v>
      </c>
      <c r="W111" s="40">
        <v>0</v>
      </c>
      <c r="X111" s="40">
        <v>2575597</v>
      </c>
      <c r="Y111" s="40">
        <v>864474</v>
      </c>
      <c r="Z111" s="40">
        <v>18633</v>
      </c>
      <c r="AA111" s="40">
        <v>88000</v>
      </c>
      <c r="AB111" s="40">
        <v>-602195</v>
      </c>
      <c r="AC111" s="40">
        <v>0</v>
      </c>
      <c r="AD111" s="40">
        <v>70564</v>
      </c>
      <c r="AE111" s="40">
        <v>87282</v>
      </c>
      <c r="AF111" s="40">
        <v>84755992</v>
      </c>
      <c r="AG111" s="40">
        <v>226879</v>
      </c>
      <c r="AH111" s="40">
        <v>96516.393442622953</v>
      </c>
      <c r="AI111" s="40">
        <v>74254.098360655742</v>
      </c>
      <c r="AJ111" s="46">
        <v>0</v>
      </c>
      <c r="AK111" s="1">
        <v>66286066</v>
      </c>
      <c r="AL111" s="1">
        <v>1190987</v>
      </c>
      <c r="AM111" s="40">
        <v>0</v>
      </c>
      <c r="AN111" s="40">
        <v>17072904</v>
      </c>
      <c r="AO111" s="40">
        <v>638934</v>
      </c>
      <c r="AP111" s="40">
        <v>9711373</v>
      </c>
      <c r="AQ111" s="40">
        <v>14113615</v>
      </c>
      <c r="AR111" s="40">
        <v>8049238</v>
      </c>
      <c r="AS111" s="40">
        <v>34407</v>
      </c>
      <c r="AT111" s="40">
        <v>1737623</v>
      </c>
      <c r="AU111" s="40">
        <v>0</v>
      </c>
      <c r="AV111" s="40">
        <v>4505623</v>
      </c>
      <c r="AW111" s="40">
        <v>6095298</v>
      </c>
      <c r="AX111" s="40">
        <v>2975</v>
      </c>
      <c r="AY111" s="40">
        <v>164500</v>
      </c>
      <c r="AZ111" s="1">
        <v>4994021.6500000004</v>
      </c>
      <c r="BA111" s="1">
        <v>2546951</v>
      </c>
      <c r="BB111" s="1"/>
      <c r="BC111" s="15">
        <v>1341114</v>
      </c>
      <c r="BD111" s="15">
        <v>2629635</v>
      </c>
      <c r="BE111" s="20">
        <v>7607107</v>
      </c>
      <c r="BF111" s="20">
        <v>7607107</v>
      </c>
      <c r="BG111" s="20">
        <v>46019790</v>
      </c>
      <c r="BH111" s="20">
        <v>34234493</v>
      </c>
      <c r="BI111" s="44"/>
      <c r="BJ111" s="44"/>
      <c r="BK111" s="44"/>
      <c r="BL111" s="5">
        <v>563492299.49180329</v>
      </c>
      <c r="BM111" s="5">
        <v>450285581.49180329</v>
      </c>
      <c r="BN111" s="15">
        <v>900372</v>
      </c>
      <c r="BO111" s="3"/>
      <c r="BP111" s="1"/>
      <c r="BQ111" s="1"/>
      <c r="BR111" s="5"/>
      <c r="BS111" s="5"/>
      <c r="BT111" s="5"/>
    </row>
    <row r="112" spans="1:72" x14ac:dyDescent="0.25">
      <c r="A112" s="6" t="s">
        <v>166</v>
      </c>
      <c r="B112" s="40">
        <v>594826019</v>
      </c>
      <c r="C112" s="40">
        <v>90608400</v>
      </c>
      <c r="D112" s="40">
        <v>79264313</v>
      </c>
      <c r="E112" s="40">
        <v>0</v>
      </c>
      <c r="F112" s="40">
        <v>43873655</v>
      </c>
      <c r="G112" s="40">
        <v>8409850</v>
      </c>
      <c r="H112" s="40">
        <v>5395633</v>
      </c>
      <c r="I112" s="40">
        <v>473000</v>
      </c>
      <c r="J112" s="40">
        <v>68000</v>
      </c>
      <c r="K112" s="40">
        <v>68000</v>
      </c>
      <c r="L112" s="40">
        <v>493153696</v>
      </c>
      <c r="M112" s="40">
        <v>53614342</v>
      </c>
      <c r="N112" s="40">
        <v>1543</v>
      </c>
      <c r="O112" s="40">
        <v>303</v>
      </c>
      <c r="P112" s="40">
        <v>14742540</v>
      </c>
      <c r="Q112" s="40">
        <v>1725083</v>
      </c>
      <c r="R112" s="40">
        <v>837200</v>
      </c>
      <c r="S112" s="40">
        <v>941806</v>
      </c>
      <c r="T112" s="40">
        <v>106900</v>
      </c>
      <c r="U112" s="40">
        <v>120000</v>
      </c>
      <c r="V112" s="40">
        <v>14742540</v>
      </c>
      <c r="W112" s="40">
        <v>149036</v>
      </c>
      <c r="X112" s="40">
        <v>837200</v>
      </c>
      <c r="Y112" s="40">
        <v>941806</v>
      </c>
      <c r="Z112" s="40">
        <v>51700</v>
      </c>
      <c r="AA112" s="40">
        <v>120000</v>
      </c>
      <c r="AB112" s="40">
        <v>-3556543</v>
      </c>
      <c r="AC112" s="40">
        <v>-120927</v>
      </c>
      <c r="AD112" s="40">
        <v>67976</v>
      </c>
      <c r="AE112" s="40">
        <v>0</v>
      </c>
      <c r="AF112" s="40">
        <v>0</v>
      </c>
      <c r="AG112" s="40">
        <v>353</v>
      </c>
      <c r="AH112" s="40">
        <v>0</v>
      </c>
      <c r="AI112" s="40">
        <v>134631.1475409836</v>
      </c>
      <c r="AJ112" s="46">
        <v>0</v>
      </c>
      <c r="AK112" s="1">
        <v>92982623</v>
      </c>
      <c r="AL112" s="1">
        <v>13759484</v>
      </c>
      <c r="AM112" s="40">
        <v>2571601</v>
      </c>
      <c r="AN112" s="40">
        <v>12300937</v>
      </c>
      <c r="AO112" s="40">
        <v>280138</v>
      </c>
      <c r="AP112" s="40">
        <v>10588913</v>
      </c>
      <c r="AQ112" s="40">
        <v>11969613</v>
      </c>
      <c r="AR112" s="40">
        <v>9161386</v>
      </c>
      <c r="AS112" s="3"/>
      <c r="AT112" s="40">
        <v>1164620</v>
      </c>
      <c r="AU112" s="3"/>
      <c r="AV112" s="40">
        <v>4149</v>
      </c>
      <c r="AW112" s="40">
        <v>145607033</v>
      </c>
      <c r="AX112" s="40">
        <v>6000</v>
      </c>
      <c r="AY112" s="40">
        <v>103000</v>
      </c>
      <c r="AZ112" s="1">
        <v>7005352.1100000003</v>
      </c>
      <c r="BA112" s="1">
        <v>3572730</v>
      </c>
      <c r="BB112" s="1">
        <v>21101036</v>
      </c>
      <c r="BC112" s="15">
        <v>0</v>
      </c>
      <c r="BD112" s="15">
        <v>0</v>
      </c>
      <c r="BE112" s="20">
        <v>3499374</v>
      </c>
      <c r="BF112" s="20">
        <v>3499374</v>
      </c>
      <c r="BG112" s="20">
        <v>22199078</v>
      </c>
      <c r="BH112" s="20">
        <v>22199078</v>
      </c>
      <c r="BI112" s="44"/>
      <c r="BJ112" s="44"/>
      <c r="BK112" s="44"/>
      <c r="BL112" s="5">
        <v>925397340.14754093</v>
      </c>
      <c r="BM112" s="5">
        <v>789384051.14754093</v>
      </c>
      <c r="BN112" s="15">
        <v>609237</v>
      </c>
      <c r="BO112" s="3"/>
      <c r="BP112" s="1"/>
      <c r="BQ112" s="1"/>
      <c r="BR112" s="5"/>
      <c r="BS112" s="5"/>
      <c r="BT112" s="5"/>
    </row>
    <row r="113" spans="1:72" x14ac:dyDescent="0.25">
      <c r="A113" s="6" t="s">
        <v>167</v>
      </c>
      <c r="B113" s="40">
        <v>192201400</v>
      </c>
      <c r="C113" s="40">
        <v>85590600</v>
      </c>
      <c r="D113" s="40">
        <v>19779100</v>
      </c>
      <c r="E113" s="40">
        <v>0</v>
      </c>
      <c r="F113" s="40">
        <v>16648000</v>
      </c>
      <c r="G113" s="40">
        <v>4197700</v>
      </c>
      <c r="H113" s="40">
        <v>6548400</v>
      </c>
      <c r="I113" s="40">
        <v>664300</v>
      </c>
      <c r="J113" s="40">
        <v>34000</v>
      </c>
      <c r="K113" s="40">
        <v>0</v>
      </c>
      <c r="L113" s="40">
        <v>114683700</v>
      </c>
      <c r="M113" s="40">
        <v>58672300</v>
      </c>
      <c r="N113" s="40">
        <v>715</v>
      </c>
      <c r="O113" s="40">
        <v>162</v>
      </c>
      <c r="P113" s="40">
        <v>2729200</v>
      </c>
      <c r="Q113" s="40">
        <v>1313500</v>
      </c>
      <c r="R113" s="40">
        <v>52400</v>
      </c>
      <c r="S113" s="40">
        <v>2155400</v>
      </c>
      <c r="T113" s="40">
        <v>923100</v>
      </c>
      <c r="U113" s="40">
        <v>173600</v>
      </c>
      <c r="V113" s="40">
        <v>2729200</v>
      </c>
      <c r="W113" s="40">
        <v>1220400</v>
      </c>
      <c r="X113" s="40">
        <v>52400</v>
      </c>
      <c r="Y113" s="40">
        <v>2155400</v>
      </c>
      <c r="Z113" s="40">
        <v>1058800</v>
      </c>
      <c r="AA113" s="40">
        <v>173600</v>
      </c>
      <c r="AB113" s="40">
        <v>-901900</v>
      </c>
      <c r="AC113" s="40">
        <v>0</v>
      </c>
      <c r="AD113" s="40">
        <v>41246</v>
      </c>
      <c r="AE113" s="40">
        <v>8780</v>
      </c>
      <c r="AF113" s="40">
        <v>41117900</v>
      </c>
      <c r="AG113" s="40">
        <v>82832</v>
      </c>
      <c r="AH113" s="40">
        <v>0</v>
      </c>
      <c r="AI113" s="40">
        <v>16819.672131147541</v>
      </c>
      <c r="AJ113" s="46">
        <v>0</v>
      </c>
      <c r="AK113" s="1">
        <v>52644545</v>
      </c>
      <c r="AL113" s="1">
        <v>1471661</v>
      </c>
      <c r="AM113" s="40">
        <v>75000</v>
      </c>
      <c r="AN113" s="40">
        <v>3556707</v>
      </c>
      <c r="AO113" s="40">
        <v>47003</v>
      </c>
      <c r="AP113" s="40">
        <v>2043075</v>
      </c>
      <c r="AQ113" s="40">
        <v>1725255</v>
      </c>
      <c r="AR113" s="40">
        <v>232378</v>
      </c>
      <c r="AS113" s="40">
        <v>0</v>
      </c>
      <c r="AT113" s="40">
        <v>43155</v>
      </c>
      <c r="AU113" s="40">
        <v>0</v>
      </c>
      <c r="AV113" s="40">
        <v>0</v>
      </c>
      <c r="AW113" s="40">
        <v>0</v>
      </c>
      <c r="AX113" s="40">
        <v>6844</v>
      </c>
      <c r="AY113" s="40">
        <v>0</v>
      </c>
      <c r="AZ113" s="1">
        <v>3966263.4</v>
      </c>
      <c r="BA113" s="1">
        <v>2022794</v>
      </c>
      <c r="BB113" s="1">
        <v>16321244</v>
      </c>
      <c r="BC113" s="15">
        <v>0</v>
      </c>
      <c r="BD113" s="15">
        <v>0</v>
      </c>
      <c r="BE113" s="20">
        <v>104597967</v>
      </c>
      <c r="BF113" s="20">
        <v>104597967</v>
      </c>
      <c r="BG113" s="20">
        <v>72665853</v>
      </c>
      <c r="BH113" s="20">
        <v>72622903</v>
      </c>
      <c r="BI113" s="44"/>
      <c r="BJ113" s="44"/>
      <c r="BK113" s="44"/>
      <c r="BL113" s="5">
        <v>536276754.67213112</v>
      </c>
      <c r="BM113" s="5">
        <v>302916884.67213112</v>
      </c>
      <c r="BN113" s="15">
        <v>296600</v>
      </c>
      <c r="BO113" s="3"/>
      <c r="BP113" s="1"/>
      <c r="BQ113" s="1"/>
      <c r="BR113" s="5"/>
      <c r="BS113" s="5"/>
      <c r="BT113" s="5"/>
    </row>
    <row r="114" spans="1:72" x14ac:dyDescent="0.25">
      <c r="A114" s="6" t="s">
        <v>168</v>
      </c>
      <c r="B114" s="40">
        <v>257406911</v>
      </c>
      <c r="C114" s="40">
        <v>140898510</v>
      </c>
      <c r="D114" s="40">
        <v>93152027</v>
      </c>
      <c r="E114" s="40">
        <v>1310000</v>
      </c>
      <c r="F114" s="40">
        <v>34769508</v>
      </c>
      <c r="G114" s="40">
        <v>7208005</v>
      </c>
      <c r="H114" s="40">
        <v>4954505</v>
      </c>
      <c r="I114" s="40">
        <v>362554</v>
      </c>
      <c r="J114" s="40">
        <v>68000</v>
      </c>
      <c r="K114" s="40">
        <v>34000</v>
      </c>
      <c r="L114" s="40">
        <v>457027028</v>
      </c>
      <c r="M114" s="40">
        <v>0</v>
      </c>
      <c r="N114" s="40">
        <v>1258</v>
      </c>
      <c r="O114" s="40">
        <v>258</v>
      </c>
      <c r="P114" s="40">
        <v>1395401</v>
      </c>
      <c r="Q114" s="40">
        <v>2134369</v>
      </c>
      <c r="R114" s="40">
        <v>1212760</v>
      </c>
      <c r="S114" s="40">
        <v>1146345</v>
      </c>
      <c r="T114" s="40">
        <v>424563</v>
      </c>
      <c r="U114" s="40">
        <v>554510</v>
      </c>
      <c r="V114" s="40">
        <v>1395401</v>
      </c>
      <c r="W114" s="40">
        <v>2416027</v>
      </c>
      <c r="X114" s="40">
        <v>1212760</v>
      </c>
      <c r="Y114" s="40">
        <v>1146345</v>
      </c>
      <c r="Z114" s="40">
        <v>419223</v>
      </c>
      <c r="AA114" s="40">
        <v>554510</v>
      </c>
      <c r="AB114" s="40">
        <v>-731112</v>
      </c>
      <c r="AC114" s="40">
        <v>0</v>
      </c>
      <c r="AD114" s="40">
        <v>7908</v>
      </c>
      <c r="AE114" s="40">
        <v>0</v>
      </c>
      <c r="AF114" s="40">
        <v>36063848</v>
      </c>
      <c r="AG114" s="40">
        <v>190163</v>
      </c>
      <c r="AH114" s="40">
        <v>26644893.442622952</v>
      </c>
      <c r="AI114" s="40">
        <v>0</v>
      </c>
      <c r="AJ114" s="46">
        <v>75530758</v>
      </c>
      <c r="AK114" s="1">
        <v>108369183</v>
      </c>
      <c r="AL114" s="1">
        <v>3849642</v>
      </c>
      <c r="AM114" s="40">
        <v>78670</v>
      </c>
      <c r="AN114" s="40">
        <v>169263303</v>
      </c>
      <c r="AO114" s="40">
        <v>10561045</v>
      </c>
      <c r="AP114" s="40">
        <v>101493143</v>
      </c>
      <c r="AQ114" s="40">
        <v>40257463</v>
      </c>
      <c r="AR114" s="40">
        <v>12224365</v>
      </c>
      <c r="AS114" s="40">
        <v>25090435</v>
      </c>
      <c r="AT114" s="40">
        <v>3106968</v>
      </c>
      <c r="AU114" s="40">
        <v>0</v>
      </c>
      <c r="AV114" s="40">
        <v>9432</v>
      </c>
      <c r="AW114" s="40">
        <v>22324098</v>
      </c>
      <c r="AX114" s="40">
        <v>1560562</v>
      </c>
      <c r="AY114" s="40">
        <v>1694488</v>
      </c>
      <c r="AZ114" s="1">
        <v>8164582.3700000001</v>
      </c>
      <c r="BA114" s="1">
        <v>4163937</v>
      </c>
      <c r="BB114" s="1">
        <v>32409326</v>
      </c>
      <c r="BC114" s="15">
        <v>0</v>
      </c>
      <c r="BD114" s="15">
        <v>0</v>
      </c>
      <c r="BE114" s="20">
        <v>1966449</v>
      </c>
      <c r="BF114" s="20">
        <v>1966449</v>
      </c>
      <c r="BG114" s="20">
        <v>27903552</v>
      </c>
      <c r="BH114" s="20">
        <v>27902031</v>
      </c>
      <c r="BI114" s="44"/>
      <c r="BJ114" s="44"/>
      <c r="BK114" s="44"/>
      <c r="BL114" s="5">
        <v>959966152.4426229</v>
      </c>
      <c r="BM114" s="5">
        <v>813714910.4426229</v>
      </c>
      <c r="BN114" s="15">
        <v>891560</v>
      </c>
      <c r="BO114" s="3"/>
      <c r="BP114" s="1"/>
      <c r="BQ114" s="1"/>
      <c r="BR114" s="5"/>
      <c r="BS114" s="5"/>
      <c r="BT114" s="5"/>
    </row>
    <row r="115" spans="1:72" x14ac:dyDescent="0.25">
      <c r="A115" s="6" t="s">
        <v>169</v>
      </c>
      <c r="B115" s="40">
        <v>4102115170</v>
      </c>
      <c r="C115" s="40">
        <v>402073180</v>
      </c>
      <c r="D115" s="40">
        <v>2122032810</v>
      </c>
      <c r="E115" s="40">
        <v>228887900</v>
      </c>
      <c r="F115" s="40">
        <v>193045740</v>
      </c>
      <c r="G115" s="40">
        <v>21913850</v>
      </c>
      <c r="H115" s="40">
        <v>25243700</v>
      </c>
      <c r="I115" s="40">
        <v>1864490</v>
      </c>
      <c r="J115" s="40">
        <v>340000</v>
      </c>
      <c r="K115" s="40">
        <v>34000</v>
      </c>
      <c r="L115" s="40">
        <v>829260400</v>
      </c>
      <c r="M115" s="40">
        <v>0</v>
      </c>
      <c r="N115" s="40">
        <v>6537</v>
      </c>
      <c r="O115" s="40">
        <v>752</v>
      </c>
      <c r="P115" s="40">
        <v>63314570</v>
      </c>
      <c r="Q115" s="40">
        <v>3493810</v>
      </c>
      <c r="R115" s="40">
        <v>33091080</v>
      </c>
      <c r="S115" s="40">
        <v>1411590</v>
      </c>
      <c r="T115" s="40">
        <v>700300</v>
      </c>
      <c r="U115" s="40">
        <v>1528000</v>
      </c>
      <c r="V115" s="40">
        <v>63314570</v>
      </c>
      <c r="W115" s="40">
        <v>3493810</v>
      </c>
      <c r="X115" s="40">
        <v>33091080</v>
      </c>
      <c r="Y115" s="40">
        <v>1411590</v>
      </c>
      <c r="Z115" s="40">
        <v>700300</v>
      </c>
      <c r="AA115" s="40">
        <v>1528000</v>
      </c>
      <c r="AB115" s="40">
        <v>-15023940</v>
      </c>
      <c r="AC115" s="40">
        <v>-6346905</v>
      </c>
      <c r="AD115" s="40">
        <v>71933</v>
      </c>
      <c r="AE115" s="40">
        <v>0</v>
      </c>
      <c r="AF115" s="40">
        <v>0</v>
      </c>
      <c r="AG115" s="40">
        <v>0</v>
      </c>
      <c r="AH115" s="40">
        <v>5900000</v>
      </c>
      <c r="AI115" s="40">
        <v>968262.29508196726</v>
      </c>
      <c r="AJ115" s="46">
        <v>0</v>
      </c>
      <c r="AK115" s="1">
        <v>633010476</v>
      </c>
      <c r="AL115" s="1">
        <v>15889013</v>
      </c>
      <c r="AM115" s="40">
        <v>89000</v>
      </c>
      <c r="AN115" s="40">
        <v>330096166</v>
      </c>
      <c r="AO115" s="40">
        <v>49222504</v>
      </c>
      <c r="AP115" s="40">
        <v>677683985</v>
      </c>
      <c r="AQ115" s="40">
        <v>333626486</v>
      </c>
      <c r="AR115" s="40">
        <v>263055662</v>
      </c>
      <c r="AS115" s="40">
        <v>110106898</v>
      </c>
      <c r="AT115" s="40">
        <v>2379223</v>
      </c>
      <c r="AU115" s="40">
        <v>0</v>
      </c>
      <c r="AV115" s="40">
        <v>16905</v>
      </c>
      <c r="AW115" s="40">
        <v>128732004</v>
      </c>
      <c r="AX115" s="40">
        <v>3948581</v>
      </c>
      <c r="AY115" s="40">
        <v>19635699</v>
      </c>
      <c r="AZ115" s="1">
        <v>47691290.380000003</v>
      </c>
      <c r="BA115" s="1">
        <v>24322558</v>
      </c>
      <c r="BB115" s="1"/>
      <c r="BC115" s="15">
        <v>2790216</v>
      </c>
      <c r="BD115" s="15">
        <v>5471012</v>
      </c>
      <c r="BE115" s="20">
        <v>40430413</v>
      </c>
      <c r="BF115" s="20">
        <v>40430413</v>
      </c>
      <c r="BG115" s="20">
        <v>141653686</v>
      </c>
      <c r="BH115" s="20">
        <v>134650776</v>
      </c>
      <c r="BI115" s="44">
        <v>20928</v>
      </c>
      <c r="BJ115" s="44">
        <v>23760665</v>
      </c>
      <c r="BK115" s="44"/>
      <c r="BL115" s="5">
        <v>8220909623.2950821</v>
      </c>
      <c r="BM115" s="5">
        <v>7346034578.2950821</v>
      </c>
      <c r="BN115" s="15">
        <v>3450350</v>
      </c>
      <c r="BO115" s="3"/>
      <c r="BP115" s="1"/>
      <c r="BQ115" s="1"/>
      <c r="BR115" s="5"/>
      <c r="BS115" s="5"/>
      <c r="BT115" s="5"/>
    </row>
    <row r="116" spans="1:72" x14ac:dyDescent="0.25">
      <c r="A116" s="6" t="s">
        <v>170</v>
      </c>
      <c r="B116" s="40">
        <v>239449219</v>
      </c>
      <c r="C116" s="40">
        <v>152183250</v>
      </c>
      <c r="D116" s="40">
        <v>74650252</v>
      </c>
      <c r="E116" s="40">
        <v>0</v>
      </c>
      <c r="F116" s="40">
        <v>26208600</v>
      </c>
      <c r="G116" s="40">
        <v>5253500</v>
      </c>
      <c r="H116" s="40">
        <v>13010500</v>
      </c>
      <c r="I116" s="40">
        <v>2013500</v>
      </c>
      <c r="J116" s="40">
        <v>28000</v>
      </c>
      <c r="K116" s="40">
        <v>0</v>
      </c>
      <c r="L116" s="40">
        <v>278874822</v>
      </c>
      <c r="M116" s="40">
        <v>107014300</v>
      </c>
      <c r="N116" s="40">
        <v>1191</v>
      </c>
      <c r="O116" s="40">
        <v>235</v>
      </c>
      <c r="P116" s="40">
        <v>4494030</v>
      </c>
      <c r="Q116" s="40">
        <v>2132200</v>
      </c>
      <c r="R116" s="40">
        <v>3476100</v>
      </c>
      <c r="S116" s="40">
        <v>2631844</v>
      </c>
      <c r="T116" s="40">
        <v>701000</v>
      </c>
      <c r="U116" s="40">
        <v>815000</v>
      </c>
      <c r="V116" s="40">
        <v>4494030</v>
      </c>
      <c r="W116" s="40">
        <v>2813500</v>
      </c>
      <c r="X116" s="40">
        <v>3476100</v>
      </c>
      <c r="Y116" s="40">
        <v>2631844</v>
      </c>
      <c r="Z116" s="40">
        <v>643500</v>
      </c>
      <c r="AA116" s="40">
        <v>815000</v>
      </c>
      <c r="AB116" s="40">
        <v>-774495</v>
      </c>
      <c r="AC116" s="40">
        <v>0</v>
      </c>
      <c r="AD116" s="40">
        <v>44343</v>
      </c>
      <c r="AE116" s="40">
        <v>0</v>
      </c>
      <c r="AF116" s="40">
        <v>0</v>
      </c>
      <c r="AG116" s="40">
        <v>179677</v>
      </c>
      <c r="AH116" s="40">
        <v>0</v>
      </c>
      <c r="AI116" s="40">
        <v>0</v>
      </c>
      <c r="AJ116" s="46">
        <v>0</v>
      </c>
      <c r="AK116" s="1">
        <v>67072913</v>
      </c>
      <c r="AL116" s="1">
        <v>1219334</v>
      </c>
      <c r="AM116" s="40">
        <v>0</v>
      </c>
      <c r="AN116" s="40">
        <v>21281573</v>
      </c>
      <c r="AO116" s="40">
        <v>891837</v>
      </c>
      <c r="AP116" s="40">
        <v>56348992</v>
      </c>
      <c r="AQ116" s="40">
        <v>16528489</v>
      </c>
      <c r="AR116" s="40">
        <v>15745927</v>
      </c>
      <c r="AS116" s="40">
        <v>6134061</v>
      </c>
      <c r="AT116" s="40">
        <v>1168034</v>
      </c>
      <c r="AU116" s="40">
        <v>0</v>
      </c>
      <c r="AV116" s="40">
        <v>0</v>
      </c>
      <c r="AW116" s="40">
        <v>31928</v>
      </c>
      <c r="AX116" s="40">
        <v>12082</v>
      </c>
      <c r="AY116" s="40">
        <v>625250</v>
      </c>
      <c r="AZ116" s="1">
        <v>5053303.05</v>
      </c>
      <c r="BA116" s="1">
        <v>2577185</v>
      </c>
      <c r="BB116" s="1"/>
      <c r="BC116" s="15">
        <v>0</v>
      </c>
      <c r="BD116" s="15">
        <v>0</v>
      </c>
      <c r="BE116" s="20">
        <v>1457682</v>
      </c>
      <c r="BF116" s="20">
        <v>1457682</v>
      </c>
      <c r="BG116" s="20">
        <v>21496695</v>
      </c>
      <c r="BH116" s="20">
        <v>21493652</v>
      </c>
      <c r="BI116" s="44"/>
      <c r="BJ116" s="44"/>
      <c r="BK116" s="44"/>
      <c r="BL116" s="5">
        <v>598805386</v>
      </c>
      <c r="BM116" s="5">
        <v>504984620</v>
      </c>
      <c r="BN116" s="15">
        <v>359500</v>
      </c>
      <c r="BO116" s="3"/>
      <c r="BP116" s="1"/>
      <c r="BQ116" s="1"/>
      <c r="BR116" s="5"/>
      <c r="BS116" s="5"/>
      <c r="BT116" s="5"/>
    </row>
    <row r="117" spans="1:72" x14ac:dyDescent="0.25">
      <c r="A117" s="6" t="s">
        <v>171</v>
      </c>
      <c r="B117" s="40">
        <v>444661480</v>
      </c>
      <c r="C117" s="40">
        <v>125203673</v>
      </c>
      <c r="D117" s="40">
        <v>103065246</v>
      </c>
      <c r="E117" s="40">
        <v>0</v>
      </c>
      <c r="F117" s="40">
        <v>47693340</v>
      </c>
      <c r="G117" s="40">
        <v>16861544</v>
      </c>
      <c r="H117" s="40">
        <v>15056769</v>
      </c>
      <c r="I117" s="40">
        <v>2360059</v>
      </c>
      <c r="J117" s="40">
        <v>173260</v>
      </c>
      <c r="K117" s="40">
        <v>34000</v>
      </c>
      <c r="L117" s="40">
        <v>275478570</v>
      </c>
      <c r="M117" s="40">
        <v>79899413</v>
      </c>
      <c r="N117" s="40">
        <v>2076</v>
      </c>
      <c r="O117" s="40">
        <v>694</v>
      </c>
      <c r="P117" s="40">
        <v>4614465</v>
      </c>
      <c r="Q117" s="40">
        <v>817860</v>
      </c>
      <c r="R117" s="40">
        <v>318600</v>
      </c>
      <c r="S117" s="40">
        <v>3927273</v>
      </c>
      <c r="T117" s="40">
        <v>560465</v>
      </c>
      <c r="U117" s="40">
        <v>4229230</v>
      </c>
      <c r="V117" s="40">
        <v>4614465</v>
      </c>
      <c r="W117" s="40">
        <v>817860</v>
      </c>
      <c r="X117" s="40">
        <v>318600</v>
      </c>
      <c r="Y117" s="40">
        <v>3927273</v>
      </c>
      <c r="Z117" s="40">
        <v>1216740</v>
      </c>
      <c r="AA117" s="40">
        <v>4229230</v>
      </c>
      <c r="AB117" s="40">
        <v>-2123772</v>
      </c>
      <c r="AC117" s="40">
        <v>-413351</v>
      </c>
      <c r="AD117" s="40">
        <v>175128</v>
      </c>
      <c r="AE117" s="40">
        <v>8137</v>
      </c>
      <c r="AF117" s="40">
        <v>9808890</v>
      </c>
      <c r="AG117" s="40">
        <v>243297</v>
      </c>
      <c r="AH117" s="40">
        <v>510483.60655737703</v>
      </c>
      <c r="AI117" s="40">
        <v>97975.409836065577</v>
      </c>
      <c r="AJ117" s="46">
        <v>0</v>
      </c>
      <c r="AK117" s="1">
        <v>92888999</v>
      </c>
      <c r="AL117" s="1">
        <v>12644346</v>
      </c>
      <c r="AM117" s="40">
        <v>11159123</v>
      </c>
      <c r="AN117" s="40">
        <v>19036563</v>
      </c>
      <c r="AO117" s="40">
        <v>1387896</v>
      </c>
      <c r="AP117" s="40">
        <v>33790125</v>
      </c>
      <c r="AQ117" s="40">
        <v>13545791</v>
      </c>
      <c r="AR117" s="40">
        <v>18800145</v>
      </c>
      <c r="AS117" s="40">
        <v>1070376</v>
      </c>
      <c r="AT117" s="40">
        <v>5739607</v>
      </c>
      <c r="AU117" s="40">
        <v>0</v>
      </c>
      <c r="AV117" s="40">
        <v>0</v>
      </c>
      <c r="AW117" s="40">
        <v>0</v>
      </c>
      <c r="AX117" s="40">
        <v>0</v>
      </c>
      <c r="AY117" s="40">
        <v>163400</v>
      </c>
      <c r="AZ117" s="1">
        <v>6998298.4400000004</v>
      </c>
      <c r="BA117" s="1">
        <v>3569132</v>
      </c>
      <c r="BB117" s="1"/>
      <c r="BC117" s="15">
        <v>0</v>
      </c>
      <c r="BD117" s="15">
        <v>0</v>
      </c>
      <c r="BE117" s="20">
        <v>679834</v>
      </c>
      <c r="BF117" s="20">
        <v>679834</v>
      </c>
      <c r="BG117" s="20">
        <v>31476865</v>
      </c>
      <c r="BH117" s="20">
        <v>31396671</v>
      </c>
      <c r="BI117" s="44"/>
      <c r="BJ117" s="44"/>
      <c r="BK117" s="44"/>
      <c r="BL117" s="5">
        <v>848688090.01639342</v>
      </c>
      <c r="BM117" s="5">
        <v>707509108.01639342</v>
      </c>
      <c r="BN117" s="15">
        <v>798000</v>
      </c>
      <c r="BO117" s="3"/>
      <c r="BP117" s="1"/>
      <c r="BQ117" s="1"/>
      <c r="BR117" s="5"/>
      <c r="BS117" s="5"/>
      <c r="BT117" s="5"/>
    </row>
    <row r="118" spans="1:72" x14ac:dyDescent="0.25">
      <c r="A118" s="6" t="s">
        <v>172</v>
      </c>
      <c r="B118" s="40">
        <v>192801328</v>
      </c>
      <c r="C118" s="40">
        <v>136785242</v>
      </c>
      <c r="D118" s="40">
        <v>51560809</v>
      </c>
      <c r="E118" s="40">
        <v>11520000</v>
      </c>
      <c r="F118" s="40">
        <v>29829167</v>
      </c>
      <c r="G118" s="40">
        <v>6366650</v>
      </c>
      <c r="H118" s="40">
        <v>7337633</v>
      </c>
      <c r="I118" s="40">
        <v>859685</v>
      </c>
      <c r="J118" s="40">
        <v>5000</v>
      </c>
      <c r="K118" s="40">
        <v>0</v>
      </c>
      <c r="L118" s="40">
        <v>221756045</v>
      </c>
      <c r="M118" s="40">
        <v>53229850</v>
      </c>
      <c r="N118" s="40">
        <v>1249</v>
      </c>
      <c r="O118" s="40">
        <v>275</v>
      </c>
      <c r="P118" s="40">
        <v>2721100</v>
      </c>
      <c r="Q118" s="40">
        <v>668000</v>
      </c>
      <c r="R118" s="40">
        <v>557800</v>
      </c>
      <c r="S118" s="40">
        <v>211300</v>
      </c>
      <c r="T118" s="40">
        <v>0</v>
      </c>
      <c r="U118" s="40">
        <v>0</v>
      </c>
      <c r="V118" s="40">
        <v>2721100</v>
      </c>
      <c r="W118" s="40">
        <v>668000</v>
      </c>
      <c r="X118" s="40">
        <v>557800</v>
      </c>
      <c r="Y118" s="40">
        <v>211300</v>
      </c>
      <c r="Z118" s="40">
        <v>0</v>
      </c>
      <c r="AA118" s="40">
        <v>0</v>
      </c>
      <c r="AB118" s="40">
        <v>-562910</v>
      </c>
      <c r="AC118" s="40">
        <v>0</v>
      </c>
      <c r="AD118" s="40">
        <v>61410</v>
      </c>
      <c r="AE118" s="40">
        <v>12229</v>
      </c>
      <c r="AF118" s="40">
        <v>4237028</v>
      </c>
      <c r="AG118" s="40">
        <v>198801</v>
      </c>
      <c r="AH118" s="40">
        <v>10720901.639344262</v>
      </c>
      <c r="AI118" s="40">
        <v>0</v>
      </c>
      <c r="AJ118" s="46">
        <v>28584807</v>
      </c>
      <c r="AK118" s="1">
        <v>94237383</v>
      </c>
      <c r="AL118" s="1">
        <v>2933884</v>
      </c>
      <c r="AM118" s="40">
        <v>0</v>
      </c>
      <c r="AN118" s="40">
        <v>102619061</v>
      </c>
      <c r="AO118" s="40">
        <v>3713650</v>
      </c>
      <c r="AP118" s="40">
        <v>31554786</v>
      </c>
      <c r="AQ118" s="40">
        <v>14234974</v>
      </c>
      <c r="AR118" s="40">
        <v>11635601</v>
      </c>
      <c r="AS118" s="40">
        <v>0</v>
      </c>
      <c r="AT118" s="40">
        <v>1036576</v>
      </c>
      <c r="AU118" s="40">
        <v>0</v>
      </c>
      <c r="AV118" s="40">
        <v>0</v>
      </c>
      <c r="AW118" s="40">
        <v>3571055</v>
      </c>
      <c r="AX118" s="40">
        <v>2122447</v>
      </c>
      <c r="AY118" s="40">
        <v>242500</v>
      </c>
      <c r="AZ118" s="1">
        <v>7099886.29</v>
      </c>
      <c r="BA118" s="1">
        <v>3620942</v>
      </c>
      <c r="BB118" s="1">
        <v>2001295</v>
      </c>
      <c r="BC118" s="15">
        <v>1235538</v>
      </c>
      <c r="BD118" s="15">
        <v>2422623</v>
      </c>
      <c r="BE118" s="20">
        <v>21497303</v>
      </c>
      <c r="BF118" s="20">
        <v>20957926</v>
      </c>
      <c r="BG118" s="20">
        <v>55042420</v>
      </c>
      <c r="BH118" s="20">
        <v>52826325</v>
      </c>
      <c r="BI118" s="44"/>
      <c r="BJ118" s="44"/>
      <c r="BK118" s="44"/>
      <c r="BL118" s="5">
        <v>716832770.63934422</v>
      </c>
      <c r="BM118" s="5">
        <v>541020772.63934422</v>
      </c>
      <c r="BN118" s="15">
        <v>718890</v>
      </c>
      <c r="BO118" s="3"/>
      <c r="BP118" s="1"/>
      <c r="BQ118" s="1"/>
      <c r="BR118" s="5"/>
      <c r="BS118" s="5"/>
      <c r="BT118" s="5"/>
    </row>
    <row r="119" spans="1:72" x14ac:dyDescent="0.25">
      <c r="A119" s="6" t="s">
        <v>173</v>
      </c>
      <c r="B119" s="40">
        <v>640076257</v>
      </c>
      <c r="C119" s="40">
        <v>130299726</v>
      </c>
      <c r="D119" s="40">
        <v>209208916</v>
      </c>
      <c r="E119" s="40">
        <v>2400000</v>
      </c>
      <c r="F119" s="40">
        <v>82768160</v>
      </c>
      <c r="G119" s="40">
        <v>21874525</v>
      </c>
      <c r="H119" s="40">
        <v>15399410</v>
      </c>
      <c r="I119" s="40">
        <v>2129765</v>
      </c>
      <c r="J119" s="40">
        <v>20400</v>
      </c>
      <c r="K119" s="40">
        <v>0</v>
      </c>
      <c r="L119" s="40">
        <v>418242639</v>
      </c>
      <c r="M119" s="40">
        <v>42316965</v>
      </c>
      <c r="N119" s="40">
        <v>3404</v>
      </c>
      <c r="O119" s="40">
        <v>904</v>
      </c>
      <c r="P119" s="40">
        <v>292400</v>
      </c>
      <c r="Q119" s="40">
        <v>0</v>
      </c>
      <c r="R119" s="40">
        <v>2232553</v>
      </c>
      <c r="S119" s="40">
        <v>5071200</v>
      </c>
      <c r="T119" s="40">
        <v>2087010</v>
      </c>
      <c r="U119" s="40">
        <v>3677300</v>
      </c>
      <c r="V119" s="40">
        <v>292400</v>
      </c>
      <c r="W119" s="40">
        <v>2700</v>
      </c>
      <c r="X119" s="40">
        <v>2232553</v>
      </c>
      <c r="Y119" s="40">
        <v>5071200</v>
      </c>
      <c r="Z119" s="40">
        <v>2553570</v>
      </c>
      <c r="AA119" s="40">
        <v>3677300</v>
      </c>
      <c r="AB119" s="40">
        <v>-10936134</v>
      </c>
      <c r="AC119" s="40">
        <v>1049671</v>
      </c>
      <c r="AD119" s="40">
        <v>5534</v>
      </c>
      <c r="AE119" s="40">
        <v>0</v>
      </c>
      <c r="AF119" s="40">
        <v>0</v>
      </c>
      <c r="AG119" s="40">
        <v>5592</v>
      </c>
      <c r="AH119" s="40">
        <v>1379803.2786885246</v>
      </c>
      <c r="AI119" s="40">
        <v>18281508.196721312</v>
      </c>
      <c r="AJ119" s="46">
        <v>5441598.360655738</v>
      </c>
      <c r="AK119" s="1">
        <v>183111788</v>
      </c>
      <c r="AL119" s="1">
        <v>6414155</v>
      </c>
      <c r="AM119" s="40">
        <v>1784171</v>
      </c>
      <c r="AN119" s="40">
        <v>51457968</v>
      </c>
      <c r="AO119" s="40">
        <v>2593510</v>
      </c>
      <c r="AP119" s="40">
        <v>48018568</v>
      </c>
      <c r="AQ119" s="40">
        <v>67279886</v>
      </c>
      <c r="AR119" s="40">
        <v>17555897</v>
      </c>
      <c r="AS119" s="40">
        <v>4445355</v>
      </c>
      <c r="AT119" s="40">
        <v>46357</v>
      </c>
      <c r="AU119" s="40">
        <v>0</v>
      </c>
      <c r="AV119" s="40">
        <v>0</v>
      </c>
      <c r="AW119" s="40">
        <v>0</v>
      </c>
      <c r="AX119" s="40">
        <v>57059</v>
      </c>
      <c r="AY119" s="40">
        <v>82500</v>
      </c>
      <c r="AZ119" s="1">
        <v>13795723.43</v>
      </c>
      <c r="BA119" s="1">
        <v>7035819</v>
      </c>
      <c r="BB119" s="1"/>
      <c r="BC119" s="15">
        <v>12067006</v>
      </c>
      <c r="BD119" s="15">
        <v>23660796</v>
      </c>
      <c r="BE119" s="20">
        <v>45583890</v>
      </c>
      <c r="BF119" s="20">
        <v>45583890</v>
      </c>
      <c r="BG119" s="20">
        <v>64628928</v>
      </c>
      <c r="BH119" s="20">
        <v>53494969</v>
      </c>
      <c r="BI119" s="44"/>
      <c r="BJ119" s="44"/>
      <c r="BK119" s="44"/>
      <c r="BL119" s="5">
        <v>1433726799.8360658</v>
      </c>
      <c r="BM119" s="5">
        <v>1126019172.8360658</v>
      </c>
      <c r="BN119" s="15">
        <v>1435326</v>
      </c>
      <c r="BO119" s="3"/>
      <c r="BP119" s="1"/>
      <c r="BQ119" s="1"/>
      <c r="BR119" s="5"/>
      <c r="BS119" s="5"/>
      <c r="BT119" s="5"/>
    </row>
    <row r="120" spans="1:72" x14ac:dyDescent="0.25">
      <c r="A120" s="6" t="s">
        <v>174</v>
      </c>
      <c r="B120" s="40">
        <v>54336125</v>
      </c>
      <c r="C120" s="40">
        <v>61789250</v>
      </c>
      <c r="D120" s="40">
        <v>33618000</v>
      </c>
      <c r="E120" s="40">
        <v>0</v>
      </c>
      <c r="F120" s="40">
        <v>10405000</v>
      </c>
      <c r="G120" s="40">
        <v>8253200</v>
      </c>
      <c r="H120" s="40">
        <v>8782500</v>
      </c>
      <c r="I120" s="40">
        <v>3980800</v>
      </c>
      <c r="J120" s="40">
        <v>0</v>
      </c>
      <c r="K120" s="40">
        <v>0</v>
      </c>
      <c r="L120" s="40">
        <v>64568701</v>
      </c>
      <c r="M120" s="40">
        <v>0</v>
      </c>
      <c r="N120" s="40">
        <v>647</v>
      </c>
      <c r="O120" s="40">
        <v>487</v>
      </c>
      <c r="P120" s="40">
        <v>770000</v>
      </c>
      <c r="Q120" s="40">
        <v>212000</v>
      </c>
      <c r="R120" s="40">
        <v>963000</v>
      </c>
      <c r="S120" s="40">
        <v>800500</v>
      </c>
      <c r="T120" s="40">
        <v>419000</v>
      </c>
      <c r="U120" s="40">
        <v>144000</v>
      </c>
      <c r="V120" s="40">
        <v>770000</v>
      </c>
      <c r="W120" s="40">
        <v>405000</v>
      </c>
      <c r="X120" s="40">
        <v>963000</v>
      </c>
      <c r="Y120" s="40">
        <v>800500</v>
      </c>
      <c r="Z120" s="40">
        <v>870000</v>
      </c>
      <c r="AA120" s="40">
        <v>144000</v>
      </c>
      <c r="AB120" s="40">
        <v>-1584000</v>
      </c>
      <c r="AC120" s="40">
        <v>-154238</v>
      </c>
      <c r="AD120" s="40">
        <v>87640</v>
      </c>
      <c r="AE120" s="40">
        <v>0</v>
      </c>
      <c r="AF120" s="40">
        <v>0</v>
      </c>
      <c r="AG120" s="40">
        <v>116185</v>
      </c>
      <c r="AH120" s="40">
        <v>7788245.9016393442</v>
      </c>
      <c r="AI120" s="40">
        <v>0</v>
      </c>
      <c r="AJ120" s="46">
        <v>0</v>
      </c>
      <c r="AK120" s="1">
        <v>39439467</v>
      </c>
      <c r="AL120" s="1">
        <v>484770</v>
      </c>
      <c r="AM120" s="40">
        <v>0</v>
      </c>
      <c r="AN120" s="40">
        <v>4751175</v>
      </c>
      <c r="AO120" s="40">
        <v>14702</v>
      </c>
      <c r="AP120" s="40">
        <v>442649</v>
      </c>
      <c r="AQ120" s="40">
        <v>9486838</v>
      </c>
      <c r="AR120" s="40">
        <v>1971990</v>
      </c>
      <c r="AS120" s="40">
        <v>0</v>
      </c>
      <c r="AT120" s="40">
        <v>50000</v>
      </c>
      <c r="AU120" s="40">
        <v>0</v>
      </c>
      <c r="AV120" s="40">
        <v>0</v>
      </c>
      <c r="AW120" s="40">
        <v>0</v>
      </c>
      <c r="AX120" s="40">
        <v>0</v>
      </c>
      <c r="AY120" s="40">
        <v>0</v>
      </c>
      <c r="AZ120" s="1">
        <v>2971386.96</v>
      </c>
      <c r="BA120" s="1">
        <v>1515407</v>
      </c>
      <c r="BB120" s="1"/>
      <c r="BC120" s="15">
        <v>0</v>
      </c>
      <c r="BD120" s="15">
        <v>0</v>
      </c>
      <c r="BE120" s="20">
        <v>151619</v>
      </c>
      <c r="BF120" s="20">
        <v>151619</v>
      </c>
      <c r="BG120" s="20">
        <v>23403033</v>
      </c>
      <c r="BH120" s="20">
        <v>23377168</v>
      </c>
      <c r="BI120" s="44"/>
      <c r="BJ120" s="44"/>
      <c r="BK120" s="44"/>
      <c r="BL120" s="5">
        <v>236752766.90163934</v>
      </c>
      <c r="BM120" s="5">
        <v>171784335.90163934</v>
      </c>
      <c r="BN120" s="15">
        <v>512000</v>
      </c>
      <c r="BO120" s="3"/>
      <c r="BP120" s="1"/>
      <c r="BQ120" s="1"/>
      <c r="BR120" s="5"/>
      <c r="BS120" s="5"/>
      <c r="BT120" s="5"/>
    </row>
    <row r="121" spans="1:72" ht="15.75" thickBot="1" x14ac:dyDescent="0.3">
      <c r="A121" s="9" t="s">
        <v>175</v>
      </c>
      <c r="B121" s="48">
        <v>1260541390</v>
      </c>
      <c r="C121" s="48">
        <v>491649450</v>
      </c>
      <c r="D121" s="48">
        <v>229327910</v>
      </c>
      <c r="E121" s="48">
        <v>0</v>
      </c>
      <c r="F121" s="48">
        <v>59802700</v>
      </c>
      <c r="G121" s="48">
        <v>6860600</v>
      </c>
      <c r="H121" s="48">
        <v>7303900</v>
      </c>
      <c r="I121" s="48">
        <v>340000</v>
      </c>
      <c r="J121" s="48">
        <v>136000</v>
      </c>
      <c r="K121" s="48">
        <v>34000</v>
      </c>
      <c r="L121" s="48">
        <v>918297700</v>
      </c>
      <c r="M121" s="48">
        <v>253522000</v>
      </c>
      <c r="N121" s="48">
        <v>1997</v>
      </c>
      <c r="O121" s="48">
        <v>215</v>
      </c>
      <c r="P121" s="48">
        <v>6037600</v>
      </c>
      <c r="Q121" s="48">
        <v>3092000</v>
      </c>
      <c r="R121" s="48">
        <v>315000</v>
      </c>
      <c r="S121" s="48">
        <v>1471000</v>
      </c>
      <c r="T121" s="48">
        <v>241400</v>
      </c>
      <c r="U121" s="48">
        <v>1475000</v>
      </c>
      <c r="V121" s="48">
        <v>6037600</v>
      </c>
      <c r="W121" s="48">
        <v>3092000</v>
      </c>
      <c r="X121" s="48">
        <v>315000</v>
      </c>
      <c r="Y121" s="48">
        <v>1471000</v>
      </c>
      <c r="Z121" s="48">
        <v>1925000</v>
      </c>
      <c r="AA121" s="48">
        <v>1475000</v>
      </c>
      <c r="AB121" s="48">
        <v>-3540600</v>
      </c>
      <c r="AC121" s="48">
        <v>-40486</v>
      </c>
      <c r="AD121" s="48">
        <v>0</v>
      </c>
      <c r="AE121" s="48">
        <v>0</v>
      </c>
      <c r="AF121" s="48">
        <v>0</v>
      </c>
      <c r="AG121" s="48">
        <v>107132</v>
      </c>
      <c r="AH121" s="48">
        <v>0</v>
      </c>
      <c r="AI121" s="48">
        <v>0</v>
      </c>
      <c r="AJ121" s="61">
        <v>0</v>
      </c>
      <c r="AK121" s="37">
        <v>181958289</v>
      </c>
      <c r="AL121" s="37">
        <v>5291998</v>
      </c>
      <c r="AM121" s="48">
        <v>12000</v>
      </c>
      <c r="AN121" s="48">
        <v>36492714</v>
      </c>
      <c r="AO121" s="48">
        <v>8807044</v>
      </c>
      <c r="AP121" s="48">
        <v>195044765</v>
      </c>
      <c r="AQ121" s="48">
        <v>27600153</v>
      </c>
      <c r="AR121" s="48">
        <v>92420102</v>
      </c>
      <c r="AS121" s="48">
        <v>92294310</v>
      </c>
      <c r="AT121" s="48">
        <v>190374237</v>
      </c>
      <c r="AU121" s="48">
        <v>0</v>
      </c>
      <c r="AV121" s="48">
        <v>0</v>
      </c>
      <c r="AW121" s="48">
        <v>0</v>
      </c>
      <c r="AX121" s="48">
        <v>0</v>
      </c>
      <c r="AY121" s="48">
        <v>26000</v>
      </c>
      <c r="AZ121" s="21">
        <v>13708818.300000001</v>
      </c>
      <c r="BA121" s="21">
        <v>6991497</v>
      </c>
      <c r="BB121" s="37"/>
      <c r="BC121" s="23">
        <v>986379</v>
      </c>
      <c r="BD121" s="23">
        <v>1934077</v>
      </c>
      <c r="BE121" s="23">
        <v>11036828</v>
      </c>
      <c r="BF121" s="23">
        <v>10341968</v>
      </c>
      <c r="BG121" s="23">
        <v>35898650</v>
      </c>
      <c r="BH121" s="23">
        <v>35623018</v>
      </c>
      <c r="BI121" s="51">
        <v>43539729</v>
      </c>
      <c r="BJ121" s="51"/>
      <c r="BK121" s="51"/>
      <c r="BL121" s="25">
        <v>2339151539</v>
      </c>
      <c r="BM121" s="25">
        <v>2054418661</v>
      </c>
      <c r="BN121" s="23">
        <v>1966310</v>
      </c>
      <c r="BO121" s="16"/>
      <c r="BP121" s="1"/>
      <c r="BQ121" s="1"/>
      <c r="BR121" s="5"/>
      <c r="BS121" s="5"/>
      <c r="BT121" s="5"/>
    </row>
    <row r="122" spans="1:72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40"/>
      <c r="BC122" s="3"/>
      <c r="BD122" s="3"/>
      <c r="BE122" s="27"/>
      <c r="BF122" s="27"/>
      <c r="BG122" s="27"/>
      <c r="BH122" s="27"/>
      <c r="BI122" s="40"/>
      <c r="BJ122" s="40"/>
      <c r="BK122" s="3"/>
      <c r="BL122" s="3"/>
      <c r="BM122" s="3"/>
      <c r="BN122" s="3"/>
      <c r="BO122" s="3"/>
      <c r="BP122" s="3"/>
      <c r="BQ122" s="3"/>
      <c r="BR122" s="3"/>
      <c r="BS122" s="3"/>
      <c r="BT122" s="3"/>
    </row>
    <row r="123" spans="1:72" x14ac:dyDescent="0.25">
      <c r="B123" s="52">
        <v>148418397422</v>
      </c>
      <c r="C123" s="40">
        <v>18575132690</v>
      </c>
      <c r="D123" s="52">
        <v>55305924493</v>
      </c>
      <c r="E123" s="52">
        <v>2689752845</v>
      </c>
      <c r="F123" s="52">
        <v>9446229778</v>
      </c>
      <c r="G123" s="52">
        <v>2061437644</v>
      </c>
      <c r="H123" s="52">
        <v>1447225587</v>
      </c>
      <c r="I123" s="52">
        <v>266935218</v>
      </c>
      <c r="J123" s="52">
        <v>21439230</v>
      </c>
      <c r="K123" s="52">
        <v>3295030</v>
      </c>
      <c r="L123" s="52">
        <v>33785728799</v>
      </c>
      <c r="M123" s="52">
        <v>12267733949</v>
      </c>
      <c r="N123" s="52">
        <v>336525</v>
      </c>
      <c r="O123" s="52">
        <v>79299</v>
      </c>
      <c r="P123" s="52">
        <v>1357585737</v>
      </c>
      <c r="Q123" s="52">
        <v>252471268</v>
      </c>
      <c r="R123" s="52">
        <v>881324048</v>
      </c>
      <c r="S123" s="52">
        <v>1100464839</v>
      </c>
      <c r="T123" s="52">
        <v>148914994</v>
      </c>
      <c r="U123" s="52">
        <v>720915013</v>
      </c>
      <c r="V123" s="52">
        <v>1357585737</v>
      </c>
      <c r="W123" s="52">
        <v>381960957</v>
      </c>
      <c r="X123" s="52">
        <v>881324048</v>
      </c>
      <c r="Y123" s="52">
        <v>1100561195</v>
      </c>
      <c r="Z123" s="52">
        <v>282391103</v>
      </c>
      <c r="AA123" s="52">
        <v>720915013</v>
      </c>
      <c r="AB123" s="52">
        <v>-521675739</v>
      </c>
      <c r="AC123" s="52">
        <v>-329250069</v>
      </c>
      <c r="AD123" s="52">
        <v>17404297</v>
      </c>
      <c r="AE123" s="52">
        <v>1705805</v>
      </c>
      <c r="AF123" s="52">
        <v>1825975082</v>
      </c>
      <c r="AG123" s="52">
        <v>51298405</v>
      </c>
      <c r="AH123" s="52">
        <v>322999852.45901656</v>
      </c>
      <c r="AI123" s="52">
        <v>1329761614.7540982</v>
      </c>
      <c r="AJ123" s="52">
        <v>2632897746.0491805</v>
      </c>
      <c r="AK123" s="52">
        <v>25708727297</v>
      </c>
      <c r="AL123" s="52">
        <v>767199857</v>
      </c>
      <c r="AM123" s="52">
        <v>92931613</v>
      </c>
      <c r="AN123" s="52">
        <v>11019610966</v>
      </c>
      <c r="AO123" s="52">
        <v>891578676</v>
      </c>
      <c r="AP123" s="52">
        <v>16458283117</v>
      </c>
      <c r="AQ123" s="52">
        <v>9394934810</v>
      </c>
      <c r="AR123" s="52">
        <v>9749430848</v>
      </c>
      <c r="AS123" s="52">
        <v>7546743351</v>
      </c>
      <c r="AT123" s="52">
        <v>6881579642</v>
      </c>
      <c r="AU123" s="52">
        <v>58713593</v>
      </c>
      <c r="AV123" s="52">
        <v>30022064</v>
      </c>
      <c r="AW123" s="52">
        <v>956008099</v>
      </c>
      <c r="AX123" s="52">
        <v>100209074</v>
      </c>
      <c r="AY123" s="52">
        <v>365739189</v>
      </c>
      <c r="AZ123" s="52">
        <v>1936906931.8300004</v>
      </c>
      <c r="BA123" s="52">
        <v>987822536</v>
      </c>
      <c r="BB123" s="53">
        <v>749999999</v>
      </c>
      <c r="BC123" s="53">
        <v>259099765</v>
      </c>
      <c r="BD123" s="53">
        <v>508038758</v>
      </c>
      <c r="BE123" s="29">
        <v>4101452475</v>
      </c>
      <c r="BF123" s="29">
        <v>4061074333</v>
      </c>
      <c r="BG123" s="29">
        <v>9764222978</v>
      </c>
      <c r="BH123" s="29">
        <v>8960250935</v>
      </c>
      <c r="BI123" s="53">
        <v>1265169880</v>
      </c>
      <c r="BJ123" s="53">
        <v>151205283</v>
      </c>
      <c r="BK123" s="53">
        <v>0</v>
      </c>
      <c r="BL123" s="30">
        <v>290040860651.26221</v>
      </c>
      <c r="BM123" s="30">
        <v>247880310765.26218</v>
      </c>
      <c r="BN123" s="30">
        <v>428921716</v>
      </c>
      <c r="BO123" s="14"/>
      <c r="BP123" s="4"/>
      <c r="BQ123" s="4"/>
      <c r="BR123" s="4"/>
      <c r="BS123" s="4"/>
      <c r="BT123" s="3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T123"/>
  <sheetViews>
    <sheetView workbookViewId="0"/>
  </sheetViews>
  <sheetFormatPr defaultColWidth="9.140625" defaultRowHeight="15" x14ac:dyDescent="0.25"/>
  <cols>
    <col min="1" max="1" width="15" bestFit="1" customWidth="1"/>
    <col min="2" max="2" width="16" bestFit="1" customWidth="1"/>
    <col min="3" max="4" width="15" bestFit="1" customWidth="1"/>
    <col min="5" max="5" width="14" bestFit="1" customWidth="1"/>
    <col min="6" max="6" width="15" bestFit="1" customWidth="1"/>
    <col min="7" max="8" width="14" bestFit="1" customWidth="1"/>
    <col min="9" max="9" width="12.28515625" bestFit="1" customWidth="1"/>
    <col min="10" max="10" width="14.28515625" customWidth="1"/>
    <col min="11" max="11" width="14.42578125" customWidth="1"/>
    <col min="12" max="13" width="15" bestFit="1" customWidth="1"/>
    <col min="16" max="16" width="14" bestFit="1" customWidth="1"/>
    <col min="17" max="17" width="12.28515625" bestFit="1" customWidth="1"/>
    <col min="18" max="19" width="14" bestFit="1" customWidth="1"/>
    <col min="20" max="21" width="12.28515625" bestFit="1" customWidth="1"/>
    <col min="22" max="22" width="14" bestFit="1" customWidth="1"/>
    <col min="23" max="23" width="12.28515625" bestFit="1" customWidth="1"/>
    <col min="24" max="25" width="14" bestFit="1" customWidth="1"/>
    <col min="26" max="27" width="12.28515625" bestFit="1" customWidth="1"/>
    <col min="28" max="29" width="12.85546875" bestFit="1" customWidth="1"/>
    <col min="30" max="31" width="10.28515625" bestFit="1" customWidth="1"/>
    <col min="32" max="32" width="14" bestFit="1" customWidth="1"/>
    <col min="33" max="33" width="11.28515625" bestFit="1" customWidth="1"/>
    <col min="34" max="35" width="12.28515625" bestFit="1" customWidth="1"/>
    <col min="36" max="36" width="14" bestFit="1" customWidth="1"/>
    <col min="37" max="37" width="15" bestFit="1" customWidth="1"/>
    <col min="38" max="39" width="12.28515625" bestFit="1" customWidth="1"/>
    <col min="40" max="40" width="15" bestFit="1" customWidth="1"/>
    <col min="41" max="41" width="12.28515625" bestFit="1" customWidth="1"/>
    <col min="42" max="42" width="15" bestFit="1" customWidth="1"/>
    <col min="43" max="43" width="14" bestFit="1" customWidth="1"/>
    <col min="44" max="45" width="15" bestFit="1" customWidth="1"/>
    <col min="46" max="46" width="14" bestFit="1" customWidth="1"/>
    <col min="47" max="48" width="11.28515625" bestFit="1" customWidth="1"/>
    <col min="49" max="49" width="14" bestFit="1" customWidth="1"/>
    <col min="50" max="51" width="12.28515625" bestFit="1" customWidth="1"/>
    <col min="52" max="52" width="14" bestFit="1" customWidth="1"/>
    <col min="53" max="53" width="12.28515625" bestFit="1" customWidth="1"/>
    <col min="54" max="54" width="14" bestFit="1" customWidth="1"/>
    <col min="55" max="56" width="12.28515625" bestFit="1" customWidth="1"/>
    <col min="57" max="58" width="13.42578125" bestFit="1" customWidth="1"/>
    <col min="59" max="60" width="14.42578125" bestFit="1" customWidth="1"/>
    <col min="61" max="61" width="14" bestFit="1" customWidth="1"/>
    <col min="62" max="62" width="12.28515625" bestFit="1" customWidth="1"/>
    <col min="63" max="63" width="12.85546875" customWidth="1"/>
    <col min="64" max="65" width="16" bestFit="1" customWidth="1"/>
    <col min="66" max="66" width="12.28515625" bestFit="1" customWidth="1"/>
    <col min="67" max="67" width="16" bestFit="1" customWidth="1"/>
    <col min="68" max="68" width="15" bestFit="1" customWidth="1"/>
    <col min="69" max="69" width="13.42578125" bestFit="1" customWidth="1"/>
    <col min="70" max="70" width="15" bestFit="1" customWidth="1"/>
    <col min="71" max="71" width="16" bestFit="1" customWidth="1"/>
    <col min="72" max="72" width="15" bestFit="1" customWidth="1"/>
  </cols>
  <sheetData>
    <row r="1" spans="1:72" ht="72" customHeight="1" thickBot="1" x14ac:dyDescent="0.3">
      <c r="A1" s="7" t="s">
        <v>273</v>
      </c>
      <c r="B1" s="38" t="s">
        <v>0</v>
      </c>
      <c r="C1" s="38" t="s">
        <v>1</v>
      </c>
      <c r="D1" s="38" t="s">
        <v>2</v>
      </c>
      <c r="E1" s="38" t="s">
        <v>3</v>
      </c>
      <c r="F1" s="38" t="s">
        <v>4</v>
      </c>
      <c r="G1" s="38" t="s">
        <v>5</v>
      </c>
      <c r="H1" s="38" t="s">
        <v>6</v>
      </c>
      <c r="I1" s="39" t="s">
        <v>7</v>
      </c>
      <c r="J1" s="38" t="s">
        <v>8</v>
      </c>
      <c r="K1" s="38" t="s">
        <v>9</v>
      </c>
      <c r="L1" s="38" t="s">
        <v>10</v>
      </c>
      <c r="M1" s="38" t="s">
        <v>11</v>
      </c>
      <c r="N1" s="38" t="s">
        <v>12</v>
      </c>
      <c r="O1" s="38" t="s">
        <v>13</v>
      </c>
      <c r="P1" s="38" t="s">
        <v>274</v>
      </c>
      <c r="Q1" s="38" t="s">
        <v>275</v>
      </c>
      <c r="R1" s="38" t="s">
        <v>276</v>
      </c>
      <c r="S1" s="38" t="s">
        <v>277</v>
      </c>
      <c r="T1" s="38" t="s">
        <v>278</v>
      </c>
      <c r="U1" s="38" t="s">
        <v>279</v>
      </c>
      <c r="V1" s="38" t="s">
        <v>280</v>
      </c>
      <c r="W1" s="38" t="s">
        <v>281</v>
      </c>
      <c r="X1" s="38" t="s">
        <v>282</v>
      </c>
      <c r="Y1" s="38" t="s">
        <v>283</v>
      </c>
      <c r="Z1" s="38" t="s">
        <v>284</v>
      </c>
      <c r="AA1" s="38" t="s">
        <v>285</v>
      </c>
      <c r="AB1" s="38" t="s">
        <v>286</v>
      </c>
      <c r="AC1" s="38" t="s">
        <v>287</v>
      </c>
      <c r="AD1" s="38" t="s">
        <v>14</v>
      </c>
      <c r="AE1" s="38" t="s">
        <v>15</v>
      </c>
      <c r="AF1" s="38" t="s">
        <v>16</v>
      </c>
      <c r="AG1" s="38" t="s">
        <v>17</v>
      </c>
      <c r="AH1" s="38" t="s">
        <v>18</v>
      </c>
      <c r="AI1" s="38" t="s">
        <v>19</v>
      </c>
      <c r="AJ1" s="60" t="s">
        <v>288</v>
      </c>
      <c r="AK1" s="38" t="s">
        <v>21</v>
      </c>
      <c r="AL1" s="38" t="s">
        <v>22</v>
      </c>
      <c r="AM1" s="38" t="s">
        <v>23</v>
      </c>
      <c r="AN1" s="38" t="s">
        <v>24</v>
      </c>
      <c r="AO1" s="38" t="s">
        <v>25</v>
      </c>
      <c r="AP1" s="38" t="s">
        <v>26</v>
      </c>
      <c r="AQ1" s="38" t="s">
        <v>27</v>
      </c>
      <c r="AR1" s="38" t="s">
        <v>28</v>
      </c>
      <c r="AS1" s="38" t="s">
        <v>29</v>
      </c>
      <c r="AT1" s="38" t="s">
        <v>30</v>
      </c>
      <c r="AU1" s="38" t="s">
        <v>31</v>
      </c>
      <c r="AV1" s="38" t="s">
        <v>32</v>
      </c>
      <c r="AW1" s="38" t="s">
        <v>33</v>
      </c>
      <c r="AX1" s="38" t="s">
        <v>34</v>
      </c>
      <c r="AY1" s="38" t="s">
        <v>35</v>
      </c>
      <c r="AZ1" s="38" t="s">
        <v>40</v>
      </c>
      <c r="BA1" s="38" t="s">
        <v>41</v>
      </c>
      <c r="BB1" s="38" t="s">
        <v>42</v>
      </c>
      <c r="BC1" s="62" t="s">
        <v>289</v>
      </c>
      <c r="BD1" s="62" t="s">
        <v>43</v>
      </c>
      <c r="BE1" s="38" t="s">
        <v>44</v>
      </c>
      <c r="BF1" s="38" t="s">
        <v>290</v>
      </c>
      <c r="BG1" s="38" t="s">
        <v>45</v>
      </c>
      <c r="BH1" s="38" t="s">
        <v>291</v>
      </c>
      <c r="BI1" s="62" t="s">
        <v>46</v>
      </c>
      <c r="BJ1" s="38" t="s">
        <v>47</v>
      </c>
      <c r="BK1" s="38" t="s">
        <v>48</v>
      </c>
      <c r="BL1" s="17" t="s">
        <v>49</v>
      </c>
      <c r="BM1" s="17" t="s">
        <v>50</v>
      </c>
      <c r="BN1" s="17" t="s">
        <v>51</v>
      </c>
      <c r="BO1" s="17"/>
      <c r="BP1" s="2"/>
      <c r="BQ1" s="2"/>
      <c r="BR1" s="2"/>
      <c r="BS1" s="2"/>
      <c r="BT1" s="2"/>
    </row>
    <row r="2" spans="1:72" x14ac:dyDescent="0.25">
      <c r="A2" s="8" t="s">
        <v>56</v>
      </c>
      <c r="B2" s="56">
        <v>282379300</v>
      </c>
      <c r="C2" s="56">
        <v>150608000</v>
      </c>
      <c r="D2" s="56">
        <v>99966900</v>
      </c>
      <c r="E2" s="56">
        <v>0</v>
      </c>
      <c r="F2" s="56">
        <v>39230200</v>
      </c>
      <c r="G2" s="56">
        <v>13311700</v>
      </c>
      <c r="H2" s="56">
        <v>20361380</v>
      </c>
      <c r="I2" s="56">
        <v>3246100</v>
      </c>
      <c r="J2" s="56">
        <v>36000</v>
      </c>
      <c r="K2" s="56">
        <v>0</v>
      </c>
      <c r="L2" s="56">
        <v>381813790</v>
      </c>
      <c r="M2" s="56">
        <v>1038475</v>
      </c>
      <c r="N2" s="56">
        <v>1764</v>
      </c>
      <c r="O2" s="56">
        <v>548</v>
      </c>
      <c r="P2" s="56">
        <v>2553900</v>
      </c>
      <c r="Q2" s="56">
        <v>2273000</v>
      </c>
      <c r="R2" s="56">
        <v>4894000</v>
      </c>
      <c r="S2" s="56">
        <v>144000</v>
      </c>
      <c r="T2" s="56">
        <v>45000</v>
      </c>
      <c r="U2" s="56">
        <v>0</v>
      </c>
      <c r="V2" s="56">
        <v>2553900</v>
      </c>
      <c r="W2" s="56">
        <v>2273000</v>
      </c>
      <c r="X2" s="56">
        <v>4894000</v>
      </c>
      <c r="Y2" s="56">
        <v>144000</v>
      </c>
      <c r="Z2" s="56">
        <v>30000</v>
      </c>
      <c r="AA2" s="56">
        <v>0</v>
      </c>
      <c r="AB2" s="56">
        <v>-135800</v>
      </c>
      <c r="AC2" s="56">
        <v>-108620</v>
      </c>
      <c r="AD2" s="56">
        <v>109775</v>
      </c>
      <c r="AE2" s="56">
        <v>0</v>
      </c>
      <c r="AF2" s="56">
        <v>0</v>
      </c>
      <c r="AG2" s="56">
        <v>224409</v>
      </c>
      <c r="AH2" s="56">
        <v>5284230</v>
      </c>
      <c r="AI2" s="56">
        <v>357615</v>
      </c>
      <c r="AJ2" s="56">
        <v>0</v>
      </c>
      <c r="AK2" s="1">
        <v>89162020</v>
      </c>
      <c r="AL2" s="1">
        <v>3602839</v>
      </c>
      <c r="AM2" s="56">
        <v>1005612</v>
      </c>
      <c r="AN2" s="56">
        <v>18816307</v>
      </c>
      <c r="AO2" s="56">
        <v>730474</v>
      </c>
      <c r="AP2" s="56">
        <v>17122525</v>
      </c>
      <c r="AQ2" s="56">
        <v>19288124</v>
      </c>
      <c r="AR2" s="56">
        <v>18500965</v>
      </c>
      <c r="AS2" s="56">
        <v>0</v>
      </c>
      <c r="AT2" s="56">
        <v>74177</v>
      </c>
      <c r="AU2" s="56">
        <v>0</v>
      </c>
      <c r="AV2" s="56">
        <v>0</v>
      </c>
      <c r="AW2" s="56">
        <v>5019</v>
      </c>
      <c r="AX2" s="56">
        <v>412328</v>
      </c>
      <c r="AY2" s="56">
        <v>597931</v>
      </c>
      <c r="AZ2" s="1">
        <v>3422691.2497433298</v>
      </c>
      <c r="BA2" s="1">
        <v>1745573</v>
      </c>
      <c r="BB2" s="1"/>
      <c r="BC2" s="15">
        <v>0</v>
      </c>
      <c r="BD2" s="15">
        <v>0</v>
      </c>
      <c r="BE2" s="20">
        <v>19689968</v>
      </c>
      <c r="BF2" s="20">
        <v>19689968</v>
      </c>
      <c r="BG2" s="20">
        <v>37593295</v>
      </c>
      <c r="BH2" s="20">
        <v>37368718</v>
      </c>
      <c r="BI2" s="63"/>
      <c r="BJ2" s="63"/>
      <c r="BK2" s="63"/>
      <c r="BL2" s="5">
        <v>729000068</v>
      </c>
      <c r="BM2" s="5">
        <v>577430950</v>
      </c>
      <c r="BN2" s="15">
        <v>272500</v>
      </c>
      <c r="BO2" s="5"/>
      <c r="BP2" s="1"/>
      <c r="BQ2" s="1"/>
      <c r="BR2" s="5"/>
      <c r="BS2" s="5"/>
      <c r="BT2" s="5"/>
    </row>
    <row r="3" spans="1:72" x14ac:dyDescent="0.25">
      <c r="A3" s="6" t="s">
        <v>57</v>
      </c>
      <c r="B3" s="56">
        <v>404225246</v>
      </c>
      <c r="C3" s="56">
        <v>154313620</v>
      </c>
      <c r="D3" s="56">
        <v>100288910</v>
      </c>
      <c r="E3" s="56">
        <v>8850000</v>
      </c>
      <c r="F3" s="56">
        <v>43020550</v>
      </c>
      <c r="G3" s="56">
        <v>12683855</v>
      </c>
      <c r="H3" s="56">
        <v>17376340</v>
      </c>
      <c r="I3" s="56">
        <v>2146830</v>
      </c>
      <c r="J3" s="56">
        <v>67500</v>
      </c>
      <c r="K3" s="56">
        <v>0</v>
      </c>
      <c r="L3" s="56">
        <v>278744530</v>
      </c>
      <c r="M3" s="56">
        <v>102265653</v>
      </c>
      <c r="N3" s="56">
        <v>1776</v>
      </c>
      <c r="O3" s="56">
        <v>435</v>
      </c>
      <c r="P3" s="56">
        <v>6301568</v>
      </c>
      <c r="Q3" s="56">
        <v>1061560</v>
      </c>
      <c r="R3" s="56">
        <v>9139420</v>
      </c>
      <c r="S3" s="56">
        <v>3232522</v>
      </c>
      <c r="T3" s="56">
        <v>1269371</v>
      </c>
      <c r="U3" s="56">
        <v>205475</v>
      </c>
      <c r="V3" s="56">
        <v>6301568</v>
      </c>
      <c r="W3" s="56">
        <v>1175380</v>
      </c>
      <c r="X3" s="56">
        <v>9139420</v>
      </c>
      <c r="Y3" s="56">
        <v>3232522</v>
      </c>
      <c r="Z3" s="56">
        <v>1404262</v>
      </c>
      <c r="AA3" s="56">
        <v>205475</v>
      </c>
      <c r="AB3" s="56">
        <v>-2721194</v>
      </c>
      <c r="AC3" s="56">
        <v>333844</v>
      </c>
      <c r="AD3" s="56">
        <v>0</v>
      </c>
      <c r="AE3" s="56">
        <v>0</v>
      </c>
      <c r="AF3" s="56">
        <v>0</v>
      </c>
      <c r="AG3" s="56">
        <v>0</v>
      </c>
      <c r="AH3" s="56">
        <v>1997107</v>
      </c>
      <c r="AI3" s="56">
        <v>293730</v>
      </c>
      <c r="AJ3" s="56">
        <v>0</v>
      </c>
      <c r="AK3" s="1">
        <v>91465987</v>
      </c>
      <c r="AL3" s="1">
        <v>5427911</v>
      </c>
      <c r="AM3" s="56">
        <v>160000</v>
      </c>
      <c r="AN3" s="56">
        <v>20158988</v>
      </c>
      <c r="AO3" s="56">
        <v>813435</v>
      </c>
      <c r="AP3" s="56">
        <v>80420419</v>
      </c>
      <c r="AQ3" s="56">
        <v>37557781</v>
      </c>
      <c r="AR3" s="56">
        <v>12264425</v>
      </c>
      <c r="AS3" s="56">
        <v>34911244</v>
      </c>
      <c r="AT3" s="56">
        <v>87472</v>
      </c>
      <c r="AU3" s="56">
        <v>0</v>
      </c>
      <c r="AV3" s="56">
        <v>0</v>
      </c>
      <c r="AW3" s="56">
        <v>0</v>
      </c>
      <c r="AX3" s="56">
        <v>9644</v>
      </c>
      <c r="AY3" s="56">
        <v>15000</v>
      </c>
      <c r="AZ3" s="1">
        <v>3511134.3748609237</v>
      </c>
      <c r="BA3" s="1">
        <v>1790679</v>
      </c>
      <c r="BB3" s="1"/>
      <c r="BC3" s="15">
        <v>0</v>
      </c>
      <c r="BD3" s="15">
        <v>0</v>
      </c>
      <c r="BE3" s="20">
        <v>13886319</v>
      </c>
      <c r="BF3" s="20">
        <v>13886319</v>
      </c>
      <c r="BG3" s="20">
        <v>38321069</v>
      </c>
      <c r="BH3" s="20">
        <v>38301856</v>
      </c>
      <c r="BI3" s="63"/>
      <c r="BJ3" s="63"/>
      <c r="BK3" s="63"/>
      <c r="BL3" s="5">
        <v>870521569</v>
      </c>
      <c r="BM3" s="5">
        <v>719648817</v>
      </c>
      <c r="BN3" s="15">
        <v>1473043</v>
      </c>
      <c r="BO3" s="5"/>
      <c r="BP3" s="1"/>
      <c r="BQ3" s="1"/>
      <c r="BR3" s="5"/>
      <c r="BS3" s="5"/>
      <c r="BT3" s="5"/>
    </row>
    <row r="4" spans="1:72" x14ac:dyDescent="0.25">
      <c r="A4" s="6" t="s">
        <v>58</v>
      </c>
      <c r="B4" s="56">
        <v>866144464</v>
      </c>
      <c r="C4" s="56">
        <v>194456431</v>
      </c>
      <c r="D4" s="56">
        <v>211937186</v>
      </c>
      <c r="E4" s="56">
        <v>0</v>
      </c>
      <c r="F4" s="56">
        <v>50516000</v>
      </c>
      <c r="G4" s="56">
        <v>9314500</v>
      </c>
      <c r="H4" s="56">
        <v>10798000</v>
      </c>
      <c r="I4" s="56">
        <v>1691000</v>
      </c>
      <c r="J4" s="56">
        <v>144000</v>
      </c>
      <c r="K4" s="56">
        <v>0</v>
      </c>
      <c r="L4" s="56">
        <v>162238074</v>
      </c>
      <c r="M4" s="56">
        <v>123884106</v>
      </c>
      <c r="N4" s="56">
        <v>1734</v>
      </c>
      <c r="O4" s="56">
        <v>319</v>
      </c>
      <c r="P4" s="56">
        <v>5122800</v>
      </c>
      <c r="Q4" s="56">
        <v>1397065</v>
      </c>
      <c r="R4" s="56">
        <v>1206000</v>
      </c>
      <c r="S4" s="56">
        <v>8009052</v>
      </c>
      <c r="T4" s="56">
        <v>2354150</v>
      </c>
      <c r="U4" s="56">
        <v>964083</v>
      </c>
      <c r="V4" s="56">
        <v>5122800</v>
      </c>
      <c r="W4" s="56">
        <v>1445830</v>
      </c>
      <c r="X4" s="56">
        <v>1206000</v>
      </c>
      <c r="Y4" s="56">
        <v>8009052</v>
      </c>
      <c r="Z4" s="56">
        <v>994600</v>
      </c>
      <c r="AA4" s="56">
        <v>964083</v>
      </c>
      <c r="AB4" s="56">
        <v>-3055000</v>
      </c>
      <c r="AC4" s="56">
        <v>-10667</v>
      </c>
      <c r="AD4" s="56">
        <v>0</v>
      </c>
      <c r="AE4" s="56">
        <v>0</v>
      </c>
      <c r="AF4" s="56">
        <v>0</v>
      </c>
      <c r="AG4" s="56">
        <v>31230052</v>
      </c>
      <c r="AH4" s="56">
        <v>0</v>
      </c>
      <c r="AI4" s="56">
        <v>70607</v>
      </c>
      <c r="AJ4" s="56">
        <v>0</v>
      </c>
      <c r="AK4" s="1">
        <v>142072325</v>
      </c>
      <c r="AL4" s="1">
        <v>4429531</v>
      </c>
      <c r="AM4" s="56">
        <v>0</v>
      </c>
      <c r="AN4" s="56">
        <v>21962430</v>
      </c>
      <c r="AO4" s="56">
        <v>5175902</v>
      </c>
      <c r="AP4" s="56">
        <v>98028846</v>
      </c>
      <c r="AQ4" s="56">
        <v>33935111</v>
      </c>
      <c r="AR4" s="56">
        <v>17449655</v>
      </c>
      <c r="AS4" s="56">
        <v>48722185</v>
      </c>
      <c r="AT4" s="56">
        <v>297891</v>
      </c>
      <c r="AU4" s="56">
        <v>0</v>
      </c>
      <c r="AV4" s="56">
        <v>0</v>
      </c>
      <c r="AW4" s="56">
        <v>4579567</v>
      </c>
      <c r="AX4" s="56">
        <v>0</v>
      </c>
      <c r="AY4" s="56">
        <v>32500</v>
      </c>
      <c r="AZ4" s="1">
        <v>5453776.2110839402</v>
      </c>
      <c r="BA4" s="1">
        <v>2781426</v>
      </c>
      <c r="BB4" s="1"/>
      <c r="BC4" s="15">
        <v>1411715</v>
      </c>
      <c r="BD4" s="15">
        <v>2768068</v>
      </c>
      <c r="BE4" s="20">
        <v>14467120</v>
      </c>
      <c r="BF4" s="20">
        <v>14467120</v>
      </c>
      <c r="BG4" s="20">
        <v>30987392</v>
      </c>
      <c r="BH4" s="20">
        <v>29680566</v>
      </c>
      <c r="BI4" s="20">
        <v>81787970</v>
      </c>
      <c r="BJ4" s="63"/>
      <c r="BK4" s="63"/>
      <c r="BL4" s="5">
        <v>1610312784</v>
      </c>
      <c r="BM4" s="5">
        <v>1333682131</v>
      </c>
      <c r="BN4" s="15">
        <v>973848</v>
      </c>
      <c r="BO4" s="5"/>
      <c r="BP4" s="1"/>
      <c r="BQ4" s="1"/>
      <c r="BR4" s="5"/>
      <c r="BS4" s="5"/>
      <c r="BT4" s="5"/>
    </row>
    <row r="5" spans="1:72" x14ac:dyDescent="0.25">
      <c r="A5" s="6" t="s">
        <v>59</v>
      </c>
      <c r="B5" s="56">
        <v>158509055</v>
      </c>
      <c r="C5" s="56">
        <v>125425204</v>
      </c>
      <c r="D5" s="56">
        <v>89746413</v>
      </c>
      <c r="E5" s="56">
        <v>0</v>
      </c>
      <c r="F5" s="56">
        <v>23105900</v>
      </c>
      <c r="G5" s="56">
        <v>4906400</v>
      </c>
      <c r="H5" s="56">
        <v>6393349</v>
      </c>
      <c r="I5" s="56">
        <v>572202</v>
      </c>
      <c r="J5" s="56">
        <v>15000</v>
      </c>
      <c r="K5" s="56">
        <v>0</v>
      </c>
      <c r="L5" s="56">
        <v>259150073</v>
      </c>
      <c r="M5" s="56">
        <v>42440490</v>
      </c>
      <c r="N5" s="56">
        <v>858</v>
      </c>
      <c r="O5" s="56">
        <v>173</v>
      </c>
      <c r="P5" s="56">
        <v>3141033</v>
      </c>
      <c r="Q5" s="56">
        <v>1346057</v>
      </c>
      <c r="R5" s="56">
        <v>1141000</v>
      </c>
      <c r="S5" s="56">
        <v>622500</v>
      </c>
      <c r="T5" s="56">
        <v>286619</v>
      </c>
      <c r="U5" s="56">
        <v>166000</v>
      </c>
      <c r="V5" s="56">
        <v>3141033</v>
      </c>
      <c r="W5" s="56">
        <v>1950228</v>
      </c>
      <c r="X5" s="56">
        <v>1141000</v>
      </c>
      <c r="Y5" s="56">
        <v>622500</v>
      </c>
      <c r="Z5" s="56">
        <v>315300</v>
      </c>
      <c r="AA5" s="56">
        <v>166000</v>
      </c>
      <c r="AB5" s="56">
        <v>-1081500</v>
      </c>
      <c r="AC5" s="56">
        <v>2021766</v>
      </c>
      <c r="AD5" s="56">
        <v>34337</v>
      </c>
      <c r="AE5" s="56">
        <v>4077</v>
      </c>
      <c r="AF5" s="56">
        <v>2152</v>
      </c>
      <c r="AG5" s="56">
        <v>142206</v>
      </c>
      <c r="AH5" s="56">
        <v>0</v>
      </c>
      <c r="AI5" s="56">
        <v>381910</v>
      </c>
      <c r="AJ5" s="56">
        <v>0</v>
      </c>
      <c r="AK5" s="1">
        <v>65030826</v>
      </c>
      <c r="AL5" s="1">
        <v>2512632</v>
      </c>
      <c r="AM5" s="56">
        <v>0</v>
      </c>
      <c r="AN5" s="56">
        <v>29556860</v>
      </c>
      <c r="AO5" s="56">
        <v>20402176</v>
      </c>
      <c r="AP5" s="56">
        <v>129805548</v>
      </c>
      <c r="AQ5" s="56">
        <v>8503950</v>
      </c>
      <c r="AR5" s="56">
        <v>17445612</v>
      </c>
      <c r="AS5" s="56">
        <v>729305</v>
      </c>
      <c r="AT5" s="56">
        <v>766092</v>
      </c>
      <c r="AU5" s="56">
        <v>0</v>
      </c>
      <c r="AV5" s="56">
        <v>0</v>
      </c>
      <c r="AW5" s="56">
        <v>20837299</v>
      </c>
      <c r="AX5" s="56">
        <v>0</v>
      </c>
      <c r="AY5" s="56">
        <v>176000</v>
      </c>
      <c r="AZ5" s="1">
        <v>2496359.3143558325</v>
      </c>
      <c r="BA5" s="1">
        <v>1273143</v>
      </c>
      <c r="BB5" s="1">
        <v>26658031.09</v>
      </c>
      <c r="BC5" s="15">
        <v>839747</v>
      </c>
      <c r="BD5" s="15">
        <v>1646563</v>
      </c>
      <c r="BE5" s="20">
        <v>18186223</v>
      </c>
      <c r="BF5" s="20">
        <v>18186223</v>
      </c>
      <c r="BG5" s="20">
        <v>49709057</v>
      </c>
      <c r="BH5" s="20">
        <v>44668211</v>
      </c>
      <c r="BI5" s="63"/>
      <c r="BJ5" s="63"/>
      <c r="BK5" s="63"/>
      <c r="BL5" s="5">
        <v>565036350</v>
      </c>
      <c r="BM5" s="5">
        <v>432525568</v>
      </c>
      <c r="BN5" s="15">
        <v>2187473</v>
      </c>
      <c r="BO5" s="5"/>
      <c r="BP5" s="1"/>
      <c r="BQ5" s="1"/>
      <c r="BR5" s="5"/>
      <c r="BS5" s="5"/>
      <c r="BT5" s="5"/>
    </row>
    <row r="6" spans="1:72" x14ac:dyDescent="0.25">
      <c r="A6" s="6" t="s">
        <v>60</v>
      </c>
      <c r="B6" s="56">
        <v>1055398581</v>
      </c>
      <c r="C6" s="56">
        <v>295161200</v>
      </c>
      <c r="D6" s="56">
        <v>436498022</v>
      </c>
      <c r="E6" s="56">
        <v>5412000</v>
      </c>
      <c r="F6" s="56">
        <v>107196641</v>
      </c>
      <c r="G6" s="56">
        <v>18545999</v>
      </c>
      <c r="H6" s="56">
        <v>26320250</v>
      </c>
      <c r="I6" s="56">
        <v>2133400</v>
      </c>
      <c r="J6" s="56">
        <v>324000</v>
      </c>
      <c r="K6" s="56">
        <v>36000</v>
      </c>
      <c r="L6" s="56">
        <v>375650456</v>
      </c>
      <c r="M6" s="56">
        <v>214318430</v>
      </c>
      <c r="N6" s="56">
        <v>3854</v>
      </c>
      <c r="O6" s="56">
        <v>642</v>
      </c>
      <c r="P6" s="56">
        <v>15542400</v>
      </c>
      <c r="Q6" s="56">
        <v>5635700</v>
      </c>
      <c r="R6" s="56">
        <v>3273000</v>
      </c>
      <c r="S6" s="56">
        <v>12924100</v>
      </c>
      <c r="T6" s="56">
        <v>8333560</v>
      </c>
      <c r="U6" s="56">
        <v>8831870</v>
      </c>
      <c r="V6" s="56">
        <v>15542400</v>
      </c>
      <c r="W6" s="56">
        <v>7216775</v>
      </c>
      <c r="X6" s="56">
        <v>3273</v>
      </c>
      <c r="Y6" s="56">
        <v>12924100</v>
      </c>
      <c r="Z6" s="56">
        <v>9064950</v>
      </c>
      <c r="AA6" s="56">
        <v>8831870</v>
      </c>
      <c r="AB6" s="56">
        <v>-3730550</v>
      </c>
      <c r="AC6" s="56">
        <v>-5968071</v>
      </c>
      <c r="AD6" s="56">
        <v>47</v>
      </c>
      <c r="AE6" s="56">
        <v>0</v>
      </c>
      <c r="AF6" s="56">
        <v>0</v>
      </c>
      <c r="AG6" s="56">
        <v>267105</v>
      </c>
      <c r="AH6" s="56">
        <v>1333336</v>
      </c>
      <c r="AI6" s="54">
        <v>319730</v>
      </c>
      <c r="AJ6" s="56">
        <v>0</v>
      </c>
      <c r="AK6" s="1">
        <v>233939456</v>
      </c>
      <c r="AL6" s="1">
        <v>10904383</v>
      </c>
      <c r="AM6" s="56">
        <v>2946172</v>
      </c>
      <c r="AN6" s="56">
        <v>77540509</v>
      </c>
      <c r="AO6" s="56">
        <v>12465579</v>
      </c>
      <c r="AP6" s="56">
        <v>313150368</v>
      </c>
      <c r="AQ6" s="56">
        <v>95769035</v>
      </c>
      <c r="AR6" s="56">
        <v>74117461</v>
      </c>
      <c r="AS6" s="56">
        <v>34675318</v>
      </c>
      <c r="AT6" s="56">
        <v>0</v>
      </c>
      <c r="AU6" s="56">
        <v>48528</v>
      </c>
      <c r="AV6" s="56">
        <v>952435</v>
      </c>
      <c r="AW6" s="56">
        <v>2911279</v>
      </c>
      <c r="AX6" s="56">
        <v>8364671</v>
      </c>
      <c r="AY6" s="56">
        <v>1782395</v>
      </c>
      <c r="AZ6" s="1">
        <v>8980309.4301914051</v>
      </c>
      <c r="BA6" s="1">
        <v>4579958</v>
      </c>
      <c r="BB6" s="1"/>
      <c r="BC6" s="15">
        <v>1675383</v>
      </c>
      <c r="BD6" s="15">
        <v>3285065</v>
      </c>
      <c r="BE6" s="20">
        <v>29793962</v>
      </c>
      <c r="BF6" s="20">
        <v>29418313</v>
      </c>
      <c r="BG6" s="20">
        <v>86239434</v>
      </c>
      <c r="BH6" s="20">
        <v>83937381</v>
      </c>
      <c r="BI6" s="63"/>
      <c r="BJ6" s="63">
        <v>21692793</v>
      </c>
      <c r="BK6" s="63"/>
      <c r="BL6" s="5">
        <v>2360633659</v>
      </c>
      <c r="BM6" s="5">
        <v>1974485992</v>
      </c>
      <c r="BN6" s="15">
        <v>5946422</v>
      </c>
      <c r="BO6" s="5"/>
      <c r="BP6" s="1"/>
      <c r="BQ6" s="1"/>
      <c r="BR6" s="5"/>
      <c r="BS6" s="5"/>
      <c r="BT6" s="5"/>
    </row>
    <row r="7" spans="1:72" x14ac:dyDescent="0.25">
      <c r="A7" s="6" t="s">
        <v>61</v>
      </c>
      <c r="B7" s="56">
        <v>167172300</v>
      </c>
      <c r="C7" s="56">
        <v>83759900</v>
      </c>
      <c r="D7" s="56">
        <v>36473800</v>
      </c>
      <c r="E7" s="56">
        <v>0</v>
      </c>
      <c r="F7" s="56">
        <v>26920800</v>
      </c>
      <c r="G7" s="56">
        <v>9991000</v>
      </c>
      <c r="H7" s="56">
        <v>8267500</v>
      </c>
      <c r="I7" s="56">
        <v>2092450</v>
      </c>
      <c r="J7" s="56">
        <v>0</v>
      </c>
      <c r="K7" s="56">
        <v>0</v>
      </c>
      <c r="L7" s="56">
        <v>149021725</v>
      </c>
      <c r="M7" s="56">
        <v>52991856</v>
      </c>
      <c r="N7" s="56">
        <v>1077</v>
      </c>
      <c r="O7" s="56">
        <v>397</v>
      </c>
      <c r="P7" s="56">
        <v>2645400</v>
      </c>
      <c r="Q7" s="56">
        <v>2523600</v>
      </c>
      <c r="R7" s="56">
        <v>2614700</v>
      </c>
      <c r="S7" s="56">
        <v>4086650</v>
      </c>
      <c r="T7" s="56">
        <v>989950</v>
      </c>
      <c r="U7" s="56">
        <v>251200</v>
      </c>
      <c r="V7" s="56">
        <v>2645400</v>
      </c>
      <c r="W7" s="56">
        <v>2856650</v>
      </c>
      <c r="X7" s="56">
        <v>2614700</v>
      </c>
      <c r="Y7" s="56">
        <v>4086650</v>
      </c>
      <c r="Z7" s="56">
        <v>1647616</v>
      </c>
      <c r="AA7" s="56">
        <v>251200</v>
      </c>
      <c r="AB7" s="56">
        <v>-3537800</v>
      </c>
      <c r="AC7" s="56">
        <v>0</v>
      </c>
      <c r="AD7" s="56">
        <v>0</v>
      </c>
      <c r="AE7" s="56">
        <v>0</v>
      </c>
      <c r="AF7" s="56">
        <v>0</v>
      </c>
      <c r="AG7" s="56">
        <v>0</v>
      </c>
      <c r="AH7" s="56">
        <v>0</v>
      </c>
      <c r="AI7" s="54">
        <v>0</v>
      </c>
      <c r="AJ7" s="56">
        <v>0</v>
      </c>
      <c r="AK7" s="1">
        <v>55077962</v>
      </c>
      <c r="AL7" s="1">
        <v>1425886</v>
      </c>
      <c r="AM7" s="56">
        <v>0</v>
      </c>
      <c r="AN7" s="56">
        <v>8963935</v>
      </c>
      <c r="AO7" s="56">
        <v>732238</v>
      </c>
      <c r="AP7" s="56">
        <v>2983094</v>
      </c>
      <c r="AQ7" s="56">
        <v>5860299</v>
      </c>
      <c r="AR7" s="56">
        <v>7761009</v>
      </c>
      <c r="AS7" s="56">
        <v>0</v>
      </c>
      <c r="AT7" s="56">
        <v>534991</v>
      </c>
      <c r="AU7" s="56">
        <v>0</v>
      </c>
      <c r="AV7" s="56">
        <v>0</v>
      </c>
      <c r="AW7" s="56">
        <v>9127</v>
      </c>
      <c r="AX7" s="56">
        <v>0</v>
      </c>
      <c r="AY7" s="56">
        <v>0</v>
      </c>
      <c r="AZ7" s="1">
        <v>2114295.5104773939</v>
      </c>
      <c r="BA7" s="1">
        <v>1078291</v>
      </c>
      <c r="BB7" s="1"/>
      <c r="BC7" s="15">
        <v>0</v>
      </c>
      <c r="BD7" s="15">
        <v>0</v>
      </c>
      <c r="BE7" s="20">
        <v>20450851</v>
      </c>
      <c r="BF7" s="20">
        <v>20450851</v>
      </c>
      <c r="BG7" s="20">
        <v>37047197</v>
      </c>
      <c r="BH7" s="20">
        <v>37036717</v>
      </c>
      <c r="BI7" s="63"/>
      <c r="BJ7" s="63"/>
      <c r="BK7" s="63"/>
      <c r="BL7" s="5">
        <v>418032179</v>
      </c>
      <c r="BM7" s="5">
        <v>302962472</v>
      </c>
      <c r="BN7" s="15">
        <v>833500</v>
      </c>
      <c r="BO7" s="5"/>
      <c r="BP7" s="1"/>
      <c r="BQ7" s="1"/>
      <c r="BR7" s="5"/>
      <c r="BS7" s="5"/>
      <c r="BT7" s="5"/>
    </row>
    <row r="8" spans="1:72" x14ac:dyDescent="0.25">
      <c r="A8" s="6" t="s">
        <v>62</v>
      </c>
      <c r="B8" s="56">
        <v>431876100</v>
      </c>
      <c r="C8" s="56">
        <v>25746350</v>
      </c>
      <c r="D8" s="56">
        <v>180423630</v>
      </c>
      <c r="E8" s="56">
        <v>0</v>
      </c>
      <c r="F8" s="56">
        <v>70792100</v>
      </c>
      <c r="G8" s="56">
        <v>25435500</v>
      </c>
      <c r="H8" s="56">
        <v>4085200</v>
      </c>
      <c r="I8" s="56">
        <v>937400</v>
      </c>
      <c r="J8" s="56">
        <v>36000</v>
      </c>
      <c r="K8" s="56">
        <v>0</v>
      </c>
      <c r="L8" s="56">
        <v>34912125</v>
      </c>
      <c r="M8" s="56">
        <v>157630</v>
      </c>
      <c r="N8" s="56">
        <v>2514</v>
      </c>
      <c r="O8" s="56">
        <v>944</v>
      </c>
      <c r="P8" s="56">
        <v>1614000</v>
      </c>
      <c r="Q8" s="56">
        <v>0</v>
      </c>
      <c r="R8" s="56">
        <v>2570000</v>
      </c>
      <c r="S8" s="56">
        <v>5148900</v>
      </c>
      <c r="T8" s="56">
        <v>149300</v>
      </c>
      <c r="U8" s="56">
        <v>4470297</v>
      </c>
      <c r="V8" s="56">
        <v>1614000</v>
      </c>
      <c r="W8" s="56">
        <v>0</v>
      </c>
      <c r="X8" s="56">
        <v>2570000</v>
      </c>
      <c r="Y8" s="56">
        <v>5148900</v>
      </c>
      <c r="Z8" s="56">
        <v>200400</v>
      </c>
      <c r="AA8" s="56">
        <v>4470297</v>
      </c>
      <c r="AB8" s="56">
        <v>-5042300</v>
      </c>
      <c r="AC8" s="56">
        <v>0</v>
      </c>
      <c r="AD8" s="56">
        <v>156685</v>
      </c>
      <c r="AE8" s="56">
        <v>0</v>
      </c>
      <c r="AF8" s="56">
        <v>0</v>
      </c>
      <c r="AG8" s="56">
        <v>0</v>
      </c>
      <c r="AH8" s="56">
        <v>20454631</v>
      </c>
      <c r="AI8" s="54">
        <v>29655370</v>
      </c>
      <c r="AJ8" s="15">
        <v>45419267</v>
      </c>
      <c r="AK8" s="1">
        <v>117681949</v>
      </c>
      <c r="AL8" s="1">
        <v>1046212</v>
      </c>
      <c r="AM8" s="56">
        <v>0</v>
      </c>
      <c r="AN8" s="56">
        <v>114276026</v>
      </c>
      <c r="AO8" s="56">
        <v>6719795</v>
      </c>
      <c r="AP8" s="56">
        <v>43433743</v>
      </c>
      <c r="AQ8" s="56">
        <v>44221259</v>
      </c>
      <c r="AR8" s="56">
        <v>10535533</v>
      </c>
      <c r="AS8" s="56">
        <v>1722085</v>
      </c>
      <c r="AT8" s="56">
        <v>0</v>
      </c>
      <c r="AU8" s="56">
        <v>0</v>
      </c>
      <c r="AV8" s="56">
        <v>0</v>
      </c>
      <c r="AW8" s="56">
        <v>0</v>
      </c>
      <c r="AX8" s="56">
        <v>24043</v>
      </c>
      <c r="AY8" s="56">
        <v>396000</v>
      </c>
      <c r="AZ8" s="1">
        <v>4517494.9725795891</v>
      </c>
      <c r="BA8" s="1">
        <v>2303922</v>
      </c>
      <c r="BB8" s="1"/>
      <c r="BC8" s="15">
        <v>6792555</v>
      </c>
      <c r="BD8" s="15">
        <v>13318736</v>
      </c>
      <c r="BE8" s="20">
        <v>41644515</v>
      </c>
      <c r="BF8" s="20">
        <v>41644515</v>
      </c>
      <c r="BG8" s="20">
        <v>70152491</v>
      </c>
      <c r="BH8" s="20">
        <v>65048577</v>
      </c>
      <c r="BI8" s="63"/>
      <c r="BJ8" s="63"/>
      <c r="BK8" s="63"/>
      <c r="BL8" s="5">
        <v>1133310158</v>
      </c>
      <c r="BM8" s="5">
        <v>898792428</v>
      </c>
      <c r="BN8" s="15">
        <v>2466300</v>
      </c>
      <c r="BO8" s="5"/>
      <c r="BP8" s="1"/>
      <c r="BQ8" s="1"/>
      <c r="BR8" s="5"/>
      <c r="BS8" s="5"/>
      <c r="BT8" s="5"/>
    </row>
    <row r="9" spans="1:72" x14ac:dyDescent="0.25">
      <c r="A9" s="6" t="s">
        <v>63</v>
      </c>
      <c r="B9" s="56">
        <v>6100776343</v>
      </c>
      <c r="C9" s="56">
        <v>263618572</v>
      </c>
      <c r="D9" s="56">
        <v>3674202623</v>
      </c>
      <c r="E9" s="56">
        <v>63071009</v>
      </c>
      <c r="F9" s="56">
        <v>234660400</v>
      </c>
      <c r="G9" s="56">
        <v>21086460</v>
      </c>
      <c r="H9" s="56">
        <v>14398450</v>
      </c>
      <c r="I9" s="56">
        <v>673200</v>
      </c>
      <c r="J9" s="56">
        <v>504000</v>
      </c>
      <c r="K9" s="56">
        <v>0</v>
      </c>
      <c r="L9" s="56">
        <v>797914508</v>
      </c>
      <c r="M9" s="56">
        <v>0</v>
      </c>
      <c r="N9" s="56">
        <v>7061</v>
      </c>
      <c r="O9" s="56">
        <v>641</v>
      </c>
      <c r="P9" s="56">
        <v>86014972</v>
      </c>
      <c r="Q9" s="56">
        <v>6251590</v>
      </c>
      <c r="R9" s="56">
        <v>82891573</v>
      </c>
      <c r="S9" s="56">
        <v>44333489</v>
      </c>
      <c r="T9" s="56">
        <v>2858529</v>
      </c>
      <c r="U9" s="56">
        <v>40097092</v>
      </c>
      <c r="V9" s="56">
        <v>86014972</v>
      </c>
      <c r="W9" s="56">
        <v>7705440</v>
      </c>
      <c r="X9" s="56">
        <v>82891573</v>
      </c>
      <c r="Y9" s="56">
        <v>44333489</v>
      </c>
      <c r="Z9" s="56">
        <v>20825670</v>
      </c>
      <c r="AA9" s="56">
        <v>40097092</v>
      </c>
      <c r="AB9" s="56">
        <v>-11472696</v>
      </c>
      <c r="AC9" s="56">
        <v>-4130876</v>
      </c>
      <c r="AD9" s="56">
        <v>0</v>
      </c>
      <c r="AE9" s="56">
        <v>0</v>
      </c>
      <c r="AF9" s="56">
        <v>0</v>
      </c>
      <c r="AG9" s="56">
        <v>0</v>
      </c>
      <c r="AH9" s="56">
        <v>0</v>
      </c>
      <c r="AI9" s="54">
        <v>500590</v>
      </c>
      <c r="AJ9" s="56">
        <v>0</v>
      </c>
      <c r="AK9" s="1">
        <v>937516631</v>
      </c>
      <c r="AL9" s="1">
        <v>17206728</v>
      </c>
      <c r="AM9" s="56">
        <v>163390</v>
      </c>
      <c r="AN9" s="56">
        <v>672119524</v>
      </c>
      <c r="AO9" s="56">
        <v>33229464</v>
      </c>
      <c r="AP9" s="56">
        <v>1022039356</v>
      </c>
      <c r="AQ9" s="56">
        <v>584106513</v>
      </c>
      <c r="AR9" s="56">
        <v>445458268</v>
      </c>
      <c r="AS9" s="56">
        <v>1322633930</v>
      </c>
      <c r="AT9" s="56">
        <v>588587025</v>
      </c>
      <c r="AU9" s="56">
        <v>0</v>
      </c>
      <c r="AV9" s="56">
        <v>75000</v>
      </c>
      <c r="AW9" s="56">
        <v>13294536</v>
      </c>
      <c r="AX9" s="56">
        <v>1379620</v>
      </c>
      <c r="AY9" s="56">
        <v>10385850</v>
      </c>
      <c r="AZ9" s="1">
        <v>35988753.612945803</v>
      </c>
      <c r="BA9" s="1">
        <v>18354264</v>
      </c>
      <c r="BB9" s="1">
        <v>35544041.450000003</v>
      </c>
      <c r="BC9" s="15">
        <v>1021203</v>
      </c>
      <c r="BD9" s="15">
        <v>2002359</v>
      </c>
      <c r="BE9" s="20">
        <v>209423213</v>
      </c>
      <c r="BF9" s="20">
        <v>209423213</v>
      </c>
      <c r="BG9" s="20">
        <v>813408767</v>
      </c>
      <c r="BH9" s="20">
        <v>511944565</v>
      </c>
      <c r="BI9" s="63"/>
      <c r="BJ9" s="63"/>
      <c r="BK9" s="63"/>
      <c r="BL9" s="5">
        <v>13024020233</v>
      </c>
      <c r="BM9" s="5">
        <v>11328553629</v>
      </c>
      <c r="BN9" s="15">
        <v>4567910</v>
      </c>
      <c r="BO9" s="5"/>
      <c r="BP9" s="1"/>
      <c r="BQ9" s="1"/>
      <c r="BR9" s="5"/>
      <c r="BS9" s="5"/>
      <c r="BT9" s="5"/>
    </row>
    <row r="10" spans="1:72" x14ac:dyDescent="0.25">
      <c r="A10" s="6" t="s">
        <v>64</v>
      </c>
      <c r="B10" s="56">
        <v>566481522</v>
      </c>
      <c r="C10" s="56">
        <v>312217221</v>
      </c>
      <c r="D10" s="56">
        <v>163820924</v>
      </c>
      <c r="E10" s="56">
        <v>2495000</v>
      </c>
      <c r="F10" s="56">
        <v>48177400</v>
      </c>
      <c r="G10" s="56">
        <v>8101900</v>
      </c>
      <c r="H10" s="56">
        <v>10461200</v>
      </c>
      <c r="I10" s="56">
        <v>804500</v>
      </c>
      <c r="J10" s="56">
        <v>108000</v>
      </c>
      <c r="K10" s="56">
        <v>0</v>
      </c>
      <c r="L10" s="56">
        <v>819667421</v>
      </c>
      <c r="M10" s="56">
        <v>185038500</v>
      </c>
      <c r="N10" s="56">
        <v>1654</v>
      </c>
      <c r="O10" s="56">
        <v>256</v>
      </c>
      <c r="P10" s="56">
        <v>3108578</v>
      </c>
      <c r="Q10" s="56">
        <v>3730011</v>
      </c>
      <c r="R10" s="56">
        <v>2427118</v>
      </c>
      <c r="S10" s="56">
        <v>4314506</v>
      </c>
      <c r="T10" s="56">
        <v>474924</v>
      </c>
      <c r="U10" s="56">
        <v>777000</v>
      </c>
      <c r="V10" s="56">
        <v>3108578</v>
      </c>
      <c r="W10" s="56">
        <v>3946600</v>
      </c>
      <c r="X10" s="56">
        <v>2427118</v>
      </c>
      <c r="Y10" s="56">
        <v>4314506</v>
      </c>
      <c r="Z10" s="56">
        <v>8724994</v>
      </c>
      <c r="AA10" s="56">
        <v>777000</v>
      </c>
      <c r="AB10" s="56">
        <v>-3865500</v>
      </c>
      <c r="AC10" s="56">
        <v>-315356</v>
      </c>
      <c r="AD10" s="56">
        <v>0</v>
      </c>
      <c r="AE10" s="56">
        <v>0</v>
      </c>
      <c r="AF10" s="56">
        <v>0</v>
      </c>
      <c r="AG10" s="56">
        <v>175896</v>
      </c>
      <c r="AH10" s="56">
        <v>0</v>
      </c>
      <c r="AI10" s="54">
        <v>440582</v>
      </c>
      <c r="AJ10" s="56">
        <v>0</v>
      </c>
      <c r="AK10" s="1">
        <v>140889126</v>
      </c>
      <c r="AL10" s="1">
        <v>2939064</v>
      </c>
      <c r="AM10" s="56">
        <v>0</v>
      </c>
      <c r="AN10" s="56">
        <v>34522809</v>
      </c>
      <c r="AO10" s="56">
        <v>12749194</v>
      </c>
      <c r="AP10" s="56">
        <v>146543164</v>
      </c>
      <c r="AQ10" s="56">
        <v>37221562</v>
      </c>
      <c r="AR10" s="56">
        <v>49293129</v>
      </c>
      <c r="AS10" s="56">
        <v>23187046</v>
      </c>
      <c r="AT10" s="56">
        <v>141753792</v>
      </c>
      <c r="AU10" s="56">
        <v>0</v>
      </c>
      <c r="AV10" s="56">
        <v>14912</v>
      </c>
      <c r="AW10" s="56">
        <v>1000</v>
      </c>
      <c r="AX10" s="56">
        <v>8095</v>
      </c>
      <c r="AY10" s="56">
        <v>23500</v>
      </c>
      <c r="AZ10" s="1">
        <v>5408356.3690480031</v>
      </c>
      <c r="BA10" s="1">
        <v>2758262</v>
      </c>
      <c r="BB10" s="1"/>
      <c r="BC10" s="15">
        <v>1971937</v>
      </c>
      <c r="BD10" s="15">
        <v>3866544</v>
      </c>
      <c r="BE10" s="20">
        <v>17599224</v>
      </c>
      <c r="BF10" s="20">
        <v>17599224</v>
      </c>
      <c r="BG10" s="20">
        <v>42918139</v>
      </c>
      <c r="BH10" s="20">
        <v>39331563</v>
      </c>
      <c r="BI10" s="63"/>
      <c r="BJ10" s="63"/>
      <c r="BK10" s="63"/>
      <c r="BL10" s="5">
        <v>1332942990</v>
      </c>
      <c r="BM10" s="5">
        <v>1127453814</v>
      </c>
      <c r="BN10" s="15">
        <v>1478430</v>
      </c>
      <c r="BO10" s="5"/>
      <c r="BP10" s="1"/>
      <c r="BQ10" s="1"/>
      <c r="BR10" s="5"/>
      <c r="BS10" s="5"/>
      <c r="BT10" s="5"/>
    </row>
    <row r="11" spans="1:72" x14ac:dyDescent="0.25">
      <c r="A11" s="6" t="s">
        <v>65</v>
      </c>
      <c r="B11" s="56">
        <v>1139663270</v>
      </c>
      <c r="C11" s="56">
        <v>81691060</v>
      </c>
      <c r="D11" s="56">
        <v>593069151</v>
      </c>
      <c r="E11" s="56">
        <v>0</v>
      </c>
      <c r="F11" s="56">
        <v>146617560</v>
      </c>
      <c r="G11" s="56">
        <v>40464900</v>
      </c>
      <c r="H11" s="56">
        <v>8364300</v>
      </c>
      <c r="I11" s="56">
        <v>1844600</v>
      </c>
      <c r="J11" s="56">
        <v>564500</v>
      </c>
      <c r="K11" s="56">
        <v>93100</v>
      </c>
      <c r="L11" s="56">
        <v>45066560</v>
      </c>
      <c r="M11" s="56">
        <v>74258910</v>
      </c>
      <c r="N11" s="56">
        <v>4648</v>
      </c>
      <c r="O11" s="56">
        <v>1304</v>
      </c>
      <c r="P11" s="56">
        <v>4279550</v>
      </c>
      <c r="Q11" s="56">
        <v>1181300</v>
      </c>
      <c r="R11" s="56">
        <v>7918800</v>
      </c>
      <c r="S11" s="56">
        <v>4562400</v>
      </c>
      <c r="T11" s="56">
        <v>630200</v>
      </c>
      <c r="U11" s="56">
        <v>5057300</v>
      </c>
      <c r="V11" s="56">
        <v>4279550</v>
      </c>
      <c r="W11" s="56">
        <v>1247400</v>
      </c>
      <c r="X11" s="56">
        <v>7918800</v>
      </c>
      <c r="Y11" s="56">
        <v>4562400</v>
      </c>
      <c r="Z11" s="56">
        <v>713100</v>
      </c>
      <c r="AA11" s="56">
        <v>5057300</v>
      </c>
      <c r="AB11" s="56">
        <v>-7144900</v>
      </c>
      <c r="AC11" s="56">
        <v>-364119</v>
      </c>
      <c r="AD11" s="56">
        <v>22743</v>
      </c>
      <c r="AE11" s="56">
        <v>0</v>
      </c>
      <c r="AF11" s="56">
        <v>0</v>
      </c>
      <c r="AG11" s="56">
        <v>1106</v>
      </c>
      <c r="AH11" s="56">
        <v>66426</v>
      </c>
      <c r="AI11" s="54">
        <v>2858792</v>
      </c>
      <c r="AJ11" s="15">
        <v>301000</v>
      </c>
      <c r="AK11" s="1">
        <v>309679357</v>
      </c>
      <c r="AL11" s="1">
        <v>7693583</v>
      </c>
      <c r="AM11" s="56">
        <v>9642</v>
      </c>
      <c r="AN11" s="56">
        <v>136388083</v>
      </c>
      <c r="AO11" s="56">
        <v>21278364</v>
      </c>
      <c r="AP11" s="56">
        <v>420792517</v>
      </c>
      <c r="AQ11" s="56">
        <v>184401202</v>
      </c>
      <c r="AR11" s="56">
        <v>168178726</v>
      </c>
      <c r="AS11" s="56">
        <v>19788075</v>
      </c>
      <c r="AT11" s="56">
        <v>1349486165</v>
      </c>
      <c r="AU11" s="56">
        <v>0</v>
      </c>
      <c r="AV11" s="56">
        <v>0</v>
      </c>
      <c r="AW11" s="56">
        <v>0</v>
      </c>
      <c r="AX11" s="56">
        <v>5896</v>
      </c>
      <c r="AY11" s="56">
        <v>9000</v>
      </c>
      <c r="AZ11" s="1">
        <v>11887761.464242743</v>
      </c>
      <c r="BA11" s="1">
        <v>6062758</v>
      </c>
      <c r="BB11" s="1">
        <v>19948186.530000001</v>
      </c>
      <c r="BC11" s="15">
        <v>5551139</v>
      </c>
      <c r="BD11" s="15">
        <v>10884586</v>
      </c>
      <c r="BE11" s="20">
        <v>61596569</v>
      </c>
      <c r="BF11" s="20">
        <v>61596569</v>
      </c>
      <c r="BG11" s="20">
        <v>108528800</v>
      </c>
      <c r="BH11" s="20">
        <v>104801391</v>
      </c>
      <c r="BI11" s="63"/>
      <c r="BJ11" s="63"/>
      <c r="BK11" s="63"/>
      <c r="BL11" s="5">
        <v>2655102145</v>
      </c>
      <c r="BM11" s="5">
        <v>2159717348</v>
      </c>
      <c r="BN11" s="15">
        <v>5857500</v>
      </c>
      <c r="BO11" s="5"/>
      <c r="BP11" s="1"/>
      <c r="BQ11" s="1"/>
      <c r="BR11" s="5"/>
      <c r="BS11" s="5"/>
      <c r="BT11" s="5"/>
    </row>
    <row r="12" spans="1:72" x14ac:dyDescent="0.25">
      <c r="A12" s="6" t="s">
        <v>66</v>
      </c>
      <c r="B12" s="56">
        <v>974093810</v>
      </c>
      <c r="C12" s="56">
        <v>162892185</v>
      </c>
      <c r="D12" s="56">
        <v>411038535</v>
      </c>
      <c r="E12" s="56">
        <v>0</v>
      </c>
      <c r="F12" s="56">
        <v>88777300</v>
      </c>
      <c r="G12" s="56">
        <v>11779000</v>
      </c>
      <c r="H12" s="56">
        <v>10495500</v>
      </c>
      <c r="I12" s="56">
        <v>1404000</v>
      </c>
      <c r="J12" s="56">
        <v>180000</v>
      </c>
      <c r="K12" s="56">
        <v>0</v>
      </c>
      <c r="L12" s="56">
        <v>260811470</v>
      </c>
      <c r="M12" s="56">
        <v>137146200</v>
      </c>
      <c r="N12" s="56">
        <v>2852</v>
      </c>
      <c r="O12" s="56">
        <v>394</v>
      </c>
      <c r="P12" s="56">
        <v>5181000</v>
      </c>
      <c r="Q12" s="56">
        <v>998250</v>
      </c>
      <c r="R12" s="56">
        <v>749000</v>
      </c>
      <c r="S12" s="56">
        <v>9377361</v>
      </c>
      <c r="T12" s="56">
        <v>958900</v>
      </c>
      <c r="U12" s="56">
        <v>3305500</v>
      </c>
      <c r="V12" s="56">
        <v>5181000</v>
      </c>
      <c r="W12" s="56">
        <v>999000</v>
      </c>
      <c r="X12" s="56">
        <v>749000</v>
      </c>
      <c r="Y12" s="56">
        <v>9377361</v>
      </c>
      <c r="Z12" s="56">
        <v>1952000</v>
      </c>
      <c r="AA12" s="56">
        <v>3305500</v>
      </c>
      <c r="AB12" s="56">
        <v>2175200</v>
      </c>
      <c r="AC12" s="56">
        <v>317940</v>
      </c>
      <c r="AD12" s="56">
        <v>14898</v>
      </c>
      <c r="AE12" s="56">
        <v>0</v>
      </c>
      <c r="AF12" s="56">
        <v>0</v>
      </c>
      <c r="AG12" s="56">
        <v>99236</v>
      </c>
      <c r="AH12" s="56">
        <v>0</v>
      </c>
      <c r="AI12" s="54">
        <v>232107</v>
      </c>
      <c r="AJ12" s="56">
        <v>0</v>
      </c>
      <c r="AK12" s="1">
        <v>158743517</v>
      </c>
      <c r="AL12" s="1">
        <v>5345007</v>
      </c>
      <c r="AM12" s="56">
        <v>3000</v>
      </c>
      <c r="AN12" s="56">
        <v>74106477</v>
      </c>
      <c r="AO12" s="56">
        <v>8760949</v>
      </c>
      <c r="AP12" s="56">
        <v>229277384</v>
      </c>
      <c r="AQ12" s="56">
        <v>78721422</v>
      </c>
      <c r="AR12" s="56">
        <v>103952676</v>
      </c>
      <c r="AS12" s="56">
        <v>145065685</v>
      </c>
      <c r="AT12" s="56">
        <v>1006730</v>
      </c>
      <c r="AU12" s="56">
        <v>0</v>
      </c>
      <c r="AV12" s="56">
        <v>790999</v>
      </c>
      <c r="AW12" s="56">
        <v>1773834</v>
      </c>
      <c r="AX12" s="56">
        <v>52701</v>
      </c>
      <c r="AY12" s="56">
        <v>4826980</v>
      </c>
      <c r="AZ12" s="1">
        <v>6093738.6410646765</v>
      </c>
      <c r="BA12" s="1">
        <v>3107807</v>
      </c>
      <c r="BB12" s="1"/>
      <c r="BC12" s="15">
        <v>2838110</v>
      </c>
      <c r="BD12" s="15">
        <v>5564922</v>
      </c>
      <c r="BE12" s="20">
        <v>44483436</v>
      </c>
      <c r="BF12" s="20">
        <v>44483436</v>
      </c>
      <c r="BG12" s="20">
        <v>53138837</v>
      </c>
      <c r="BH12" s="20">
        <v>49464903</v>
      </c>
      <c r="BI12" s="63"/>
      <c r="BJ12" s="63"/>
      <c r="BK12" s="63"/>
      <c r="BL12" s="5">
        <v>1973828265</v>
      </c>
      <c r="BM12" s="5">
        <v>1709845485</v>
      </c>
      <c r="BN12" s="15">
        <v>2920000</v>
      </c>
      <c r="BO12" s="5"/>
      <c r="BP12" s="1"/>
      <c r="BQ12" s="1"/>
      <c r="BR12" s="5"/>
      <c r="BS12" s="5"/>
      <c r="BT12" s="5"/>
    </row>
    <row r="13" spans="1:72" x14ac:dyDescent="0.25">
      <c r="A13" s="6" t="s">
        <v>67</v>
      </c>
      <c r="B13" s="56">
        <v>137427811</v>
      </c>
      <c r="C13" s="56">
        <v>102394425</v>
      </c>
      <c r="D13" s="56">
        <v>23747915</v>
      </c>
      <c r="E13" s="56">
        <v>0</v>
      </c>
      <c r="F13" s="56">
        <v>17603450</v>
      </c>
      <c r="G13" s="56">
        <v>4405590</v>
      </c>
      <c r="H13" s="56">
        <v>7383240</v>
      </c>
      <c r="I13" s="56">
        <v>1023650</v>
      </c>
      <c r="J13" s="56">
        <v>0</v>
      </c>
      <c r="K13" s="56">
        <v>0</v>
      </c>
      <c r="L13" s="56">
        <v>80706062</v>
      </c>
      <c r="M13" s="56">
        <v>57641155</v>
      </c>
      <c r="N13" s="56">
        <v>757</v>
      </c>
      <c r="O13" s="56">
        <v>176</v>
      </c>
      <c r="P13" s="56">
        <v>1454450</v>
      </c>
      <c r="Q13" s="56">
        <v>1017000</v>
      </c>
      <c r="R13" s="56">
        <v>15000</v>
      </c>
      <c r="S13" s="56">
        <v>1874062</v>
      </c>
      <c r="T13" s="56">
        <v>744335</v>
      </c>
      <c r="U13" s="56">
        <v>1125450</v>
      </c>
      <c r="V13" s="56">
        <v>1454450</v>
      </c>
      <c r="W13" s="56">
        <v>1169000</v>
      </c>
      <c r="X13" s="56">
        <v>15000</v>
      </c>
      <c r="Y13" s="56">
        <v>1874062</v>
      </c>
      <c r="Z13" s="56">
        <v>1104250</v>
      </c>
      <c r="AA13" s="56">
        <v>1125450</v>
      </c>
      <c r="AB13" s="56">
        <v>-157000</v>
      </c>
      <c r="AC13" s="56">
        <v>-23373</v>
      </c>
      <c r="AD13" s="56">
        <v>0</v>
      </c>
      <c r="AE13" s="56">
        <v>0</v>
      </c>
      <c r="AF13" s="56">
        <v>0</v>
      </c>
      <c r="AG13" s="56">
        <v>117053</v>
      </c>
      <c r="AH13" s="56">
        <v>0</v>
      </c>
      <c r="AI13" s="56">
        <v>0</v>
      </c>
      <c r="AJ13" s="56">
        <v>0</v>
      </c>
      <c r="AK13" s="1">
        <v>46776907</v>
      </c>
      <c r="AL13" s="1">
        <v>951765</v>
      </c>
      <c r="AM13" s="56">
        <v>0</v>
      </c>
      <c r="AN13" s="56">
        <v>9630451</v>
      </c>
      <c r="AO13" s="56">
        <v>28707</v>
      </c>
      <c r="AP13" s="56">
        <v>30260645</v>
      </c>
      <c r="AQ13" s="56">
        <v>2751721</v>
      </c>
      <c r="AR13" s="56">
        <v>11065758</v>
      </c>
      <c r="AS13" s="56">
        <v>97979</v>
      </c>
      <c r="AT13" s="56">
        <v>10808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1">
        <v>1795640.2320063801</v>
      </c>
      <c r="BA13" s="1">
        <v>915777</v>
      </c>
      <c r="BB13" s="1">
        <v>17500000</v>
      </c>
      <c r="BC13" s="15">
        <v>1280174</v>
      </c>
      <c r="BD13" s="15">
        <v>2510145</v>
      </c>
      <c r="BE13" s="20">
        <v>18612991</v>
      </c>
      <c r="BF13" s="20">
        <v>18612991</v>
      </c>
      <c r="BG13" s="20">
        <v>29352067</v>
      </c>
      <c r="BH13" s="20">
        <v>24755781</v>
      </c>
      <c r="BI13" s="63"/>
      <c r="BJ13" s="63"/>
      <c r="BK13" s="63"/>
      <c r="BL13" s="5">
        <v>369274425</v>
      </c>
      <c r="BM13" s="5">
        <v>275981030</v>
      </c>
      <c r="BN13" s="15">
        <v>260040</v>
      </c>
      <c r="BO13" s="5"/>
      <c r="BP13" s="1"/>
      <c r="BQ13" s="1"/>
      <c r="BR13" s="5"/>
      <c r="BS13" s="5"/>
      <c r="BT13" s="5"/>
    </row>
    <row r="14" spans="1:72" x14ac:dyDescent="0.25">
      <c r="A14" s="6" t="s">
        <v>68</v>
      </c>
      <c r="B14" s="40">
        <v>136041165</v>
      </c>
      <c r="C14" s="40">
        <v>80344078</v>
      </c>
      <c r="D14" s="40">
        <v>65935433</v>
      </c>
      <c r="E14" s="40">
        <v>0</v>
      </c>
      <c r="F14" s="40">
        <v>19875140</v>
      </c>
      <c r="G14" s="40">
        <v>34885270</v>
      </c>
      <c r="H14" s="40">
        <v>9620980</v>
      </c>
      <c r="I14" s="40">
        <v>11589597</v>
      </c>
      <c r="J14" s="40">
        <v>144000</v>
      </c>
      <c r="K14" s="40">
        <v>180000</v>
      </c>
      <c r="L14" s="40">
        <v>61028492</v>
      </c>
      <c r="M14" s="40">
        <v>48398568</v>
      </c>
      <c r="N14" s="40">
        <v>923</v>
      </c>
      <c r="O14" s="40">
        <v>1548</v>
      </c>
      <c r="P14" s="40">
        <v>816700</v>
      </c>
      <c r="Q14" s="40">
        <v>545511</v>
      </c>
      <c r="R14" s="40">
        <v>10839000</v>
      </c>
      <c r="S14" s="40">
        <v>1728250</v>
      </c>
      <c r="T14" s="40">
        <v>934577</v>
      </c>
      <c r="U14" s="40">
        <v>241700</v>
      </c>
      <c r="V14" s="40">
        <v>816700</v>
      </c>
      <c r="W14" s="40">
        <v>572200</v>
      </c>
      <c r="X14" s="40">
        <v>10839000</v>
      </c>
      <c r="Y14" s="40">
        <v>1728250</v>
      </c>
      <c r="Z14" s="40">
        <v>581270</v>
      </c>
      <c r="AA14" s="40">
        <v>241700</v>
      </c>
      <c r="AB14" s="40">
        <v>-3461052</v>
      </c>
      <c r="AC14" s="40">
        <v>-5549</v>
      </c>
      <c r="AD14" s="40">
        <v>253057</v>
      </c>
      <c r="AE14" s="40">
        <v>0</v>
      </c>
      <c r="AF14" s="40">
        <v>0</v>
      </c>
      <c r="AG14" s="40">
        <v>277345</v>
      </c>
      <c r="AH14" s="40">
        <v>1743664</v>
      </c>
      <c r="AI14" s="40">
        <v>2819088</v>
      </c>
      <c r="AJ14" s="15">
        <v>103113684</v>
      </c>
      <c r="AK14" s="1">
        <v>65262471</v>
      </c>
      <c r="AL14" s="1">
        <v>1150393</v>
      </c>
      <c r="AM14" s="40">
        <v>0</v>
      </c>
      <c r="AN14" s="40">
        <v>43337642</v>
      </c>
      <c r="AO14" s="40">
        <v>654085</v>
      </c>
      <c r="AP14" s="40">
        <v>11150306</v>
      </c>
      <c r="AQ14" s="40">
        <v>10714382</v>
      </c>
      <c r="AR14" s="40">
        <v>5818523</v>
      </c>
      <c r="AS14" s="40">
        <v>0</v>
      </c>
      <c r="AT14" s="40">
        <v>334281</v>
      </c>
      <c r="AU14" s="40">
        <v>0</v>
      </c>
      <c r="AV14" s="40">
        <v>0</v>
      </c>
      <c r="AW14" s="40">
        <v>1300</v>
      </c>
      <c r="AX14" s="40">
        <v>36719</v>
      </c>
      <c r="AY14" s="40">
        <v>0</v>
      </c>
      <c r="AZ14" s="1">
        <v>2505251.545762734</v>
      </c>
      <c r="BA14" s="1">
        <v>1277678</v>
      </c>
      <c r="BB14" s="1"/>
      <c r="BC14" s="15">
        <v>2134602</v>
      </c>
      <c r="BD14" s="15">
        <v>4185494</v>
      </c>
      <c r="BE14" s="20">
        <v>11639252</v>
      </c>
      <c r="BF14" s="20">
        <v>11639252</v>
      </c>
      <c r="BG14" s="20">
        <v>41035844</v>
      </c>
      <c r="BH14" s="20">
        <v>35036062</v>
      </c>
      <c r="BI14" s="63"/>
      <c r="BJ14" s="44"/>
      <c r="BK14" s="44"/>
      <c r="BL14" s="5">
        <v>561203679</v>
      </c>
      <c r="BM14" s="5">
        <v>444703221</v>
      </c>
      <c r="BN14" s="15">
        <v>1177197</v>
      </c>
      <c r="BO14" s="5"/>
      <c r="BP14" s="1"/>
      <c r="BQ14" s="1"/>
      <c r="BR14" s="5"/>
      <c r="BS14" s="5"/>
      <c r="BT14" s="5"/>
    </row>
    <row r="15" spans="1:72" x14ac:dyDescent="0.25">
      <c r="A15" s="6" t="s">
        <v>69</v>
      </c>
      <c r="B15" s="56">
        <v>501496471</v>
      </c>
      <c r="C15" s="56">
        <v>209678811</v>
      </c>
      <c r="D15" s="56">
        <v>74001433</v>
      </c>
      <c r="E15" s="56">
        <v>0</v>
      </c>
      <c r="F15" s="56">
        <v>47259563</v>
      </c>
      <c r="G15" s="56">
        <v>12033450</v>
      </c>
      <c r="H15" s="56">
        <v>18675405</v>
      </c>
      <c r="I15" s="56">
        <v>2617393</v>
      </c>
      <c r="J15" s="56">
        <v>36000</v>
      </c>
      <c r="K15" s="56">
        <v>0</v>
      </c>
      <c r="L15" s="56">
        <v>347057821</v>
      </c>
      <c r="M15" s="56">
        <v>117241900</v>
      </c>
      <c r="N15" s="56">
        <v>1977</v>
      </c>
      <c r="O15" s="56">
        <v>486</v>
      </c>
      <c r="P15" s="56">
        <v>7333200</v>
      </c>
      <c r="Q15" s="56">
        <v>4300200</v>
      </c>
      <c r="R15" s="56">
        <v>3917650</v>
      </c>
      <c r="S15" s="56">
        <v>4978335</v>
      </c>
      <c r="T15" s="56">
        <v>779500</v>
      </c>
      <c r="U15" s="56">
        <v>347000</v>
      </c>
      <c r="V15" s="56">
        <v>7333200</v>
      </c>
      <c r="W15" s="56">
        <v>4790550</v>
      </c>
      <c r="X15" s="56">
        <v>3917650</v>
      </c>
      <c r="Y15" s="56">
        <v>4978335</v>
      </c>
      <c r="Z15" s="56">
        <v>991510</v>
      </c>
      <c r="AA15" s="56">
        <v>347000</v>
      </c>
      <c r="AB15" s="56">
        <v>-1540200</v>
      </c>
      <c r="AC15" s="56">
        <v>-291190</v>
      </c>
      <c r="AD15" s="56">
        <v>145979</v>
      </c>
      <c r="AE15" s="56">
        <v>0</v>
      </c>
      <c r="AF15" s="56">
        <v>0</v>
      </c>
      <c r="AG15" s="56">
        <v>352713</v>
      </c>
      <c r="AH15" s="56">
        <v>114967</v>
      </c>
      <c r="AI15" s="56">
        <v>1284314</v>
      </c>
      <c r="AJ15" s="56">
        <v>0</v>
      </c>
      <c r="AK15" s="1">
        <v>111866247</v>
      </c>
      <c r="AL15" s="1">
        <v>15079435</v>
      </c>
      <c r="AM15" s="56">
        <v>533500</v>
      </c>
      <c r="AN15" s="56">
        <v>20331618</v>
      </c>
      <c r="AO15" s="56">
        <v>320755</v>
      </c>
      <c r="AP15" s="56">
        <v>12101717</v>
      </c>
      <c r="AQ15" s="56">
        <v>17323458</v>
      </c>
      <c r="AR15" s="56">
        <v>15725570</v>
      </c>
      <c r="AS15" s="56">
        <v>0</v>
      </c>
      <c r="AT15" s="56">
        <v>738288</v>
      </c>
      <c r="AU15" s="56">
        <v>0</v>
      </c>
      <c r="AV15" s="56">
        <v>0</v>
      </c>
      <c r="AW15" s="56">
        <v>1060683</v>
      </c>
      <c r="AX15" s="56">
        <v>0</v>
      </c>
      <c r="AY15" s="56">
        <v>153240</v>
      </c>
      <c r="AZ15" s="1">
        <v>4294245.7421728</v>
      </c>
      <c r="BA15" s="1">
        <v>2190065</v>
      </c>
      <c r="BB15" s="1">
        <v>20492227.98</v>
      </c>
      <c r="BC15" s="15">
        <v>1743503</v>
      </c>
      <c r="BD15" s="15">
        <v>3418633</v>
      </c>
      <c r="BE15" s="20">
        <v>27653712</v>
      </c>
      <c r="BF15" s="20">
        <v>27653712</v>
      </c>
      <c r="BG15" s="20">
        <v>74158829</v>
      </c>
      <c r="BH15" s="20">
        <v>71496765</v>
      </c>
      <c r="BI15" s="63"/>
      <c r="BJ15" s="63"/>
      <c r="BK15" s="63"/>
      <c r="BL15" s="5">
        <v>1054581554</v>
      </c>
      <c r="BM15" s="5">
        <v>824551827</v>
      </c>
      <c r="BN15" s="15">
        <v>2119213</v>
      </c>
      <c r="BO15" s="5"/>
      <c r="BP15" s="1"/>
      <c r="BQ15" s="1"/>
      <c r="BR15" s="5"/>
      <c r="BS15" s="5"/>
      <c r="BT15" s="5"/>
    </row>
    <row r="16" spans="1:72" x14ac:dyDescent="0.25">
      <c r="A16" s="6" t="s">
        <v>70</v>
      </c>
      <c r="B16" s="56">
        <v>3461266765</v>
      </c>
      <c r="C16" s="56">
        <v>233655818</v>
      </c>
      <c r="D16" s="56">
        <v>899012090</v>
      </c>
      <c r="E16" s="56">
        <v>23841565</v>
      </c>
      <c r="F16" s="56">
        <v>179584597</v>
      </c>
      <c r="G16" s="56">
        <v>33978358</v>
      </c>
      <c r="H16" s="56">
        <v>15854439</v>
      </c>
      <c r="I16" s="56">
        <v>2584164</v>
      </c>
      <c r="J16" s="56">
        <v>180000</v>
      </c>
      <c r="K16" s="56">
        <v>0</v>
      </c>
      <c r="L16" s="56">
        <v>357657543</v>
      </c>
      <c r="M16" s="56">
        <v>159693509</v>
      </c>
      <c r="N16" s="56">
        <v>5531</v>
      </c>
      <c r="O16" s="56">
        <v>1061</v>
      </c>
      <c r="P16" s="56">
        <v>42667486</v>
      </c>
      <c r="Q16" s="56">
        <v>2488075</v>
      </c>
      <c r="R16" s="56">
        <v>6293019</v>
      </c>
      <c r="S16" s="56">
        <v>11328735</v>
      </c>
      <c r="T16" s="56">
        <v>6027814</v>
      </c>
      <c r="U16" s="56">
        <v>15904602</v>
      </c>
      <c r="V16" s="56">
        <v>42667486</v>
      </c>
      <c r="W16" s="56">
        <v>3325423</v>
      </c>
      <c r="X16" s="56">
        <v>6293019</v>
      </c>
      <c r="Y16" s="56">
        <v>11328735</v>
      </c>
      <c r="Z16" s="56">
        <v>3029859</v>
      </c>
      <c r="AA16" s="56">
        <v>15904602</v>
      </c>
      <c r="AB16" s="56">
        <v>-5906280</v>
      </c>
      <c r="AC16" s="56">
        <v>-3891464</v>
      </c>
      <c r="AD16" s="56">
        <v>26413</v>
      </c>
      <c r="AE16" s="56">
        <v>556</v>
      </c>
      <c r="AF16" s="56">
        <v>13555273</v>
      </c>
      <c r="AG16" s="56">
        <v>89595</v>
      </c>
      <c r="AH16" s="56">
        <v>0</v>
      </c>
      <c r="AI16" s="56">
        <v>780508</v>
      </c>
      <c r="AJ16" s="56">
        <v>0</v>
      </c>
      <c r="AK16" s="1">
        <v>476633658</v>
      </c>
      <c r="AL16" s="1">
        <v>17393072</v>
      </c>
      <c r="AM16" s="56">
        <v>24400</v>
      </c>
      <c r="AN16" s="56">
        <v>132625191</v>
      </c>
      <c r="AO16" s="56">
        <v>3104421</v>
      </c>
      <c r="AP16" s="56">
        <v>141678372</v>
      </c>
      <c r="AQ16" s="56">
        <v>190827939</v>
      </c>
      <c r="AR16" s="56">
        <v>793657084</v>
      </c>
      <c r="AS16" s="56">
        <v>2093984071</v>
      </c>
      <c r="AT16" s="56">
        <v>537285018</v>
      </c>
      <c r="AU16" s="56">
        <v>0</v>
      </c>
      <c r="AV16" s="56">
        <v>0</v>
      </c>
      <c r="AW16" s="56">
        <v>10276819</v>
      </c>
      <c r="AX16" s="56">
        <v>2592531</v>
      </c>
      <c r="AY16" s="56">
        <v>184300</v>
      </c>
      <c r="AZ16" s="1">
        <v>18296690.121755373</v>
      </c>
      <c r="BA16" s="1">
        <v>9331312</v>
      </c>
      <c r="BB16" s="1"/>
      <c r="BC16" s="15">
        <v>2663701</v>
      </c>
      <c r="BD16" s="15">
        <v>5222943</v>
      </c>
      <c r="BE16" s="20">
        <v>30239232</v>
      </c>
      <c r="BF16" s="20">
        <v>30119481</v>
      </c>
      <c r="BG16" s="20">
        <v>88343657</v>
      </c>
      <c r="BH16" s="20">
        <v>84517535</v>
      </c>
      <c r="BI16" s="20">
        <v>245203727</v>
      </c>
      <c r="BJ16" s="63"/>
      <c r="BK16" s="63"/>
      <c r="BL16" s="5">
        <v>5787135218</v>
      </c>
      <c r="BM16" s="5">
        <v>4921272732</v>
      </c>
      <c r="BN16" s="15">
        <v>2841031</v>
      </c>
      <c r="BO16" s="5"/>
      <c r="BP16" s="1"/>
      <c r="BQ16" s="1"/>
      <c r="BR16" s="5"/>
      <c r="BS16" s="5"/>
      <c r="BT16" s="5"/>
    </row>
    <row r="17" spans="1:72" x14ac:dyDescent="0.25">
      <c r="A17" s="6" t="s">
        <v>71</v>
      </c>
      <c r="B17" s="56">
        <v>175812469</v>
      </c>
      <c r="C17" s="56">
        <v>112964720</v>
      </c>
      <c r="D17" s="56">
        <v>57739860</v>
      </c>
      <c r="E17" s="56">
        <v>0</v>
      </c>
      <c r="F17" s="56">
        <v>21606750</v>
      </c>
      <c r="G17" s="56">
        <v>9020600</v>
      </c>
      <c r="H17" s="56">
        <v>12093660</v>
      </c>
      <c r="I17" s="56">
        <v>3168100</v>
      </c>
      <c r="J17" s="56">
        <v>36000</v>
      </c>
      <c r="K17" s="56">
        <v>0</v>
      </c>
      <c r="L17" s="56">
        <v>234688274</v>
      </c>
      <c r="M17" s="56">
        <v>70321867</v>
      </c>
      <c r="N17" s="56">
        <v>1027</v>
      </c>
      <c r="O17" s="56">
        <v>396</v>
      </c>
      <c r="P17" s="56">
        <v>693800</v>
      </c>
      <c r="Q17" s="56">
        <v>1100500</v>
      </c>
      <c r="R17" s="56">
        <v>38200</v>
      </c>
      <c r="S17" s="56">
        <v>1742810</v>
      </c>
      <c r="T17" s="56">
        <v>283600</v>
      </c>
      <c r="U17" s="56">
        <v>239290</v>
      </c>
      <c r="V17" s="56">
        <v>693800</v>
      </c>
      <c r="W17" s="56">
        <v>1150800</v>
      </c>
      <c r="X17" s="56">
        <v>38200</v>
      </c>
      <c r="Y17" s="56">
        <v>1742810</v>
      </c>
      <c r="Z17" s="56">
        <v>427800</v>
      </c>
      <c r="AA17" s="56">
        <v>239290</v>
      </c>
      <c r="AB17" s="56">
        <v>-1014800</v>
      </c>
      <c r="AC17" s="56">
        <v>0</v>
      </c>
      <c r="AD17" s="56">
        <v>151101</v>
      </c>
      <c r="AE17" s="56">
        <v>84000</v>
      </c>
      <c r="AF17" s="56">
        <v>20035020</v>
      </c>
      <c r="AG17" s="56">
        <v>252372</v>
      </c>
      <c r="AH17" s="56">
        <v>1279680</v>
      </c>
      <c r="AI17" s="56">
        <v>154607</v>
      </c>
      <c r="AJ17" s="56">
        <v>0</v>
      </c>
      <c r="AK17" s="1">
        <v>73114952</v>
      </c>
      <c r="AL17" s="1">
        <v>2077605</v>
      </c>
      <c r="AM17" s="56">
        <v>0</v>
      </c>
      <c r="AN17" s="56">
        <v>12781747</v>
      </c>
      <c r="AO17" s="56">
        <v>838209</v>
      </c>
      <c r="AP17" s="56">
        <v>46496836</v>
      </c>
      <c r="AQ17" s="56">
        <v>9288397</v>
      </c>
      <c r="AR17" s="56">
        <v>19638085</v>
      </c>
      <c r="AS17" s="56">
        <v>0</v>
      </c>
      <c r="AT17" s="56">
        <v>1176274</v>
      </c>
      <c r="AU17" s="56">
        <v>0</v>
      </c>
      <c r="AV17" s="56">
        <v>0</v>
      </c>
      <c r="AW17" s="56">
        <v>0</v>
      </c>
      <c r="AX17" s="56">
        <v>160477</v>
      </c>
      <c r="AY17" s="56">
        <v>74000</v>
      </c>
      <c r="AZ17" s="1">
        <v>2806687.269263343</v>
      </c>
      <c r="BA17" s="1">
        <v>1431411</v>
      </c>
      <c r="BB17" s="1"/>
      <c r="BC17" s="15">
        <v>0</v>
      </c>
      <c r="BD17" s="15">
        <v>0</v>
      </c>
      <c r="BE17" s="20">
        <v>2750969</v>
      </c>
      <c r="BF17" s="20">
        <v>2750969</v>
      </c>
      <c r="BG17" s="20">
        <v>22230062</v>
      </c>
      <c r="BH17" s="20">
        <v>22230062</v>
      </c>
      <c r="BI17" s="63"/>
      <c r="BJ17" s="63"/>
      <c r="BK17" s="63"/>
      <c r="BL17" s="5">
        <v>461967214</v>
      </c>
      <c r="BM17" s="5">
        <v>360362215</v>
      </c>
      <c r="BN17" s="15">
        <v>1184600</v>
      </c>
      <c r="BO17" s="5"/>
      <c r="BP17" s="1"/>
      <c r="BQ17" s="1"/>
      <c r="BR17" s="5"/>
      <c r="BS17" s="5"/>
      <c r="BT17" s="5"/>
    </row>
    <row r="18" spans="1:72" x14ac:dyDescent="0.25">
      <c r="A18" s="6" t="s">
        <v>72</v>
      </c>
      <c r="B18" s="56">
        <v>216680041</v>
      </c>
      <c r="C18" s="56">
        <v>103612435</v>
      </c>
      <c r="D18" s="56">
        <v>77085702</v>
      </c>
      <c r="E18" s="56">
        <v>9296181</v>
      </c>
      <c r="F18" s="56">
        <v>37488147</v>
      </c>
      <c r="G18" s="56">
        <v>9009263</v>
      </c>
      <c r="H18" s="56">
        <v>9969891</v>
      </c>
      <c r="I18" s="56">
        <v>2008114</v>
      </c>
      <c r="J18" s="56">
        <v>88600</v>
      </c>
      <c r="K18" s="56">
        <v>36000</v>
      </c>
      <c r="L18" s="56">
        <v>221452132</v>
      </c>
      <c r="M18" s="56">
        <v>56766926</v>
      </c>
      <c r="N18" s="56">
        <v>1415</v>
      </c>
      <c r="O18" s="56">
        <v>353</v>
      </c>
      <c r="P18" s="56">
        <v>1925608</v>
      </c>
      <c r="Q18" s="56">
        <v>616950</v>
      </c>
      <c r="R18" s="56">
        <v>152000</v>
      </c>
      <c r="S18" s="56">
        <v>2342846</v>
      </c>
      <c r="T18" s="56">
        <v>486374</v>
      </c>
      <c r="U18" s="56">
        <v>1701299</v>
      </c>
      <c r="V18" s="56">
        <v>1925608</v>
      </c>
      <c r="W18" s="56">
        <v>644600</v>
      </c>
      <c r="X18" s="56">
        <v>152000</v>
      </c>
      <c r="Y18" s="56">
        <v>2342846</v>
      </c>
      <c r="Z18" s="56">
        <v>1238495</v>
      </c>
      <c r="AA18" s="56">
        <v>1701299</v>
      </c>
      <c r="AB18" s="56">
        <v>-1882140</v>
      </c>
      <c r="AC18" s="56">
        <v>-2805757</v>
      </c>
      <c r="AD18" s="56">
        <v>25006</v>
      </c>
      <c r="AE18" s="56">
        <v>46564</v>
      </c>
      <c r="AF18" s="56">
        <v>28645911</v>
      </c>
      <c r="AG18" s="56">
        <v>199832</v>
      </c>
      <c r="AH18" s="56">
        <v>166205</v>
      </c>
      <c r="AI18" s="56">
        <v>2797149</v>
      </c>
      <c r="AJ18" s="56">
        <v>0</v>
      </c>
      <c r="AK18" s="1">
        <v>83040021</v>
      </c>
      <c r="AL18" s="1">
        <v>2520602</v>
      </c>
      <c r="AM18" s="56">
        <v>0</v>
      </c>
      <c r="AN18" s="56">
        <v>17507281</v>
      </c>
      <c r="AO18" s="56">
        <v>1197257</v>
      </c>
      <c r="AP18" s="56">
        <v>124007094</v>
      </c>
      <c r="AQ18" s="56">
        <v>35745874</v>
      </c>
      <c r="AR18" s="56">
        <v>31176202</v>
      </c>
      <c r="AS18" s="56">
        <v>8582103</v>
      </c>
      <c r="AT18" s="56">
        <v>902940</v>
      </c>
      <c r="AU18" s="56">
        <v>0</v>
      </c>
      <c r="AV18" s="56">
        <v>2516283</v>
      </c>
      <c r="AW18" s="56">
        <v>0</v>
      </c>
      <c r="AX18" s="56">
        <v>20384</v>
      </c>
      <c r="AY18" s="56">
        <v>948000</v>
      </c>
      <c r="AZ18" s="1">
        <v>3187684.0975025278</v>
      </c>
      <c r="BA18" s="1">
        <v>1625719</v>
      </c>
      <c r="BB18" s="1"/>
      <c r="BC18" s="15">
        <v>1296616</v>
      </c>
      <c r="BD18" s="15">
        <v>2542385</v>
      </c>
      <c r="BE18" s="20">
        <v>16370829</v>
      </c>
      <c r="BF18" s="20">
        <v>13127393</v>
      </c>
      <c r="BG18" s="20">
        <v>24012450</v>
      </c>
      <c r="BH18" s="20">
        <v>22529077</v>
      </c>
      <c r="BI18" s="63"/>
      <c r="BJ18" s="63">
        <v>9746525</v>
      </c>
      <c r="BK18" s="63"/>
      <c r="BL18" s="5">
        <v>588677897</v>
      </c>
      <c r="BM18" s="5">
        <v>454791944</v>
      </c>
      <c r="BN18" s="15">
        <v>399000</v>
      </c>
      <c r="BO18" s="5"/>
      <c r="BP18" s="1"/>
      <c r="BQ18" s="1"/>
      <c r="BR18" s="5"/>
      <c r="BS18" s="5"/>
      <c r="BT18" s="5"/>
    </row>
    <row r="19" spans="1:72" x14ac:dyDescent="0.25">
      <c r="A19" s="6" t="s">
        <v>73</v>
      </c>
      <c r="B19" s="56">
        <v>1215195276</v>
      </c>
      <c r="C19" s="56">
        <v>231093460</v>
      </c>
      <c r="D19" s="56">
        <v>307730788</v>
      </c>
      <c r="E19" s="56">
        <v>0</v>
      </c>
      <c r="F19" s="56">
        <v>94840989</v>
      </c>
      <c r="G19" s="56">
        <v>11619218</v>
      </c>
      <c r="H19" s="56">
        <v>16703800</v>
      </c>
      <c r="I19" s="56">
        <v>1565500</v>
      </c>
      <c r="J19" s="56">
        <v>180000</v>
      </c>
      <c r="K19" s="56">
        <v>0</v>
      </c>
      <c r="L19" s="56">
        <v>437842946</v>
      </c>
      <c r="M19" s="56">
        <v>144046615</v>
      </c>
      <c r="N19" s="56">
        <v>3255</v>
      </c>
      <c r="O19" s="56">
        <v>426</v>
      </c>
      <c r="P19" s="56">
        <v>12879556</v>
      </c>
      <c r="Q19" s="56">
        <v>4236000</v>
      </c>
      <c r="R19" s="56">
        <v>1112000</v>
      </c>
      <c r="S19" s="56">
        <v>4564537</v>
      </c>
      <c r="T19" s="56">
        <v>2126000</v>
      </c>
      <c r="U19" s="56">
        <v>623600</v>
      </c>
      <c r="V19" s="56">
        <v>12879556</v>
      </c>
      <c r="W19" s="56">
        <v>4646000</v>
      </c>
      <c r="X19" s="56">
        <v>1112000</v>
      </c>
      <c r="Y19" s="56">
        <v>4564537</v>
      </c>
      <c r="Z19" s="56">
        <v>4093500</v>
      </c>
      <c r="AA19" s="56">
        <v>623600</v>
      </c>
      <c r="AB19" s="56">
        <v>-5136580</v>
      </c>
      <c r="AC19" s="56">
        <v>-12288904</v>
      </c>
      <c r="AD19" s="56">
        <v>67092</v>
      </c>
      <c r="AE19" s="56">
        <v>4681</v>
      </c>
      <c r="AF19" s="56">
        <v>2340250</v>
      </c>
      <c r="AG19" s="56">
        <v>203510</v>
      </c>
      <c r="AH19" s="56">
        <v>0</v>
      </c>
      <c r="AI19" s="56">
        <v>152787</v>
      </c>
      <c r="AJ19" s="56">
        <v>0</v>
      </c>
      <c r="AK19" s="1">
        <v>224323608</v>
      </c>
      <c r="AL19" s="1">
        <v>11719494</v>
      </c>
      <c r="AM19" s="56">
        <v>175000</v>
      </c>
      <c r="AN19" s="56">
        <v>65601930</v>
      </c>
      <c r="AO19" s="56">
        <v>4441250</v>
      </c>
      <c r="AP19" s="56">
        <v>140558764</v>
      </c>
      <c r="AQ19" s="56">
        <v>67101589</v>
      </c>
      <c r="AR19" s="56">
        <v>61072861</v>
      </c>
      <c r="AS19" s="56">
        <v>98443121</v>
      </c>
      <c r="AT19" s="56">
        <v>1769740</v>
      </c>
      <c r="AU19" s="56">
        <v>0</v>
      </c>
      <c r="AV19" s="56">
        <v>0</v>
      </c>
      <c r="AW19" s="56">
        <v>89910</v>
      </c>
      <c r="AX19" s="56">
        <v>24596</v>
      </c>
      <c r="AY19" s="56">
        <v>3465500</v>
      </c>
      <c r="AZ19" s="1">
        <v>8611182.7683183141</v>
      </c>
      <c r="BA19" s="1">
        <v>4391703</v>
      </c>
      <c r="BB19" s="1">
        <v>8477979.2799999993</v>
      </c>
      <c r="BC19" s="15">
        <v>713491</v>
      </c>
      <c r="BD19" s="15">
        <v>1399003</v>
      </c>
      <c r="BE19" s="20">
        <v>4239577</v>
      </c>
      <c r="BF19" s="20">
        <v>3053874</v>
      </c>
      <c r="BG19" s="20">
        <v>48046355</v>
      </c>
      <c r="BH19" s="20">
        <v>47955482</v>
      </c>
      <c r="BI19" s="63"/>
      <c r="BJ19" s="63">
        <v>9843518</v>
      </c>
      <c r="BK19" s="63"/>
      <c r="BL19" s="5">
        <v>2193318250</v>
      </c>
      <c r="BM19" s="5">
        <v>1891317080</v>
      </c>
      <c r="BN19" s="15">
        <v>2866008</v>
      </c>
      <c r="BO19" s="5"/>
      <c r="BP19" s="1"/>
      <c r="BQ19" s="1"/>
      <c r="BR19" s="5"/>
      <c r="BS19" s="5"/>
      <c r="BT19" s="5"/>
    </row>
    <row r="20" spans="1:72" x14ac:dyDescent="0.25">
      <c r="A20" s="6" t="s">
        <v>74</v>
      </c>
      <c r="B20" s="56">
        <v>4029823527</v>
      </c>
      <c r="C20" s="56">
        <v>170037737</v>
      </c>
      <c r="D20" s="56">
        <v>1020607593</v>
      </c>
      <c r="E20" s="56">
        <v>0</v>
      </c>
      <c r="F20" s="56">
        <v>235536582</v>
      </c>
      <c r="G20" s="56">
        <v>22169887</v>
      </c>
      <c r="H20" s="56">
        <v>13957300</v>
      </c>
      <c r="I20" s="56">
        <v>972000</v>
      </c>
      <c r="J20" s="56">
        <v>677900</v>
      </c>
      <c r="K20" s="56">
        <v>144000</v>
      </c>
      <c r="L20" s="56">
        <v>220705283</v>
      </c>
      <c r="M20" s="56">
        <v>390743020</v>
      </c>
      <c r="N20" s="56">
        <v>7015</v>
      </c>
      <c r="O20" s="56">
        <v>670</v>
      </c>
      <c r="P20" s="56">
        <v>42803043</v>
      </c>
      <c r="Q20" s="56">
        <v>6107810</v>
      </c>
      <c r="R20" s="56">
        <v>8376378</v>
      </c>
      <c r="S20" s="56">
        <v>69745855</v>
      </c>
      <c r="T20" s="56">
        <v>10738655</v>
      </c>
      <c r="U20" s="56">
        <v>17199027</v>
      </c>
      <c r="V20" s="56">
        <v>42803043</v>
      </c>
      <c r="W20" s="56">
        <v>6107810</v>
      </c>
      <c r="X20" s="56">
        <v>8376378</v>
      </c>
      <c r="Y20" s="56">
        <v>69745855</v>
      </c>
      <c r="Z20" s="56">
        <v>10738655</v>
      </c>
      <c r="AA20" s="56">
        <v>17199027</v>
      </c>
      <c r="AB20" s="56">
        <v>-10055040</v>
      </c>
      <c r="AC20" s="56">
        <v>-4867317</v>
      </c>
      <c r="AD20" s="56">
        <v>0</v>
      </c>
      <c r="AE20" s="56">
        <v>0</v>
      </c>
      <c r="AF20" s="56">
        <v>0</v>
      </c>
      <c r="AG20" s="56">
        <v>0</v>
      </c>
      <c r="AH20" s="56">
        <v>0</v>
      </c>
      <c r="AI20" s="56">
        <v>0</v>
      </c>
      <c r="AJ20" s="56">
        <v>0</v>
      </c>
      <c r="AK20" s="1">
        <v>535459902</v>
      </c>
      <c r="AL20" s="1">
        <v>9228668</v>
      </c>
      <c r="AM20" s="56">
        <v>1035266</v>
      </c>
      <c r="AN20" s="56">
        <v>143066700</v>
      </c>
      <c r="AO20" s="56">
        <v>6936154</v>
      </c>
      <c r="AP20" s="56">
        <v>130684922</v>
      </c>
      <c r="AQ20" s="56">
        <v>135317298</v>
      </c>
      <c r="AR20" s="56">
        <v>79892854</v>
      </c>
      <c r="AS20" s="56">
        <v>18142486</v>
      </c>
      <c r="AT20" s="56">
        <v>308978</v>
      </c>
      <c r="AU20" s="56">
        <v>0</v>
      </c>
      <c r="AV20" s="56">
        <v>0</v>
      </c>
      <c r="AW20" s="56">
        <v>11846</v>
      </c>
      <c r="AX20" s="56">
        <v>9241792</v>
      </c>
      <c r="AY20" s="56">
        <v>0</v>
      </c>
      <c r="AZ20" s="1">
        <v>20554872.143585585</v>
      </c>
      <c r="BA20" s="1">
        <v>10482985</v>
      </c>
      <c r="BB20" s="1">
        <v>27111398.960000001</v>
      </c>
      <c r="BC20" s="15">
        <v>2078814</v>
      </c>
      <c r="BD20" s="15">
        <v>4076107</v>
      </c>
      <c r="BE20" s="20">
        <v>83443583</v>
      </c>
      <c r="BF20" s="20">
        <v>83443583</v>
      </c>
      <c r="BG20" s="20">
        <v>132351747</v>
      </c>
      <c r="BH20" s="20">
        <v>126249551</v>
      </c>
      <c r="BI20" s="63"/>
      <c r="BJ20" s="63"/>
      <c r="BK20" s="63"/>
      <c r="BL20" s="5">
        <v>6272732512</v>
      </c>
      <c r="BM20" s="5">
        <v>5505789009</v>
      </c>
      <c r="BN20" s="15">
        <v>8589499</v>
      </c>
      <c r="BO20" s="5"/>
      <c r="BP20" s="1"/>
      <c r="BQ20" s="1"/>
      <c r="BR20" s="5"/>
      <c r="BS20" s="5"/>
      <c r="BT20" s="5"/>
    </row>
    <row r="21" spans="1:72" x14ac:dyDescent="0.25">
      <c r="A21" s="6" t="s">
        <v>75</v>
      </c>
      <c r="B21" s="56">
        <v>73046196</v>
      </c>
      <c r="C21" s="56">
        <v>64111583</v>
      </c>
      <c r="D21" s="56">
        <v>16323427</v>
      </c>
      <c r="E21" s="56">
        <v>0</v>
      </c>
      <c r="F21" s="56">
        <v>12576305</v>
      </c>
      <c r="G21" s="56">
        <v>4416475</v>
      </c>
      <c r="H21" s="56">
        <v>5938248</v>
      </c>
      <c r="I21" s="56">
        <v>960100</v>
      </c>
      <c r="J21" s="56">
        <v>0</v>
      </c>
      <c r="K21" s="56">
        <v>0</v>
      </c>
      <c r="L21" s="56">
        <v>137535288</v>
      </c>
      <c r="M21" s="56">
        <v>27592526</v>
      </c>
      <c r="N21" s="56">
        <v>579</v>
      </c>
      <c r="O21" s="56">
        <v>181</v>
      </c>
      <c r="P21" s="56">
        <v>1747370</v>
      </c>
      <c r="Q21" s="56">
        <v>2975711</v>
      </c>
      <c r="R21" s="56">
        <v>864000</v>
      </c>
      <c r="S21" s="56">
        <v>1013881</v>
      </c>
      <c r="T21" s="56">
        <v>529919</v>
      </c>
      <c r="U21" s="56">
        <v>306000</v>
      </c>
      <c r="V21" s="56">
        <v>1747370</v>
      </c>
      <c r="W21" s="56">
        <v>14834281</v>
      </c>
      <c r="X21" s="56">
        <v>864000</v>
      </c>
      <c r="Y21" s="56">
        <v>1013881</v>
      </c>
      <c r="Z21" s="56">
        <v>1112705</v>
      </c>
      <c r="AA21" s="56">
        <v>306000</v>
      </c>
      <c r="AB21" s="56">
        <v>-1027800</v>
      </c>
      <c r="AC21" s="56">
        <v>0</v>
      </c>
      <c r="AD21" s="56">
        <v>27455</v>
      </c>
      <c r="AE21" s="56">
        <v>69213</v>
      </c>
      <c r="AF21" s="56">
        <v>15804158</v>
      </c>
      <c r="AG21" s="56">
        <v>23633</v>
      </c>
      <c r="AH21" s="56">
        <v>0</v>
      </c>
      <c r="AI21" s="56">
        <v>66106</v>
      </c>
      <c r="AJ21" s="56">
        <v>0</v>
      </c>
      <c r="AK21" s="1">
        <v>34033567</v>
      </c>
      <c r="AL21" s="1">
        <v>1116316</v>
      </c>
      <c r="AM21" s="56">
        <v>135500</v>
      </c>
      <c r="AN21" s="56">
        <v>5177825</v>
      </c>
      <c r="AO21" s="56">
        <v>301250</v>
      </c>
      <c r="AP21" s="56">
        <v>174482</v>
      </c>
      <c r="AQ21" s="56">
        <v>2425115</v>
      </c>
      <c r="AR21" s="56">
        <v>246344</v>
      </c>
      <c r="AS21" s="56">
        <v>0</v>
      </c>
      <c r="AT21" s="56">
        <v>216934</v>
      </c>
      <c r="AU21" s="56">
        <v>0</v>
      </c>
      <c r="AV21" s="56">
        <v>0</v>
      </c>
      <c r="AW21" s="56">
        <v>0</v>
      </c>
      <c r="AX21" s="56">
        <v>400</v>
      </c>
      <c r="AY21" s="56">
        <v>0</v>
      </c>
      <c r="AZ21" s="1">
        <v>1306457.5249467581</v>
      </c>
      <c r="BA21" s="1">
        <v>666293</v>
      </c>
      <c r="BB21" s="1">
        <v>11334196.890000001</v>
      </c>
      <c r="BC21" s="15">
        <v>722300</v>
      </c>
      <c r="BD21" s="15">
        <v>1416274</v>
      </c>
      <c r="BE21" s="20">
        <v>10583210</v>
      </c>
      <c r="BF21" s="20">
        <v>10583210</v>
      </c>
      <c r="BG21" s="20">
        <v>19397501</v>
      </c>
      <c r="BH21" s="20">
        <v>16099775</v>
      </c>
      <c r="BI21" s="63"/>
      <c r="BJ21" s="63"/>
      <c r="BK21" s="63"/>
      <c r="BL21" s="5">
        <v>224672963</v>
      </c>
      <c r="BM21" s="5">
        <v>161451502</v>
      </c>
      <c r="BN21" s="15">
        <v>287450</v>
      </c>
      <c r="BO21" s="5"/>
      <c r="BP21" s="1"/>
      <c r="BQ21" s="1"/>
      <c r="BR21" s="5"/>
      <c r="BS21" s="5"/>
      <c r="BT21" s="5"/>
    </row>
    <row r="22" spans="1:72" x14ac:dyDescent="0.25">
      <c r="A22" s="6" t="s">
        <v>76</v>
      </c>
      <c r="B22" s="56">
        <v>225882740</v>
      </c>
      <c r="C22" s="56">
        <v>58701250</v>
      </c>
      <c r="D22" s="56">
        <v>192584587</v>
      </c>
      <c r="E22" s="56">
        <v>1156582291</v>
      </c>
      <c r="F22" s="56">
        <v>22599800</v>
      </c>
      <c r="G22" s="56">
        <v>3147600</v>
      </c>
      <c r="H22" s="56">
        <v>5043700</v>
      </c>
      <c r="I22" s="56">
        <v>504000</v>
      </c>
      <c r="J22" s="56">
        <v>107000</v>
      </c>
      <c r="K22" s="56">
        <v>0</v>
      </c>
      <c r="L22" s="56">
        <v>124698990</v>
      </c>
      <c r="M22" s="56">
        <v>41869900</v>
      </c>
      <c r="N22" s="56">
        <v>809</v>
      </c>
      <c r="O22" s="56">
        <v>120</v>
      </c>
      <c r="P22" s="56">
        <v>1243100</v>
      </c>
      <c r="Q22" s="56">
        <v>483500</v>
      </c>
      <c r="R22" s="56">
        <v>1221500</v>
      </c>
      <c r="S22" s="56">
        <v>1772400</v>
      </c>
      <c r="T22" s="56">
        <v>287400</v>
      </c>
      <c r="U22" s="56">
        <v>2236400</v>
      </c>
      <c r="V22" s="56">
        <v>1243100</v>
      </c>
      <c r="W22" s="56">
        <v>526000</v>
      </c>
      <c r="X22" s="56">
        <v>1221500</v>
      </c>
      <c r="Y22" s="56">
        <v>1772400</v>
      </c>
      <c r="Z22" s="56">
        <v>627400</v>
      </c>
      <c r="AA22" s="56">
        <v>2236400</v>
      </c>
      <c r="AB22" s="56">
        <v>-916900</v>
      </c>
      <c r="AC22" s="56">
        <v>-39000</v>
      </c>
      <c r="AD22" s="56">
        <v>22491</v>
      </c>
      <c r="AE22" s="56">
        <v>0</v>
      </c>
      <c r="AF22" s="56">
        <v>0</v>
      </c>
      <c r="AG22" s="56">
        <v>68004</v>
      </c>
      <c r="AH22" s="56">
        <v>0</v>
      </c>
      <c r="AI22" s="56">
        <v>487787</v>
      </c>
      <c r="AJ22" s="56">
        <v>0</v>
      </c>
      <c r="AK22" s="1">
        <v>59777866</v>
      </c>
      <c r="AL22" s="1">
        <v>1989666</v>
      </c>
      <c r="AM22" s="56">
        <v>0</v>
      </c>
      <c r="AN22" s="56">
        <v>36163703</v>
      </c>
      <c r="AO22" s="56">
        <v>2642331</v>
      </c>
      <c r="AP22" s="56">
        <v>101731199</v>
      </c>
      <c r="AQ22" s="56">
        <v>21859228</v>
      </c>
      <c r="AR22" s="56">
        <v>22927512</v>
      </c>
      <c r="AS22" s="56">
        <v>13682945</v>
      </c>
      <c r="AT22" s="56">
        <v>615130007</v>
      </c>
      <c r="AU22" s="56">
        <v>1275</v>
      </c>
      <c r="AV22" s="56">
        <v>0</v>
      </c>
      <c r="AW22" s="56">
        <v>0</v>
      </c>
      <c r="AX22" s="56">
        <v>0</v>
      </c>
      <c r="AY22" s="56">
        <v>13000</v>
      </c>
      <c r="AZ22" s="1">
        <v>2294712.2427972052</v>
      </c>
      <c r="BA22" s="1">
        <v>1170303</v>
      </c>
      <c r="BB22" s="1">
        <v>20650906.739999998</v>
      </c>
      <c r="BC22" s="15">
        <v>1872107</v>
      </c>
      <c r="BD22" s="15">
        <v>3670799</v>
      </c>
      <c r="BE22" s="20">
        <v>48023214</v>
      </c>
      <c r="BF22" s="20">
        <v>48023214</v>
      </c>
      <c r="BG22" s="20">
        <v>38373654</v>
      </c>
      <c r="BH22" s="20">
        <v>36394973</v>
      </c>
      <c r="BI22" s="63"/>
      <c r="BJ22" s="63"/>
      <c r="BK22" s="63"/>
      <c r="BL22" s="5">
        <v>687549755</v>
      </c>
      <c r="BM22" s="5">
        <v>538321626</v>
      </c>
      <c r="BN22" s="15">
        <v>747415</v>
      </c>
      <c r="BO22" s="5"/>
      <c r="BP22" s="1"/>
      <c r="BQ22" s="1"/>
      <c r="BR22" s="5"/>
      <c r="BS22" s="5"/>
      <c r="BT22" s="5"/>
    </row>
    <row r="23" spans="1:72" x14ac:dyDescent="0.25">
      <c r="A23" s="6" t="s">
        <v>77</v>
      </c>
      <c r="B23" s="40">
        <v>372495036</v>
      </c>
      <c r="C23" s="40">
        <v>126652918</v>
      </c>
      <c r="D23" s="40">
        <v>140974567</v>
      </c>
      <c r="E23" s="40">
        <v>0</v>
      </c>
      <c r="F23" s="40">
        <v>47034370</v>
      </c>
      <c r="G23" s="40">
        <v>30881100</v>
      </c>
      <c r="H23" s="40">
        <v>19555300</v>
      </c>
      <c r="I23" s="40">
        <v>7528750</v>
      </c>
      <c r="J23" s="40">
        <v>174000</v>
      </c>
      <c r="K23" s="40">
        <v>66000</v>
      </c>
      <c r="L23" s="40">
        <v>57343961</v>
      </c>
      <c r="M23" s="40">
        <v>48866350</v>
      </c>
      <c r="N23" s="40">
        <v>2235</v>
      </c>
      <c r="O23" s="40">
        <v>1377</v>
      </c>
      <c r="P23" s="40">
        <v>3153400</v>
      </c>
      <c r="Q23" s="40">
        <v>922050</v>
      </c>
      <c r="R23" s="40">
        <v>547500</v>
      </c>
      <c r="S23" s="40">
        <v>1420480</v>
      </c>
      <c r="T23" s="40">
        <v>209500</v>
      </c>
      <c r="U23" s="40">
        <v>678000</v>
      </c>
      <c r="V23" s="40">
        <v>3153400</v>
      </c>
      <c r="W23" s="40">
        <v>950750</v>
      </c>
      <c r="X23" s="40">
        <v>547500</v>
      </c>
      <c r="Y23" s="40">
        <v>1420480</v>
      </c>
      <c r="Z23" s="40">
        <v>151300</v>
      </c>
      <c r="AA23" s="40">
        <v>678000</v>
      </c>
      <c r="AB23" s="40">
        <v>-6453600</v>
      </c>
      <c r="AC23" s="40">
        <v>-328860</v>
      </c>
      <c r="AD23" s="40">
        <v>144796</v>
      </c>
      <c r="AE23" s="40">
        <v>0</v>
      </c>
      <c r="AF23" s="40">
        <v>0</v>
      </c>
      <c r="AG23" s="40">
        <v>220762</v>
      </c>
      <c r="AH23" s="40">
        <v>0</v>
      </c>
      <c r="AI23" s="40">
        <v>1294787</v>
      </c>
      <c r="AJ23" s="46">
        <v>56000</v>
      </c>
      <c r="AK23" s="1">
        <v>159284542</v>
      </c>
      <c r="AL23" s="1">
        <v>4369782</v>
      </c>
      <c r="AM23" s="40">
        <v>352850</v>
      </c>
      <c r="AN23" s="40">
        <v>21069689</v>
      </c>
      <c r="AO23" s="40">
        <v>2200978</v>
      </c>
      <c r="AP23" s="40">
        <v>30798364</v>
      </c>
      <c r="AQ23" s="40">
        <v>32827544</v>
      </c>
      <c r="AR23" s="40">
        <v>6442502</v>
      </c>
      <c r="AS23" s="40">
        <v>2207469</v>
      </c>
      <c r="AT23" s="40">
        <v>464403</v>
      </c>
      <c r="AU23" s="3"/>
      <c r="AV23" s="3"/>
      <c r="AW23" s="3"/>
      <c r="AX23" s="40">
        <v>817469</v>
      </c>
      <c r="AY23" s="40">
        <v>36900</v>
      </c>
      <c r="AZ23" s="1">
        <v>6114507.1424220074</v>
      </c>
      <c r="BA23" s="1">
        <v>3118399</v>
      </c>
      <c r="BB23" s="1"/>
      <c r="BC23" s="15">
        <v>0</v>
      </c>
      <c r="BD23" s="15">
        <v>0</v>
      </c>
      <c r="BE23" s="20">
        <v>29146689</v>
      </c>
      <c r="BF23" s="20">
        <v>29146689</v>
      </c>
      <c r="BG23" s="20">
        <v>55518486</v>
      </c>
      <c r="BH23" s="20">
        <v>54799231</v>
      </c>
      <c r="BI23" s="63"/>
      <c r="BJ23" s="44"/>
      <c r="BK23" s="44"/>
      <c r="BL23" s="5">
        <v>948290162</v>
      </c>
      <c r="BM23" s="5">
        <v>697571519</v>
      </c>
      <c r="BN23" s="15">
        <v>13955291</v>
      </c>
      <c r="BO23" s="5"/>
      <c r="BP23" s="1"/>
      <c r="BQ23" s="1"/>
      <c r="BR23" s="5"/>
      <c r="BS23" s="5"/>
      <c r="BT23" s="5"/>
    </row>
    <row r="24" spans="1:72" x14ac:dyDescent="0.25">
      <c r="A24" s="6" t="s">
        <v>78</v>
      </c>
      <c r="B24" s="56">
        <v>210164627</v>
      </c>
      <c r="C24" s="56">
        <v>167064850</v>
      </c>
      <c r="D24" s="56">
        <v>59089300</v>
      </c>
      <c r="E24" s="56">
        <v>0</v>
      </c>
      <c r="F24" s="56">
        <v>37943200</v>
      </c>
      <c r="G24" s="56">
        <v>9476100</v>
      </c>
      <c r="H24" s="56">
        <v>21134300</v>
      </c>
      <c r="I24" s="56">
        <v>2966300</v>
      </c>
      <c r="J24" s="56">
        <v>36000</v>
      </c>
      <c r="K24" s="56">
        <v>0</v>
      </c>
      <c r="L24" s="56">
        <v>280546070</v>
      </c>
      <c r="M24" s="56">
        <v>99870000</v>
      </c>
      <c r="N24" s="56">
        <v>1789</v>
      </c>
      <c r="O24" s="56">
        <v>422</v>
      </c>
      <c r="P24" s="56">
        <v>899500</v>
      </c>
      <c r="Q24" s="56">
        <v>902500</v>
      </c>
      <c r="R24" s="56">
        <v>740000</v>
      </c>
      <c r="S24" s="56">
        <v>78500</v>
      </c>
      <c r="T24" s="56">
        <v>126000</v>
      </c>
      <c r="U24" s="56">
        <v>0</v>
      </c>
      <c r="V24" s="56">
        <v>899500</v>
      </c>
      <c r="W24" s="56">
        <v>902500</v>
      </c>
      <c r="X24" s="56">
        <v>740000</v>
      </c>
      <c r="Y24" s="56">
        <v>78500</v>
      </c>
      <c r="Z24" s="56">
        <v>126000</v>
      </c>
      <c r="AA24" s="56">
        <v>0</v>
      </c>
      <c r="AB24" s="56">
        <v>-2192600</v>
      </c>
      <c r="AC24" s="56">
        <v>0</v>
      </c>
      <c r="AD24" s="56">
        <v>147228</v>
      </c>
      <c r="AE24" s="56">
        <v>0</v>
      </c>
      <c r="AF24" s="56">
        <v>0</v>
      </c>
      <c r="AG24" s="56">
        <v>266043</v>
      </c>
      <c r="AH24" s="56">
        <v>42984</v>
      </c>
      <c r="AI24" s="56">
        <v>93336</v>
      </c>
      <c r="AJ24" s="56">
        <v>0</v>
      </c>
      <c r="AK24" s="1">
        <v>76706536</v>
      </c>
      <c r="AL24" s="1">
        <v>2081050</v>
      </c>
      <c r="AM24" s="56">
        <v>0</v>
      </c>
      <c r="AN24" s="56">
        <v>9176955</v>
      </c>
      <c r="AO24" s="56">
        <v>66868</v>
      </c>
      <c r="AP24" s="56">
        <v>14222619</v>
      </c>
      <c r="AQ24" s="56">
        <v>12556517</v>
      </c>
      <c r="AR24" s="56">
        <v>11004637</v>
      </c>
      <c r="AS24" s="56">
        <v>0</v>
      </c>
      <c r="AT24" s="56">
        <v>0</v>
      </c>
      <c r="AU24" s="56">
        <v>0</v>
      </c>
      <c r="AV24" s="56">
        <v>0</v>
      </c>
      <c r="AW24" s="56">
        <v>12388</v>
      </c>
      <c r="AX24" s="56">
        <v>0</v>
      </c>
      <c r="AY24" s="56">
        <v>0</v>
      </c>
      <c r="AZ24" s="1">
        <v>2944558.5638966202</v>
      </c>
      <c r="BA24" s="1">
        <v>1501725</v>
      </c>
      <c r="BB24" s="1"/>
      <c r="BC24" s="15">
        <v>0</v>
      </c>
      <c r="BD24" s="15">
        <v>0</v>
      </c>
      <c r="BE24" s="20">
        <v>18454275</v>
      </c>
      <c r="BF24" s="20">
        <v>18454275</v>
      </c>
      <c r="BG24" s="20">
        <v>45140649</v>
      </c>
      <c r="BH24" s="20">
        <v>44949005</v>
      </c>
      <c r="BI24" s="63"/>
      <c r="BJ24" s="63"/>
      <c r="BK24" s="63"/>
      <c r="BL24" s="5">
        <v>601948028</v>
      </c>
      <c r="BM24" s="5">
        <v>458255437</v>
      </c>
      <c r="BN24" s="15">
        <v>636000</v>
      </c>
      <c r="BO24" s="5"/>
      <c r="BP24" s="1"/>
      <c r="BQ24" s="1"/>
      <c r="BR24" s="5"/>
      <c r="BS24" s="5"/>
      <c r="BT24" s="5"/>
    </row>
    <row r="25" spans="1:72" x14ac:dyDescent="0.25">
      <c r="A25" s="6" t="s">
        <v>79</v>
      </c>
      <c r="B25" s="56">
        <v>1634611311</v>
      </c>
      <c r="C25" s="56">
        <v>317813886</v>
      </c>
      <c r="D25" s="56">
        <v>654272591</v>
      </c>
      <c r="E25" s="56">
        <v>31610914</v>
      </c>
      <c r="F25" s="56">
        <v>111447125</v>
      </c>
      <c r="G25" s="56">
        <v>16950947</v>
      </c>
      <c r="H25" s="56">
        <v>15531963</v>
      </c>
      <c r="I25" s="56">
        <v>1615491</v>
      </c>
      <c r="J25" s="56">
        <v>108000</v>
      </c>
      <c r="K25" s="56">
        <v>0</v>
      </c>
      <c r="L25" s="56">
        <v>1094946968</v>
      </c>
      <c r="M25" s="56">
        <v>188422423</v>
      </c>
      <c r="N25" s="56">
        <v>3661</v>
      </c>
      <c r="O25" s="56">
        <v>561</v>
      </c>
      <c r="P25" s="56">
        <v>22680799</v>
      </c>
      <c r="Q25" s="56">
        <v>6111561</v>
      </c>
      <c r="R25" s="56">
        <v>15205620</v>
      </c>
      <c r="S25" s="56">
        <v>13218089</v>
      </c>
      <c r="T25" s="56">
        <v>4021675</v>
      </c>
      <c r="U25" s="56">
        <v>24313820</v>
      </c>
      <c r="V25" s="56">
        <v>22680799</v>
      </c>
      <c r="W25" s="56">
        <v>6283607</v>
      </c>
      <c r="X25" s="56">
        <v>15205620</v>
      </c>
      <c r="Y25" s="56">
        <v>13218089</v>
      </c>
      <c r="Z25" s="56">
        <v>6942344</v>
      </c>
      <c r="AA25" s="56">
        <v>24313820</v>
      </c>
      <c r="AB25" s="56">
        <v>-6831168</v>
      </c>
      <c r="AC25" s="56">
        <v>-6842346</v>
      </c>
      <c r="AD25" s="56">
        <v>45992</v>
      </c>
      <c r="AE25" s="56">
        <v>2835</v>
      </c>
      <c r="AF25" s="56">
        <v>189967886</v>
      </c>
      <c r="AG25" s="56">
        <v>408125</v>
      </c>
      <c r="AH25" s="56">
        <v>2576443</v>
      </c>
      <c r="AI25" s="56">
        <v>2890212</v>
      </c>
      <c r="AJ25" s="56">
        <v>0</v>
      </c>
      <c r="AK25" s="1">
        <v>308529744</v>
      </c>
      <c r="AL25" s="1">
        <v>8608887</v>
      </c>
      <c r="AM25" s="56">
        <v>20000</v>
      </c>
      <c r="AN25" s="56">
        <v>146778139</v>
      </c>
      <c r="AO25" s="56">
        <v>19261047</v>
      </c>
      <c r="AP25" s="56">
        <v>433700354</v>
      </c>
      <c r="AQ25" s="56">
        <v>174513837</v>
      </c>
      <c r="AR25" s="56">
        <v>168297066</v>
      </c>
      <c r="AS25" s="56">
        <v>54724675</v>
      </c>
      <c r="AT25" s="56">
        <v>1952880</v>
      </c>
      <c r="AU25" s="56">
        <v>19448436</v>
      </c>
      <c r="AV25" s="56">
        <v>3803941</v>
      </c>
      <c r="AW25" s="56">
        <v>221109981</v>
      </c>
      <c r="AX25" s="56">
        <v>2119016</v>
      </c>
      <c r="AY25" s="56">
        <v>1397000</v>
      </c>
      <c r="AZ25" s="1">
        <v>11843630.898832817</v>
      </c>
      <c r="BA25" s="1">
        <v>6040252</v>
      </c>
      <c r="BB25" s="1"/>
      <c r="BC25" s="15">
        <v>1977810</v>
      </c>
      <c r="BD25" s="15">
        <v>3878058</v>
      </c>
      <c r="BE25" s="20">
        <v>27630565</v>
      </c>
      <c r="BF25" s="20">
        <v>27630565</v>
      </c>
      <c r="BG25" s="20">
        <v>75990408</v>
      </c>
      <c r="BH25" s="20">
        <v>70769482</v>
      </c>
      <c r="BI25" s="63">
        <v>1063</v>
      </c>
      <c r="BJ25" s="63">
        <v>17563881</v>
      </c>
      <c r="BK25" s="63"/>
      <c r="BL25" s="5">
        <v>3393839150</v>
      </c>
      <c r="BM25" s="5">
        <v>2952717466</v>
      </c>
      <c r="BN25" s="15">
        <v>4808463</v>
      </c>
      <c r="BO25" s="5"/>
      <c r="BP25" s="1"/>
      <c r="BQ25" s="1"/>
      <c r="BR25" s="5"/>
      <c r="BS25" s="5"/>
      <c r="BT25" s="5"/>
    </row>
    <row r="26" spans="1:72" x14ac:dyDescent="0.25">
      <c r="A26" s="6" t="s">
        <v>80</v>
      </c>
      <c r="B26" s="56">
        <v>1401143420</v>
      </c>
      <c r="C26" s="56">
        <v>242303100</v>
      </c>
      <c r="D26" s="56">
        <v>548982200</v>
      </c>
      <c r="E26" s="56">
        <v>0</v>
      </c>
      <c r="F26" s="56">
        <v>86330000</v>
      </c>
      <c r="G26" s="56">
        <v>15387700</v>
      </c>
      <c r="H26" s="56">
        <v>12521900</v>
      </c>
      <c r="I26" s="56">
        <v>2226700</v>
      </c>
      <c r="J26" s="56">
        <v>108000</v>
      </c>
      <c r="K26" s="56">
        <v>36000</v>
      </c>
      <c r="L26" s="56">
        <v>484909740</v>
      </c>
      <c r="M26" s="56">
        <v>0</v>
      </c>
      <c r="N26" s="56">
        <v>2818</v>
      </c>
      <c r="O26" s="56">
        <v>514</v>
      </c>
      <c r="P26" s="56">
        <v>6114492</v>
      </c>
      <c r="Q26" s="56">
        <v>2114500</v>
      </c>
      <c r="R26" s="56">
        <v>37359300</v>
      </c>
      <c r="S26" s="56">
        <v>8571197</v>
      </c>
      <c r="T26" s="56">
        <v>1627000</v>
      </c>
      <c r="U26" s="56">
        <v>3379100</v>
      </c>
      <c r="V26" s="56">
        <v>6114492</v>
      </c>
      <c r="W26" s="56">
        <v>3599800</v>
      </c>
      <c r="X26" s="56">
        <v>37359300</v>
      </c>
      <c r="Y26" s="56">
        <v>8571197</v>
      </c>
      <c r="Z26" s="56">
        <v>2892040</v>
      </c>
      <c r="AA26" s="56">
        <v>3379100</v>
      </c>
      <c r="AB26" s="56">
        <v>-5389900</v>
      </c>
      <c r="AC26" s="56">
        <v>-117423</v>
      </c>
      <c r="AD26" s="56">
        <v>0</v>
      </c>
      <c r="AE26" s="56">
        <v>0</v>
      </c>
      <c r="AF26" s="56">
        <v>0</v>
      </c>
      <c r="AG26" s="56">
        <v>0</v>
      </c>
      <c r="AH26" s="56">
        <v>0</v>
      </c>
      <c r="AI26" s="56">
        <v>0</v>
      </c>
      <c r="AJ26" s="56">
        <v>0</v>
      </c>
      <c r="AK26" s="1">
        <v>231516944</v>
      </c>
      <c r="AL26" s="1">
        <v>4628767</v>
      </c>
      <c r="AM26" s="56">
        <v>0</v>
      </c>
      <c r="AN26" s="56">
        <v>81972285</v>
      </c>
      <c r="AO26" s="56">
        <v>9877281</v>
      </c>
      <c r="AP26" s="56">
        <v>245584926</v>
      </c>
      <c r="AQ26" s="56">
        <v>96302287</v>
      </c>
      <c r="AR26" s="56">
        <v>85576991</v>
      </c>
      <c r="AS26" s="56">
        <v>38923505</v>
      </c>
      <c r="AT26" s="56">
        <v>958093</v>
      </c>
      <c r="AU26" s="56">
        <v>0</v>
      </c>
      <c r="AV26" s="56">
        <v>3694281</v>
      </c>
      <c r="AW26" s="56">
        <v>2606017</v>
      </c>
      <c r="AX26" s="56">
        <v>1488645</v>
      </c>
      <c r="AY26" s="56">
        <v>79900</v>
      </c>
      <c r="AZ26" s="1">
        <v>8887315.6798838396</v>
      </c>
      <c r="BA26" s="1">
        <v>4532531</v>
      </c>
      <c r="BB26" s="1"/>
      <c r="BC26" s="15">
        <v>3004885</v>
      </c>
      <c r="BD26" s="15">
        <v>5891931</v>
      </c>
      <c r="BE26" s="20">
        <v>73634497</v>
      </c>
      <c r="BF26" s="20">
        <v>73061108</v>
      </c>
      <c r="BG26" s="20">
        <v>119389473</v>
      </c>
      <c r="BH26" s="20">
        <v>114616859</v>
      </c>
      <c r="BI26" s="63"/>
      <c r="BJ26" s="63"/>
      <c r="BK26" s="63"/>
      <c r="BL26" s="5">
        <v>2811941667</v>
      </c>
      <c r="BM26" s="5">
        <v>2380580573</v>
      </c>
      <c r="BN26" s="15">
        <v>2446300</v>
      </c>
      <c r="BO26" s="5"/>
      <c r="BP26" s="1"/>
      <c r="BQ26" s="1"/>
      <c r="BR26" s="5"/>
      <c r="BS26" s="5"/>
      <c r="BT26" s="5"/>
    </row>
    <row r="27" spans="1:72" x14ac:dyDescent="0.25">
      <c r="A27" s="6" t="s">
        <v>81</v>
      </c>
      <c r="B27" s="40">
        <v>189352500</v>
      </c>
      <c r="C27" s="40">
        <v>68462030</v>
      </c>
      <c r="D27" s="40">
        <v>70441700</v>
      </c>
      <c r="E27" s="40">
        <v>0</v>
      </c>
      <c r="F27" s="40">
        <v>40676800</v>
      </c>
      <c r="G27" s="40">
        <v>27715000</v>
      </c>
      <c r="H27" s="40">
        <v>12615800</v>
      </c>
      <c r="I27" s="40">
        <v>4360900</v>
      </c>
      <c r="J27" s="40">
        <v>71000</v>
      </c>
      <c r="K27" s="40">
        <v>36000</v>
      </c>
      <c r="L27" s="40">
        <v>68185850</v>
      </c>
      <c r="M27" s="40">
        <v>47192790</v>
      </c>
      <c r="N27" s="40">
        <v>1681</v>
      </c>
      <c r="O27" s="40">
        <v>1158</v>
      </c>
      <c r="P27" s="40">
        <v>4633800</v>
      </c>
      <c r="Q27" s="40">
        <v>1028500</v>
      </c>
      <c r="R27" s="40">
        <v>695000</v>
      </c>
      <c r="S27" s="40">
        <v>6387000</v>
      </c>
      <c r="T27" s="40">
        <v>809700</v>
      </c>
      <c r="U27" s="40">
        <v>1353700</v>
      </c>
      <c r="V27" s="40">
        <v>4633800</v>
      </c>
      <c r="W27" s="40">
        <v>1028500</v>
      </c>
      <c r="X27" s="40">
        <v>695000</v>
      </c>
      <c r="Y27" s="40">
        <v>6387000</v>
      </c>
      <c r="Z27" s="40">
        <v>809700</v>
      </c>
      <c r="AA27" s="40">
        <v>1353700</v>
      </c>
      <c r="AB27" s="40">
        <v>-2763200</v>
      </c>
      <c r="AC27" s="40">
        <v>-364942</v>
      </c>
      <c r="AD27" s="40">
        <v>183445</v>
      </c>
      <c r="AE27" s="40">
        <v>0</v>
      </c>
      <c r="AF27" s="40">
        <v>0</v>
      </c>
      <c r="AG27" s="40">
        <v>217011</v>
      </c>
      <c r="AH27" s="40">
        <v>3022902</v>
      </c>
      <c r="AI27" s="40">
        <v>21639570</v>
      </c>
      <c r="AJ27" s="46">
        <v>5950132</v>
      </c>
      <c r="AK27" s="1">
        <v>96000152</v>
      </c>
      <c r="AL27" s="1">
        <v>2309108</v>
      </c>
      <c r="AM27" s="40">
        <v>0</v>
      </c>
      <c r="AN27" s="40">
        <v>30927304</v>
      </c>
      <c r="AO27" s="40">
        <v>234761</v>
      </c>
      <c r="AP27" s="40">
        <v>9469476</v>
      </c>
      <c r="AQ27" s="40">
        <v>11645596</v>
      </c>
      <c r="AR27" s="40">
        <v>822336</v>
      </c>
      <c r="AS27" s="40">
        <v>0</v>
      </c>
      <c r="AT27" s="40">
        <v>177418</v>
      </c>
      <c r="AU27" s="40">
        <v>0</v>
      </c>
      <c r="AV27" s="40">
        <v>0</v>
      </c>
      <c r="AW27" s="40">
        <v>0</v>
      </c>
      <c r="AX27" s="40">
        <v>509326</v>
      </c>
      <c r="AY27" s="40">
        <v>0</v>
      </c>
      <c r="AZ27" s="1">
        <v>3685188.8306750967</v>
      </c>
      <c r="BA27" s="1">
        <v>1879446</v>
      </c>
      <c r="BB27" s="1"/>
      <c r="BC27" s="15">
        <v>626580</v>
      </c>
      <c r="BD27" s="15">
        <v>1228589</v>
      </c>
      <c r="BE27" s="20">
        <v>11701974</v>
      </c>
      <c r="BF27" s="20">
        <v>11701974</v>
      </c>
      <c r="BG27" s="20">
        <v>42203725</v>
      </c>
      <c r="BH27" s="20">
        <v>41528767</v>
      </c>
      <c r="BI27" s="63"/>
      <c r="BJ27" s="44"/>
      <c r="BK27" s="44"/>
      <c r="BL27" s="5">
        <v>555722522</v>
      </c>
      <c r="BM27" s="5">
        <v>401676495</v>
      </c>
      <c r="BN27" s="15">
        <v>504700</v>
      </c>
      <c r="BO27" s="5"/>
      <c r="BP27" s="1"/>
      <c r="BQ27" s="1"/>
      <c r="BR27" s="5"/>
      <c r="BS27" s="5"/>
      <c r="BT27" s="5"/>
    </row>
    <row r="28" spans="1:72" x14ac:dyDescent="0.25">
      <c r="A28" s="6" t="s">
        <v>82</v>
      </c>
      <c r="B28" s="56">
        <v>191438619</v>
      </c>
      <c r="C28" s="56">
        <v>71446004</v>
      </c>
      <c r="D28" s="56">
        <v>106614575</v>
      </c>
      <c r="E28" s="56">
        <v>0</v>
      </c>
      <c r="F28" s="56">
        <v>26584100</v>
      </c>
      <c r="G28" s="56">
        <v>9690000</v>
      </c>
      <c r="H28" s="56">
        <v>9516450</v>
      </c>
      <c r="I28" s="56">
        <v>1379950</v>
      </c>
      <c r="J28" s="56">
        <v>36000</v>
      </c>
      <c r="K28" s="56">
        <v>0</v>
      </c>
      <c r="L28" s="56">
        <v>136301095</v>
      </c>
      <c r="M28" s="56">
        <v>46782100</v>
      </c>
      <c r="N28" s="56">
        <v>1113</v>
      </c>
      <c r="O28" s="56">
        <v>367</v>
      </c>
      <c r="P28" s="56">
        <v>1359600</v>
      </c>
      <c r="Q28" s="56">
        <v>373760</v>
      </c>
      <c r="R28" s="56">
        <v>3517500</v>
      </c>
      <c r="S28" s="56">
        <v>4508512</v>
      </c>
      <c r="T28" s="56">
        <v>740850</v>
      </c>
      <c r="U28" s="56">
        <v>2365500</v>
      </c>
      <c r="V28" s="56">
        <v>1359600</v>
      </c>
      <c r="W28" s="56">
        <v>655013</v>
      </c>
      <c r="X28" s="56">
        <v>3517500</v>
      </c>
      <c r="Y28" s="56">
        <v>4508512</v>
      </c>
      <c r="Z28" s="56">
        <v>2494167</v>
      </c>
      <c r="AA28" s="56">
        <v>2365500</v>
      </c>
      <c r="AB28" s="56">
        <v>-3975463</v>
      </c>
      <c r="AC28" s="56">
        <v>-3984546</v>
      </c>
      <c r="AD28" s="56">
        <v>48476</v>
      </c>
      <c r="AE28" s="56">
        <v>0</v>
      </c>
      <c r="AF28" s="56">
        <v>0</v>
      </c>
      <c r="AG28" s="56">
        <v>97493</v>
      </c>
      <c r="AH28" s="56">
        <v>9158787</v>
      </c>
      <c r="AI28" s="56">
        <v>269951</v>
      </c>
      <c r="AJ28" s="56">
        <v>0</v>
      </c>
      <c r="AK28" s="1">
        <v>46628069</v>
      </c>
      <c r="AL28" s="1">
        <v>8094747</v>
      </c>
      <c r="AM28" s="56">
        <v>9858865</v>
      </c>
      <c r="AN28" s="56">
        <v>13082106</v>
      </c>
      <c r="AO28" s="56">
        <v>104323</v>
      </c>
      <c r="AP28" s="56">
        <v>16007972</v>
      </c>
      <c r="AQ28" s="56">
        <v>10261129</v>
      </c>
      <c r="AR28" s="56">
        <v>1954204</v>
      </c>
      <c r="AS28" s="56">
        <v>38657</v>
      </c>
      <c r="AT28" s="56">
        <v>58917</v>
      </c>
      <c r="AU28" s="56">
        <v>0</v>
      </c>
      <c r="AV28" s="56">
        <v>0</v>
      </c>
      <c r="AW28" s="56">
        <v>0</v>
      </c>
      <c r="AX28" s="56">
        <v>1590</v>
      </c>
      <c r="AY28" s="56">
        <v>20000</v>
      </c>
      <c r="AZ28" s="1">
        <v>1789926.739644618</v>
      </c>
      <c r="BA28" s="1">
        <v>912863</v>
      </c>
      <c r="BB28" s="1"/>
      <c r="BC28" s="15">
        <v>0</v>
      </c>
      <c r="BD28" s="15">
        <v>0</v>
      </c>
      <c r="BE28" s="20">
        <v>2417270</v>
      </c>
      <c r="BF28" s="20">
        <v>2417270</v>
      </c>
      <c r="BG28" s="20">
        <v>21833968</v>
      </c>
      <c r="BH28" s="20">
        <v>21496217</v>
      </c>
      <c r="BI28" s="63"/>
      <c r="BJ28" s="63"/>
      <c r="BK28" s="63"/>
      <c r="BL28" s="5">
        <v>481924660</v>
      </c>
      <c r="BM28" s="5">
        <v>402375494</v>
      </c>
      <c r="BN28" s="15">
        <v>402056</v>
      </c>
      <c r="BO28" s="5"/>
      <c r="BP28" s="1"/>
      <c r="BQ28" s="1"/>
      <c r="BR28" s="5"/>
      <c r="BS28" s="5"/>
      <c r="BT28" s="5"/>
    </row>
    <row r="29" spans="1:72" x14ac:dyDescent="0.25">
      <c r="A29" s="6" t="s">
        <v>83</v>
      </c>
      <c r="B29" s="56">
        <v>139241298</v>
      </c>
      <c r="C29" s="56">
        <v>124090060</v>
      </c>
      <c r="D29" s="56">
        <v>33842303</v>
      </c>
      <c r="E29" s="56">
        <v>1680000</v>
      </c>
      <c r="F29" s="56">
        <v>24617506</v>
      </c>
      <c r="G29" s="56">
        <v>4930660</v>
      </c>
      <c r="H29" s="56">
        <v>8610695</v>
      </c>
      <c r="I29" s="56">
        <v>1263233</v>
      </c>
      <c r="J29" s="56">
        <v>17500</v>
      </c>
      <c r="K29" s="56">
        <v>0</v>
      </c>
      <c r="L29" s="56">
        <v>151027245</v>
      </c>
      <c r="M29" s="56">
        <v>57932988</v>
      </c>
      <c r="N29" s="56">
        <v>1026</v>
      </c>
      <c r="O29" s="56">
        <v>209</v>
      </c>
      <c r="P29" s="56">
        <v>2261545</v>
      </c>
      <c r="Q29" s="56">
        <v>1000700</v>
      </c>
      <c r="R29" s="56">
        <v>120000</v>
      </c>
      <c r="S29" s="56">
        <v>1188205</v>
      </c>
      <c r="T29" s="56">
        <v>893400</v>
      </c>
      <c r="U29" s="56">
        <v>103440</v>
      </c>
      <c r="V29" s="56">
        <v>2261545</v>
      </c>
      <c r="W29" s="56">
        <v>1094663</v>
      </c>
      <c r="X29" s="56">
        <v>120000</v>
      </c>
      <c r="Y29" s="56">
        <v>1188205</v>
      </c>
      <c r="Z29" s="56">
        <v>1215560</v>
      </c>
      <c r="AA29" s="56">
        <v>103440</v>
      </c>
      <c r="AB29" s="56">
        <v>-1787650</v>
      </c>
      <c r="AC29" s="56">
        <v>-33338</v>
      </c>
      <c r="AD29" s="56">
        <v>75426</v>
      </c>
      <c r="AE29" s="56">
        <v>4568</v>
      </c>
      <c r="AF29" s="56">
        <v>780226</v>
      </c>
      <c r="AG29" s="56">
        <v>160559</v>
      </c>
      <c r="AH29" s="56">
        <v>0</v>
      </c>
      <c r="AI29" s="56">
        <v>367795</v>
      </c>
      <c r="AJ29" s="64">
        <v>13574</v>
      </c>
      <c r="AK29" s="1">
        <v>57714513</v>
      </c>
      <c r="AL29" s="1">
        <v>1871459</v>
      </c>
      <c r="AM29" s="56">
        <v>10000</v>
      </c>
      <c r="AN29" s="56">
        <v>7185086</v>
      </c>
      <c r="AO29" s="56">
        <v>86902</v>
      </c>
      <c r="AP29" s="56">
        <v>8250756</v>
      </c>
      <c r="AQ29" s="56">
        <v>6113731</v>
      </c>
      <c r="AR29" s="56">
        <v>17190958</v>
      </c>
      <c r="AS29" s="56">
        <v>0</v>
      </c>
      <c r="AT29" s="56">
        <v>319909</v>
      </c>
      <c r="AU29" s="56">
        <v>0</v>
      </c>
      <c r="AV29" s="56">
        <v>0</v>
      </c>
      <c r="AW29" s="56">
        <v>100776</v>
      </c>
      <c r="AX29" s="56">
        <v>1193378</v>
      </c>
      <c r="AY29" s="56">
        <v>96000</v>
      </c>
      <c r="AZ29" s="1">
        <v>2215505.644985361</v>
      </c>
      <c r="BA29" s="1">
        <v>1129908</v>
      </c>
      <c r="BB29" s="1">
        <v>19358808.289999999</v>
      </c>
      <c r="BC29" s="15">
        <v>0</v>
      </c>
      <c r="BD29" s="15">
        <v>0</v>
      </c>
      <c r="BE29" s="20">
        <v>1551520</v>
      </c>
      <c r="BF29" s="20">
        <v>1551520</v>
      </c>
      <c r="BG29" s="20">
        <v>20557179</v>
      </c>
      <c r="BH29" s="20">
        <v>20549765</v>
      </c>
      <c r="BI29" s="63"/>
      <c r="BJ29" s="63"/>
      <c r="BK29" s="63"/>
      <c r="BL29" s="5">
        <v>393757914</v>
      </c>
      <c r="BM29" s="5">
        <v>310940749</v>
      </c>
      <c r="BN29" s="15">
        <v>627795</v>
      </c>
      <c r="BO29" s="5"/>
      <c r="BP29" s="1"/>
      <c r="BQ29" s="1"/>
      <c r="BR29" s="5"/>
      <c r="BS29" s="5"/>
      <c r="BT29" s="5"/>
    </row>
    <row r="30" spans="1:72" x14ac:dyDescent="0.25">
      <c r="A30" s="6" t="s">
        <v>84</v>
      </c>
      <c r="B30" s="56">
        <v>130145980</v>
      </c>
      <c r="C30" s="56">
        <v>99453950</v>
      </c>
      <c r="D30" s="56">
        <v>29673545</v>
      </c>
      <c r="E30" s="56">
        <v>0</v>
      </c>
      <c r="F30" s="56">
        <v>16623400</v>
      </c>
      <c r="G30" s="56">
        <v>4938000</v>
      </c>
      <c r="H30" s="56">
        <v>7658000</v>
      </c>
      <c r="I30" s="56">
        <v>926000</v>
      </c>
      <c r="J30" s="56">
        <v>36000</v>
      </c>
      <c r="K30" s="56">
        <v>0</v>
      </c>
      <c r="L30" s="56">
        <v>145812712</v>
      </c>
      <c r="M30" s="56">
        <v>48291075</v>
      </c>
      <c r="N30" s="56">
        <v>714</v>
      </c>
      <c r="O30" s="56">
        <v>185</v>
      </c>
      <c r="P30" s="56">
        <v>1636000</v>
      </c>
      <c r="Q30" s="56">
        <v>1041000</v>
      </c>
      <c r="R30" s="56">
        <v>40000</v>
      </c>
      <c r="S30" s="56">
        <v>1430345</v>
      </c>
      <c r="T30" s="56">
        <v>223700</v>
      </c>
      <c r="U30" s="56">
        <v>185000</v>
      </c>
      <c r="V30" s="56">
        <v>1636000</v>
      </c>
      <c r="W30" s="56">
        <v>1235000</v>
      </c>
      <c r="X30" s="56">
        <v>40000</v>
      </c>
      <c r="Y30" s="56">
        <v>1430345</v>
      </c>
      <c r="Z30" s="56">
        <v>796735</v>
      </c>
      <c r="AA30" s="56">
        <v>185000</v>
      </c>
      <c r="AB30" s="56">
        <v>-1340850</v>
      </c>
      <c r="AC30" s="56">
        <v>0</v>
      </c>
      <c r="AD30" s="56">
        <v>167782</v>
      </c>
      <c r="AE30" s="56">
        <v>0</v>
      </c>
      <c r="AF30" s="56">
        <v>0</v>
      </c>
      <c r="AG30" s="56">
        <v>0</v>
      </c>
      <c r="AH30" s="56">
        <v>6415344</v>
      </c>
      <c r="AI30" s="56">
        <v>0</v>
      </c>
      <c r="AJ30" s="56">
        <v>0</v>
      </c>
      <c r="AK30" s="1">
        <v>35682843</v>
      </c>
      <c r="AL30" s="1">
        <v>5116845</v>
      </c>
      <c r="AM30" s="56">
        <v>3891861</v>
      </c>
      <c r="AN30" s="56">
        <v>5039246</v>
      </c>
      <c r="AO30" s="56">
        <v>12461</v>
      </c>
      <c r="AP30" s="56">
        <v>651637</v>
      </c>
      <c r="AQ30" s="56">
        <v>4269418</v>
      </c>
      <c r="AR30" s="56">
        <v>4639200</v>
      </c>
      <c r="AS30" s="56">
        <v>0</v>
      </c>
      <c r="AT30" s="56">
        <v>418659</v>
      </c>
      <c r="AU30" s="56">
        <v>0</v>
      </c>
      <c r="AV30" s="56">
        <v>0</v>
      </c>
      <c r="AW30" s="56">
        <v>0</v>
      </c>
      <c r="AX30" s="56">
        <v>6530</v>
      </c>
      <c r="AY30" s="56">
        <v>12500</v>
      </c>
      <c r="AZ30" s="1">
        <v>1369768.8152653454</v>
      </c>
      <c r="BA30" s="1">
        <v>698582</v>
      </c>
      <c r="BB30" s="1"/>
      <c r="BC30" s="15">
        <v>0</v>
      </c>
      <c r="BD30" s="15">
        <v>0</v>
      </c>
      <c r="BE30" s="20">
        <v>784787</v>
      </c>
      <c r="BF30" s="20">
        <v>784787</v>
      </c>
      <c r="BG30" s="20">
        <v>17947132</v>
      </c>
      <c r="BH30" s="20">
        <v>17833344</v>
      </c>
      <c r="BI30" s="63"/>
      <c r="BJ30" s="63"/>
      <c r="BK30" s="63"/>
      <c r="BL30" s="5">
        <v>335126345</v>
      </c>
      <c r="BM30" s="5">
        <v>275009944</v>
      </c>
      <c r="BN30" s="15">
        <v>293500</v>
      </c>
      <c r="BO30" s="5"/>
      <c r="BP30" s="1"/>
      <c r="BQ30" s="1"/>
      <c r="BR30" s="5"/>
      <c r="BS30" s="5"/>
      <c r="BT30" s="5"/>
    </row>
    <row r="31" spans="1:72" x14ac:dyDescent="0.25">
      <c r="A31" s="6" t="s">
        <v>85</v>
      </c>
      <c r="B31" s="56">
        <v>3171736427</v>
      </c>
      <c r="C31" s="56">
        <v>334622240</v>
      </c>
      <c r="D31" s="56">
        <v>1308179527</v>
      </c>
      <c r="E31" s="56">
        <v>0</v>
      </c>
      <c r="F31" s="56">
        <v>267422495</v>
      </c>
      <c r="G31" s="56">
        <v>33407031</v>
      </c>
      <c r="H31" s="56">
        <v>20099400</v>
      </c>
      <c r="I31" s="56">
        <v>0</v>
      </c>
      <c r="J31" s="56">
        <v>0</v>
      </c>
      <c r="K31" s="56">
        <v>0</v>
      </c>
      <c r="L31" s="56">
        <v>742748092</v>
      </c>
      <c r="M31" s="56">
        <v>193606702</v>
      </c>
      <c r="N31" s="56">
        <v>8122</v>
      </c>
      <c r="O31" s="56">
        <v>972</v>
      </c>
      <c r="P31" s="56">
        <v>53906750</v>
      </c>
      <c r="Q31" s="56">
        <v>15301570</v>
      </c>
      <c r="R31" s="56">
        <v>67972355</v>
      </c>
      <c r="S31" s="56">
        <v>22070908</v>
      </c>
      <c r="T31" s="56">
        <v>4065800</v>
      </c>
      <c r="U31" s="56">
        <v>20989624</v>
      </c>
      <c r="V31" s="56">
        <v>53906750</v>
      </c>
      <c r="W31" s="56">
        <v>78445276</v>
      </c>
      <c r="X31" s="56">
        <v>67972355</v>
      </c>
      <c r="Y31" s="56">
        <v>22070908</v>
      </c>
      <c r="Z31" s="56">
        <v>14682925</v>
      </c>
      <c r="AA31" s="56">
        <v>20989624</v>
      </c>
      <c r="AB31" s="56">
        <v>-8189934</v>
      </c>
      <c r="AC31" s="56">
        <v>-8480992</v>
      </c>
      <c r="AD31" s="56">
        <v>0</v>
      </c>
      <c r="AE31" s="56">
        <v>0</v>
      </c>
      <c r="AF31" s="56">
        <v>0</v>
      </c>
      <c r="AG31" s="56">
        <v>249102.74</v>
      </c>
      <c r="AH31" s="56">
        <v>9078828</v>
      </c>
      <c r="AI31" s="56">
        <v>142877</v>
      </c>
      <c r="AJ31" s="64">
        <v>3897607</v>
      </c>
      <c r="AK31" s="1">
        <v>586606668</v>
      </c>
      <c r="AL31" s="1">
        <v>13557286</v>
      </c>
      <c r="AM31" s="56">
        <v>366545</v>
      </c>
      <c r="AN31" s="56">
        <v>233173580</v>
      </c>
      <c r="AO31" s="56">
        <v>22514923</v>
      </c>
      <c r="AP31" s="56">
        <v>384432955</v>
      </c>
      <c r="AQ31" s="56">
        <v>238050900</v>
      </c>
      <c r="AR31" s="56">
        <v>285824663</v>
      </c>
      <c r="AS31" s="56">
        <v>79278354</v>
      </c>
      <c r="AT31" s="56">
        <v>137409584</v>
      </c>
      <c r="AU31" s="56">
        <v>42002435</v>
      </c>
      <c r="AV31" s="56">
        <v>3849935</v>
      </c>
      <c r="AW31" s="56">
        <v>78522853</v>
      </c>
      <c r="AX31" s="56">
        <v>4604036</v>
      </c>
      <c r="AY31" s="56">
        <v>2524146</v>
      </c>
      <c r="AZ31" s="1">
        <v>22518259.563934177</v>
      </c>
      <c r="BA31" s="1">
        <v>11484312</v>
      </c>
      <c r="BB31" s="1">
        <v>30194300.52</v>
      </c>
      <c r="BC31" s="15">
        <v>1738805</v>
      </c>
      <c r="BD31" s="15">
        <v>3409421</v>
      </c>
      <c r="BE31" s="20">
        <v>60837673</v>
      </c>
      <c r="BF31" s="20">
        <v>60837673</v>
      </c>
      <c r="BG31" s="20">
        <v>150195650</v>
      </c>
      <c r="BH31" s="20">
        <v>145841838</v>
      </c>
      <c r="BI31" s="20">
        <v>16868924</v>
      </c>
      <c r="BJ31" s="63"/>
      <c r="BK31" s="63"/>
      <c r="BL31" s="5">
        <v>6158332415</v>
      </c>
      <c r="BM31" s="5">
        <v>5321396909</v>
      </c>
      <c r="BN31" s="15">
        <v>2709164</v>
      </c>
      <c r="BO31" s="5"/>
      <c r="BP31" s="1"/>
      <c r="BQ31" s="1"/>
      <c r="BR31" s="5"/>
      <c r="BS31" s="5"/>
      <c r="BT31" s="5"/>
    </row>
    <row r="32" spans="1:72" x14ac:dyDescent="0.25">
      <c r="A32" s="6" t="s">
        <v>86</v>
      </c>
      <c r="B32" s="56">
        <v>339248366</v>
      </c>
      <c r="C32" s="56">
        <v>108898336</v>
      </c>
      <c r="D32" s="56">
        <v>43373908</v>
      </c>
      <c r="E32" s="56">
        <v>0</v>
      </c>
      <c r="F32" s="56">
        <v>26560200</v>
      </c>
      <c r="G32" s="56">
        <v>10611300</v>
      </c>
      <c r="H32" s="56">
        <v>14532159</v>
      </c>
      <c r="I32" s="56">
        <v>2010400</v>
      </c>
      <c r="J32" s="56">
        <v>36000</v>
      </c>
      <c r="K32" s="56">
        <v>0</v>
      </c>
      <c r="L32" s="56">
        <v>163515060</v>
      </c>
      <c r="M32" s="56">
        <v>84719240</v>
      </c>
      <c r="N32" s="56">
        <v>1242</v>
      </c>
      <c r="O32" s="56">
        <v>424</v>
      </c>
      <c r="P32" s="56">
        <v>4597500</v>
      </c>
      <c r="Q32" s="56">
        <v>918871</v>
      </c>
      <c r="R32" s="56">
        <v>306000</v>
      </c>
      <c r="S32" s="56">
        <v>356000</v>
      </c>
      <c r="T32" s="56">
        <v>161000</v>
      </c>
      <c r="U32" s="56">
        <v>110000</v>
      </c>
      <c r="V32" s="56">
        <v>4597500</v>
      </c>
      <c r="W32" s="56">
        <v>1018000</v>
      </c>
      <c r="X32" s="56">
        <v>306000</v>
      </c>
      <c r="Y32" s="56">
        <v>356000</v>
      </c>
      <c r="Z32" s="56">
        <v>66000</v>
      </c>
      <c r="AA32" s="56">
        <v>110000</v>
      </c>
      <c r="AB32" s="56">
        <v>-1335712</v>
      </c>
      <c r="AC32" s="56">
        <v>183482</v>
      </c>
      <c r="AD32" s="56">
        <v>0</v>
      </c>
      <c r="AE32" s="56">
        <v>0</v>
      </c>
      <c r="AF32" s="56">
        <v>0</v>
      </c>
      <c r="AG32" s="56">
        <v>0</v>
      </c>
      <c r="AH32" s="56">
        <v>2202328</v>
      </c>
      <c r="AI32" s="56">
        <v>398533</v>
      </c>
      <c r="AJ32" s="56">
        <v>0</v>
      </c>
      <c r="AK32" s="1">
        <v>61399746</v>
      </c>
      <c r="AL32" s="1">
        <v>6740867</v>
      </c>
      <c r="AM32" s="56">
        <v>689000</v>
      </c>
      <c r="AN32" s="56">
        <v>5660194</v>
      </c>
      <c r="AO32" s="56">
        <v>49717</v>
      </c>
      <c r="AP32" s="56">
        <v>3259047</v>
      </c>
      <c r="AQ32" s="56">
        <v>4240701</v>
      </c>
      <c r="AR32" s="56">
        <v>1306991</v>
      </c>
      <c r="AS32" s="56">
        <v>0</v>
      </c>
      <c r="AT32" s="56">
        <v>691164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1">
        <v>2356971.874018366</v>
      </c>
      <c r="BA32" s="1">
        <v>1202056</v>
      </c>
      <c r="BB32" s="1"/>
      <c r="BC32" s="15">
        <v>260733</v>
      </c>
      <c r="BD32" s="15">
        <v>511240</v>
      </c>
      <c r="BE32" s="20">
        <v>2933260</v>
      </c>
      <c r="BF32" s="20">
        <v>2933260</v>
      </c>
      <c r="BG32" s="20">
        <v>17006349</v>
      </c>
      <c r="BH32" s="20">
        <v>16386979</v>
      </c>
      <c r="BI32" s="63"/>
      <c r="BJ32" s="63"/>
      <c r="BK32" s="63"/>
      <c r="BL32" s="5">
        <v>592995724</v>
      </c>
      <c r="BM32" s="5">
        <v>504072083</v>
      </c>
      <c r="BN32" s="15">
        <v>318800</v>
      </c>
      <c r="BO32" s="5"/>
      <c r="BP32" s="1"/>
      <c r="BQ32" s="1"/>
      <c r="BR32" s="5"/>
      <c r="BS32" s="5"/>
      <c r="BT32" s="5"/>
    </row>
    <row r="33" spans="1:72" x14ac:dyDescent="0.25">
      <c r="A33" s="6" t="s">
        <v>87</v>
      </c>
      <c r="B33" s="56">
        <v>62569801</v>
      </c>
      <c r="C33" s="56">
        <v>57406201</v>
      </c>
      <c r="D33" s="56">
        <v>13380717</v>
      </c>
      <c r="E33" s="56">
        <v>0</v>
      </c>
      <c r="F33" s="56">
        <v>8147289</v>
      </c>
      <c r="G33" s="56">
        <v>7488746</v>
      </c>
      <c r="H33" s="56">
        <v>11448549</v>
      </c>
      <c r="I33" s="56">
        <v>4945459</v>
      </c>
      <c r="J33" s="56">
        <v>0</v>
      </c>
      <c r="K33" s="56">
        <v>0</v>
      </c>
      <c r="L33" s="56">
        <v>91619884</v>
      </c>
      <c r="M33" s="56">
        <v>17</v>
      </c>
      <c r="N33" s="56">
        <v>629</v>
      </c>
      <c r="O33" s="56">
        <v>432</v>
      </c>
      <c r="P33" s="56">
        <v>2165360</v>
      </c>
      <c r="Q33" s="56">
        <v>1291467</v>
      </c>
      <c r="R33" s="56">
        <v>75000</v>
      </c>
      <c r="S33" s="56">
        <v>2376404</v>
      </c>
      <c r="T33" s="56">
        <v>704788</v>
      </c>
      <c r="U33" s="56">
        <v>46000</v>
      </c>
      <c r="V33" s="56">
        <v>2165360</v>
      </c>
      <c r="W33" s="56">
        <v>1382937</v>
      </c>
      <c r="X33" s="56">
        <v>75000</v>
      </c>
      <c r="Y33" s="56">
        <v>2376404</v>
      </c>
      <c r="Z33" s="56">
        <v>740916</v>
      </c>
      <c r="AA33" s="56">
        <v>46000</v>
      </c>
      <c r="AB33" s="56">
        <v>-1584362</v>
      </c>
      <c r="AC33" s="56">
        <v>0</v>
      </c>
      <c r="AD33" s="56">
        <v>146</v>
      </c>
      <c r="AE33" s="56">
        <v>0</v>
      </c>
      <c r="AF33" s="56">
        <v>0</v>
      </c>
      <c r="AG33" s="56">
        <v>153</v>
      </c>
      <c r="AH33" s="56">
        <v>3222656</v>
      </c>
      <c r="AI33" s="56">
        <v>116137</v>
      </c>
      <c r="AJ33" s="64">
        <v>241582</v>
      </c>
      <c r="AK33" s="1">
        <v>29443381</v>
      </c>
      <c r="AL33" s="1">
        <v>919047</v>
      </c>
      <c r="AM33" s="56">
        <v>0</v>
      </c>
      <c r="AN33" s="56">
        <v>1788975</v>
      </c>
      <c r="AO33" s="56">
        <v>43975</v>
      </c>
      <c r="AP33" s="56">
        <v>0</v>
      </c>
      <c r="AQ33" s="56">
        <v>1477752</v>
      </c>
      <c r="AR33" s="56">
        <v>153886</v>
      </c>
      <c r="AS33" s="56">
        <v>0</v>
      </c>
      <c r="AT33" s="56">
        <v>620759</v>
      </c>
      <c r="AU33" s="56">
        <v>0</v>
      </c>
      <c r="AV33" s="56">
        <v>0</v>
      </c>
      <c r="AW33" s="56">
        <v>0</v>
      </c>
      <c r="AX33" s="56">
        <v>0</v>
      </c>
      <c r="AY33" s="56">
        <v>1500</v>
      </c>
      <c r="AZ33" s="1">
        <v>1130252.5729179196</v>
      </c>
      <c r="BA33" s="1">
        <v>576429</v>
      </c>
      <c r="BB33" s="1"/>
      <c r="BC33" s="15">
        <v>0</v>
      </c>
      <c r="BD33" s="15">
        <v>0</v>
      </c>
      <c r="BE33" s="20">
        <v>1186845</v>
      </c>
      <c r="BF33" s="20">
        <v>1186845</v>
      </c>
      <c r="BG33" s="20">
        <v>26242802</v>
      </c>
      <c r="BH33" s="20">
        <v>26235317</v>
      </c>
      <c r="BI33" s="63"/>
      <c r="BJ33" s="63"/>
      <c r="BK33" s="63"/>
      <c r="BL33" s="5">
        <v>198608815</v>
      </c>
      <c r="BM33" s="5">
        <v>140247796</v>
      </c>
      <c r="BN33" s="15">
        <v>215481</v>
      </c>
      <c r="BO33" s="5"/>
      <c r="BP33" s="1"/>
      <c r="BQ33" s="1"/>
      <c r="BR33" s="5"/>
      <c r="BS33" s="5"/>
      <c r="BT33" s="5"/>
    </row>
    <row r="34" spans="1:72" x14ac:dyDescent="0.25">
      <c r="A34" s="6" t="s">
        <v>88</v>
      </c>
      <c r="B34" s="56">
        <v>210687912</v>
      </c>
      <c r="C34" s="56">
        <v>97284678</v>
      </c>
      <c r="D34" s="56">
        <v>57680437</v>
      </c>
      <c r="E34" s="56">
        <v>0</v>
      </c>
      <c r="F34" s="56">
        <v>35172566</v>
      </c>
      <c r="G34" s="56">
        <v>12530050</v>
      </c>
      <c r="H34" s="56">
        <v>10632951</v>
      </c>
      <c r="I34" s="56">
        <v>2284300</v>
      </c>
      <c r="J34" s="56">
        <v>101400</v>
      </c>
      <c r="K34" s="56">
        <v>36000</v>
      </c>
      <c r="L34" s="56">
        <v>75454930</v>
      </c>
      <c r="M34" s="56">
        <v>1990200</v>
      </c>
      <c r="N34" s="56">
        <v>1364</v>
      </c>
      <c r="O34" s="56">
        <v>472</v>
      </c>
      <c r="P34" s="56">
        <v>1055225</v>
      </c>
      <c r="Q34" s="56">
        <v>917800</v>
      </c>
      <c r="R34" s="56">
        <v>60200</v>
      </c>
      <c r="S34" s="56">
        <v>4045178</v>
      </c>
      <c r="T34" s="56">
        <v>2735716</v>
      </c>
      <c r="U34" s="56">
        <v>806500</v>
      </c>
      <c r="V34" s="56">
        <v>1055225</v>
      </c>
      <c r="W34" s="56">
        <v>1018000</v>
      </c>
      <c r="X34" s="56">
        <v>60200</v>
      </c>
      <c r="Y34" s="56">
        <v>4045178</v>
      </c>
      <c r="Z34" s="56">
        <v>1768258</v>
      </c>
      <c r="AA34" s="56">
        <v>806500</v>
      </c>
      <c r="AB34" s="56">
        <v>-2118815</v>
      </c>
      <c r="AC34" s="56">
        <v>-21125</v>
      </c>
      <c r="AD34" s="56">
        <v>91647</v>
      </c>
      <c r="AE34" s="56">
        <v>12499</v>
      </c>
      <c r="AF34" s="56">
        <v>11132308</v>
      </c>
      <c r="AG34" s="56">
        <v>137890</v>
      </c>
      <c r="AH34" s="56">
        <v>5338607</v>
      </c>
      <c r="AI34" s="56">
        <v>56508</v>
      </c>
      <c r="AJ34" s="56">
        <v>0</v>
      </c>
      <c r="AK34" s="1">
        <v>70403827</v>
      </c>
      <c r="AL34" s="1">
        <v>1485890</v>
      </c>
      <c r="AM34" s="56">
        <v>0</v>
      </c>
      <c r="AN34" s="56">
        <v>5891493</v>
      </c>
      <c r="AO34" s="56">
        <v>108477</v>
      </c>
      <c r="AP34" s="56">
        <v>931111</v>
      </c>
      <c r="AQ34" s="56">
        <v>5858558</v>
      </c>
      <c r="AR34" s="56">
        <v>2589688</v>
      </c>
      <c r="AS34" s="56">
        <v>0</v>
      </c>
      <c r="AT34" s="56">
        <v>10125</v>
      </c>
      <c r="AU34" s="56">
        <v>0</v>
      </c>
      <c r="AV34" s="56">
        <v>0</v>
      </c>
      <c r="AW34" s="56">
        <v>0</v>
      </c>
      <c r="AX34" s="56">
        <v>60989</v>
      </c>
      <c r="AY34" s="56"/>
      <c r="AZ34" s="1">
        <v>2702614.4385394496</v>
      </c>
      <c r="BA34" s="1">
        <v>1378333</v>
      </c>
      <c r="BB34" s="1"/>
      <c r="BC34" s="15">
        <v>4223986</v>
      </c>
      <c r="BD34" s="15">
        <v>8282326</v>
      </c>
      <c r="BE34" s="20">
        <v>14486446</v>
      </c>
      <c r="BF34" s="20">
        <v>14486446</v>
      </c>
      <c r="BG34" s="20">
        <v>33604552</v>
      </c>
      <c r="BH34" s="20">
        <v>30301027</v>
      </c>
      <c r="BI34" s="63"/>
      <c r="BJ34" s="63"/>
      <c r="BK34" s="63"/>
      <c r="BL34" s="5">
        <v>505186179</v>
      </c>
      <c r="BM34" s="5">
        <v>382906670</v>
      </c>
      <c r="BN34" s="15">
        <v>391160</v>
      </c>
      <c r="BO34" s="5"/>
      <c r="BP34" s="1"/>
      <c r="BQ34" s="1"/>
      <c r="BR34" s="5"/>
      <c r="BS34" s="5"/>
      <c r="BT34" s="5"/>
    </row>
    <row r="35" spans="1:72" x14ac:dyDescent="0.25">
      <c r="A35" s="6" t="s">
        <v>89</v>
      </c>
      <c r="B35" s="56">
        <v>15299695300</v>
      </c>
      <c r="C35" s="56">
        <v>899945700</v>
      </c>
      <c r="D35" s="56">
        <v>6757308200</v>
      </c>
      <c r="E35" s="56">
        <v>0</v>
      </c>
      <c r="F35" s="56">
        <v>624046900</v>
      </c>
      <c r="G35" s="56">
        <v>42710000</v>
      </c>
      <c r="H35" s="56">
        <v>12000500</v>
      </c>
      <c r="I35" s="56">
        <v>324000</v>
      </c>
      <c r="J35" s="56">
        <v>792000</v>
      </c>
      <c r="K35" s="56">
        <v>36000</v>
      </c>
      <c r="L35" s="56">
        <v>1639066400</v>
      </c>
      <c r="M35" s="56">
        <v>579514800</v>
      </c>
      <c r="N35" s="56">
        <v>17835</v>
      </c>
      <c r="O35" s="56">
        <v>1243</v>
      </c>
      <c r="P35" s="56">
        <v>125503600</v>
      </c>
      <c r="Q35" s="56">
        <v>7210700</v>
      </c>
      <c r="R35" s="56">
        <v>155734700</v>
      </c>
      <c r="S35" s="56">
        <v>100290800</v>
      </c>
      <c r="T35" s="56">
        <v>8813900</v>
      </c>
      <c r="U35" s="56">
        <v>52305200</v>
      </c>
      <c r="V35" s="56">
        <v>125503600</v>
      </c>
      <c r="W35" s="56">
        <v>8709300</v>
      </c>
      <c r="X35" s="56">
        <v>155734700</v>
      </c>
      <c r="Y35" s="56">
        <v>100290800</v>
      </c>
      <c r="Z35" s="56">
        <v>48264900</v>
      </c>
      <c r="AA35" s="56">
        <v>52305200</v>
      </c>
      <c r="AB35" s="56">
        <v>236300</v>
      </c>
      <c r="AC35" s="56">
        <v>-29147301</v>
      </c>
      <c r="AD35" s="56">
        <v>0</v>
      </c>
      <c r="AE35" s="56">
        <v>0</v>
      </c>
      <c r="AF35" s="56">
        <v>0</v>
      </c>
      <c r="AG35" s="56">
        <v>0</v>
      </c>
      <c r="AH35" s="56">
        <v>0</v>
      </c>
      <c r="AI35" s="56">
        <v>1127123</v>
      </c>
      <c r="AJ35" s="56">
        <v>0</v>
      </c>
      <c r="AK35" s="1">
        <v>1918460052</v>
      </c>
      <c r="AL35" s="1">
        <v>23748574</v>
      </c>
      <c r="AM35" s="56">
        <v>21660</v>
      </c>
      <c r="AN35" s="56">
        <v>930785359</v>
      </c>
      <c r="AO35" s="56">
        <v>18936891</v>
      </c>
      <c r="AP35" s="56">
        <v>406764866</v>
      </c>
      <c r="AQ35" s="56">
        <v>702585335</v>
      </c>
      <c r="AR35" s="56">
        <v>386957435</v>
      </c>
      <c r="AS35" s="56">
        <v>282993695</v>
      </c>
      <c r="AT35" s="56">
        <v>631357892</v>
      </c>
      <c r="AU35" s="56">
        <v>672096</v>
      </c>
      <c r="AV35" s="56">
        <v>13943</v>
      </c>
      <c r="AW35" s="56">
        <v>21616717</v>
      </c>
      <c r="AX35" s="56">
        <v>1840927</v>
      </c>
      <c r="AY35" s="56">
        <v>68735378</v>
      </c>
      <c r="AZ35" s="1">
        <v>73644545.434956878</v>
      </c>
      <c r="BA35" s="1">
        <v>37558718</v>
      </c>
      <c r="BB35" s="1"/>
      <c r="BC35" s="15">
        <v>4258046</v>
      </c>
      <c r="BD35" s="15">
        <v>8349110</v>
      </c>
      <c r="BE35" s="20">
        <v>285958390</v>
      </c>
      <c r="BF35" s="20">
        <v>281795899</v>
      </c>
      <c r="BG35" s="20">
        <v>510818890</v>
      </c>
      <c r="BH35" s="20">
        <v>482685346</v>
      </c>
      <c r="BI35" s="63">
        <v>4528</v>
      </c>
      <c r="BJ35" s="63"/>
      <c r="BK35" s="63"/>
      <c r="BL35" s="5">
        <v>27358895071</v>
      </c>
      <c r="BM35" s="5">
        <v>24610383908</v>
      </c>
      <c r="BN35" s="15">
        <v>22270600</v>
      </c>
      <c r="BO35" s="5"/>
      <c r="BP35" s="1"/>
      <c r="BQ35" s="1"/>
      <c r="BR35" s="5"/>
      <c r="BS35" s="5"/>
      <c r="BT35" s="5"/>
    </row>
    <row r="36" spans="1:72" x14ac:dyDescent="0.25">
      <c r="A36" s="6" t="s">
        <v>90</v>
      </c>
      <c r="B36" s="56">
        <v>253171568</v>
      </c>
      <c r="C36" s="56">
        <v>165162900</v>
      </c>
      <c r="D36" s="56">
        <v>54707650</v>
      </c>
      <c r="E36" s="56">
        <v>0</v>
      </c>
      <c r="F36" s="56">
        <v>33642500</v>
      </c>
      <c r="G36" s="56">
        <v>8368620</v>
      </c>
      <c r="H36" s="56">
        <v>12695350</v>
      </c>
      <c r="I36" s="56">
        <v>2204000</v>
      </c>
      <c r="J36" s="56">
        <v>72000</v>
      </c>
      <c r="K36" s="56">
        <v>0</v>
      </c>
      <c r="L36" s="56">
        <v>178251025</v>
      </c>
      <c r="M36" s="56">
        <v>88020756</v>
      </c>
      <c r="N36" s="56">
        <v>1385</v>
      </c>
      <c r="O36" s="56">
        <v>332</v>
      </c>
      <c r="P36" s="56">
        <v>3005500</v>
      </c>
      <c r="Q36" s="56">
        <v>1746600</v>
      </c>
      <c r="R36" s="56">
        <v>142000</v>
      </c>
      <c r="S36" s="56">
        <v>1644150</v>
      </c>
      <c r="T36" s="56">
        <v>1404800</v>
      </c>
      <c r="U36" s="56">
        <v>147000</v>
      </c>
      <c r="V36" s="56">
        <v>3005500</v>
      </c>
      <c r="W36" s="56">
        <v>1802650</v>
      </c>
      <c r="X36" s="56">
        <v>142000</v>
      </c>
      <c r="Y36" s="56">
        <v>1644150</v>
      </c>
      <c r="Z36" s="56">
        <v>1266700</v>
      </c>
      <c r="AA36" s="56">
        <v>147000</v>
      </c>
      <c r="AB36" s="56">
        <v>-2445100</v>
      </c>
      <c r="AC36" s="56">
        <v>-344325</v>
      </c>
      <c r="AD36" s="56">
        <v>51952</v>
      </c>
      <c r="AE36" s="56">
        <v>46891</v>
      </c>
      <c r="AF36" s="56">
        <v>74792925</v>
      </c>
      <c r="AG36" s="56">
        <v>212886</v>
      </c>
      <c r="AH36" s="56">
        <v>0</v>
      </c>
      <c r="AI36" s="56">
        <v>66533</v>
      </c>
      <c r="AJ36" s="56">
        <v>0</v>
      </c>
      <c r="AK36" s="1">
        <v>89153892</v>
      </c>
      <c r="AL36" s="1">
        <v>1392583</v>
      </c>
      <c r="AM36" s="56">
        <v>0</v>
      </c>
      <c r="AN36" s="56">
        <v>14913914</v>
      </c>
      <c r="AO36" s="56">
        <v>615365</v>
      </c>
      <c r="AP36" s="56">
        <v>25128223</v>
      </c>
      <c r="AQ36" s="56">
        <v>20810006</v>
      </c>
      <c r="AR36" s="56">
        <v>11721037</v>
      </c>
      <c r="AS36" s="56">
        <v>0</v>
      </c>
      <c r="AT36" s="56">
        <v>28900</v>
      </c>
      <c r="AU36" s="56">
        <v>0</v>
      </c>
      <c r="AV36" s="56">
        <v>33184</v>
      </c>
      <c r="AW36" s="56">
        <v>0</v>
      </c>
      <c r="AX36" s="56">
        <v>555</v>
      </c>
      <c r="AY36" s="56">
        <v>300000</v>
      </c>
      <c r="AZ36" s="1">
        <v>3422379.2375830188</v>
      </c>
      <c r="BA36" s="1">
        <v>1745413</v>
      </c>
      <c r="BB36" s="1"/>
      <c r="BC36" s="15">
        <v>524989</v>
      </c>
      <c r="BD36" s="15">
        <v>1029390</v>
      </c>
      <c r="BE36" s="20">
        <v>14564299</v>
      </c>
      <c r="BF36" s="20">
        <v>14564299</v>
      </c>
      <c r="BG36" s="20">
        <v>30540858</v>
      </c>
      <c r="BH36" s="20">
        <v>30269065</v>
      </c>
      <c r="BI36" s="63"/>
      <c r="BJ36" s="63"/>
      <c r="BK36" s="63"/>
      <c r="BL36" s="5">
        <v>647098177</v>
      </c>
      <c r="BM36" s="5">
        <v>509447936</v>
      </c>
      <c r="BN36" s="15">
        <v>828280</v>
      </c>
      <c r="BO36" s="5"/>
      <c r="BP36" s="1"/>
      <c r="BQ36" s="1"/>
      <c r="BR36" s="5"/>
      <c r="BS36" s="5"/>
      <c r="BT36" s="5"/>
    </row>
    <row r="37" spans="1:72" x14ac:dyDescent="0.25">
      <c r="A37" s="6" t="s">
        <v>91</v>
      </c>
      <c r="B37" s="56">
        <v>614478764</v>
      </c>
      <c r="C37" s="56">
        <v>115278213</v>
      </c>
      <c r="D37" s="56">
        <v>261731520</v>
      </c>
      <c r="E37" s="56">
        <v>0</v>
      </c>
      <c r="F37" s="56">
        <v>90500500</v>
      </c>
      <c r="G37" s="56">
        <v>69802250</v>
      </c>
      <c r="H37" s="56">
        <v>20471084</v>
      </c>
      <c r="I37" s="56">
        <v>8817800</v>
      </c>
      <c r="J37" s="56">
        <v>260500</v>
      </c>
      <c r="K37" s="56">
        <v>252000</v>
      </c>
      <c r="L37" s="56">
        <v>67545548</v>
      </c>
      <c r="M37" s="56">
        <v>61107709</v>
      </c>
      <c r="N37" s="56">
        <v>3525</v>
      </c>
      <c r="O37" s="56">
        <v>2774</v>
      </c>
      <c r="P37" s="56">
        <v>5393500</v>
      </c>
      <c r="Q37" s="56">
        <v>386000</v>
      </c>
      <c r="R37" s="56">
        <v>5313000</v>
      </c>
      <c r="S37" s="56">
        <v>4006800</v>
      </c>
      <c r="T37" s="56">
        <v>350100</v>
      </c>
      <c r="U37" s="56">
        <v>504000</v>
      </c>
      <c r="V37" s="56">
        <v>5393500</v>
      </c>
      <c r="W37" s="56">
        <v>418000</v>
      </c>
      <c r="X37" s="56">
        <v>5313000</v>
      </c>
      <c r="Y37" s="56">
        <v>4006800</v>
      </c>
      <c r="Z37" s="56">
        <v>328000</v>
      </c>
      <c r="AA37" s="56">
        <v>504000</v>
      </c>
      <c r="AB37" s="56">
        <v>-8574780</v>
      </c>
      <c r="AC37" s="56">
        <v>-594117</v>
      </c>
      <c r="AD37" s="56">
        <v>183064</v>
      </c>
      <c r="AE37" s="56">
        <v>0</v>
      </c>
      <c r="AF37" s="56">
        <v>0</v>
      </c>
      <c r="AG37" s="56">
        <v>1842113</v>
      </c>
      <c r="AH37" s="56">
        <v>2932189</v>
      </c>
      <c r="AI37" s="56">
        <v>113341891</v>
      </c>
      <c r="AJ37" s="64">
        <v>188557336</v>
      </c>
      <c r="AK37" s="1">
        <v>265708815</v>
      </c>
      <c r="AL37" s="1">
        <v>6919036</v>
      </c>
      <c r="AM37" s="56">
        <v>64000</v>
      </c>
      <c r="AN37" s="56">
        <v>122188056</v>
      </c>
      <c r="AO37" s="56">
        <v>2307894</v>
      </c>
      <c r="AP37" s="56">
        <v>188756383</v>
      </c>
      <c r="AQ37" s="56">
        <v>79446380</v>
      </c>
      <c r="AR37" s="56">
        <v>35709367</v>
      </c>
      <c r="AS37" s="56">
        <v>1119387</v>
      </c>
      <c r="AT37" s="56">
        <v>20000</v>
      </c>
      <c r="AU37" s="56">
        <v>0</v>
      </c>
      <c r="AV37" s="56">
        <v>0</v>
      </c>
      <c r="AW37" s="56">
        <v>0</v>
      </c>
      <c r="AX37" s="56">
        <v>0</v>
      </c>
      <c r="AY37" s="56">
        <v>2916000</v>
      </c>
      <c r="AZ37" s="1">
        <v>10199850.071590675</v>
      </c>
      <c r="BA37" s="1">
        <v>5201924</v>
      </c>
      <c r="BB37" s="1"/>
      <c r="BC37" s="15">
        <v>4478847</v>
      </c>
      <c r="BD37" s="15">
        <v>8782052</v>
      </c>
      <c r="BE37" s="20">
        <v>90591423</v>
      </c>
      <c r="BF37" s="20">
        <v>90591423</v>
      </c>
      <c r="BG37" s="20">
        <v>223369558</v>
      </c>
      <c r="BH37" s="20">
        <v>217800277</v>
      </c>
      <c r="BI37" s="63"/>
      <c r="BJ37" s="63"/>
      <c r="BK37" s="63"/>
      <c r="BL37" s="5">
        <v>2090962565</v>
      </c>
      <c r="BM37" s="5">
        <v>1500262243</v>
      </c>
      <c r="BN37" s="15">
        <v>14804100</v>
      </c>
      <c r="BO37" s="5"/>
      <c r="BP37" s="1"/>
      <c r="BQ37" s="1"/>
      <c r="BR37" s="5"/>
      <c r="BS37" s="5"/>
      <c r="BT37" s="5"/>
    </row>
    <row r="38" spans="1:72" x14ac:dyDescent="0.25">
      <c r="A38" s="6" t="s">
        <v>92</v>
      </c>
      <c r="B38" s="56">
        <v>1895807464</v>
      </c>
      <c r="C38" s="56">
        <v>162082187</v>
      </c>
      <c r="D38" s="56">
        <v>763631994</v>
      </c>
      <c r="E38" s="56">
        <v>0</v>
      </c>
      <c r="F38" s="56">
        <v>143835039</v>
      </c>
      <c r="G38" s="56">
        <v>10786418</v>
      </c>
      <c r="H38" s="56">
        <v>10950222</v>
      </c>
      <c r="I38" s="56">
        <v>477580</v>
      </c>
      <c r="J38" s="56">
        <v>216000</v>
      </c>
      <c r="K38" s="56">
        <v>0</v>
      </c>
      <c r="L38" s="56">
        <v>159405238</v>
      </c>
      <c r="M38" s="56">
        <v>128243961</v>
      </c>
      <c r="N38" s="56">
        <v>4377</v>
      </c>
      <c r="O38" s="56">
        <v>345</v>
      </c>
      <c r="P38" s="56">
        <v>5621911</v>
      </c>
      <c r="Q38" s="56">
        <v>2383489</v>
      </c>
      <c r="R38" s="56">
        <v>5199500</v>
      </c>
      <c r="S38" s="56">
        <v>11991356</v>
      </c>
      <c r="T38" s="56">
        <v>1902558</v>
      </c>
      <c r="U38" s="56">
        <v>13221321</v>
      </c>
      <c r="V38" s="56">
        <v>5621911</v>
      </c>
      <c r="W38" s="56">
        <v>2883900</v>
      </c>
      <c r="X38" s="56">
        <v>5199500</v>
      </c>
      <c r="Y38" s="56">
        <v>11991356</v>
      </c>
      <c r="Z38" s="56">
        <v>2557080</v>
      </c>
      <c r="AA38" s="56">
        <v>13221321</v>
      </c>
      <c r="AB38" s="56">
        <v>-5163752</v>
      </c>
      <c r="AC38" s="56">
        <v>912952</v>
      </c>
      <c r="AD38" s="56">
        <v>0</v>
      </c>
      <c r="AE38" s="56">
        <v>0</v>
      </c>
      <c r="AF38" s="56">
        <v>0</v>
      </c>
      <c r="AG38" s="56">
        <v>103325</v>
      </c>
      <c r="AH38" s="56">
        <v>0</v>
      </c>
      <c r="AI38" s="56">
        <v>352623</v>
      </c>
      <c r="AJ38" s="56">
        <v>0</v>
      </c>
      <c r="AK38" s="1">
        <v>316585889</v>
      </c>
      <c r="AL38" s="1">
        <v>9770950</v>
      </c>
      <c r="AM38" s="56">
        <v>229870</v>
      </c>
      <c r="AN38" s="56">
        <v>103678528</v>
      </c>
      <c r="AO38" s="56">
        <v>6731994</v>
      </c>
      <c r="AP38" s="56">
        <v>208712079</v>
      </c>
      <c r="AQ38" s="56">
        <v>79285159</v>
      </c>
      <c r="AR38" s="56">
        <v>91112792</v>
      </c>
      <c r="AS38" s="56">
        <v>4370251</v>
      </c>
      <c r="AT38" s="56">
        <v>1274155</v>
      </c>
      <c r="AU38" s="56">
        <v>0</v>
      </c>
      <c r="AV38" s="56">
        <v>0</v>
      </c>
      <c r="AW38" s="56">
        <v>16821</v>
      </c>
      <c r="AX38" s="56">
        <v>26704</v>
      </c>
      <c r="AY38" s="56">
        <v>2520872</v>
      </c>
      <c r="AZ38" s="1">
        <v>12152884.738059018</v>
      </c>
      <c r="BA38" s="1">
        <v>6197971</v>
      </c>
      <c r="BB38" s="1">
        <v>3513601.04</v>
      </c>
      <c r="BC38" s="15">
        <v>907866</v>
      </c>
      <c r="BD38" s="15">
        <v>1780130</v>
      </c>
      <c r="BE38" s="20">
        <v>73852217</v>
      </c>
      <c r="BF38" s="20">
        <v>72325078</v>
      </c>
      <c r="BG38" s="20">
        <v>36341212</v>
      </c>
      <c r="BH38" s="20">
        <v>34452444</v>
      </c>
      <c r="BI38" s="63">
        <v>120811157</v>
      </c>
      <c r="BJ38" s="63"/>
      <c r="BK38" s="63"/>
      <c r="BL38" s="5">
        <v>3572621304</v>
      </c>
      <c r="BM38" s="5">
        <v>3011569949</v>
      </c>
      <c r="BN38" s="15">
        <v>5633740</v>
      </c>
      <c r="BO38" s="5"/>
      <c r="BP38" s="1"/>
      <c r="BQ38" s="1"/>
      <c r="BR38" s="5"/>
      <c r="BS38" s="5"/>
      <c r="BT38" s="5"/>
    </row>
    <row r="39" spans="1:72" x14ac:dyDescent="0.25">
      <c r="A39" s="6" t="s">
        <v>93</v>
      </c>
      <c r="B39" s="56">
        <v>74784524</v>
      </c>
      <c r="C39" s="56">
        <v>54912209</v>
      </c>
      <c r="D39" s="56">
        <v>64073430</v>
      </c>
      <c r="E39" s="56">
        <v>0</v>
      </c>
      <c r="F39" s="56">
        <v>18875975</v>
      </c>
      <c r="G39" s="56">
        <v>4293515</v>
      </c>
      <c r="H39" s="56">
        <v>3258550</v>
      </c>
      <c r="I39" s="56">
        <v>251890</v>
      </c>
      <c r="J39" s="56">
        <v>15000</v>
      </c>
      <c r="K39" s="56">
        <v>0</v>
      </c>
      <c r="L39" s="56">
        <v>216887567</v>
      </c>
      <c r="M39" s="56">
        <v>14480088</v>
      </c>
      <c r="N39" s="56">
        <v>694</v>
      </c>
      <c r="O39" s="56">
        <v>156</v>
      </c>
      <c r="P39" s="56">
        <v>1013935</v>
      </c>
      <c r="Q39" s="56">
        <v>632025</v>
      </c>
      <c r="R39" s="56">
        <v>298600</v>
      </c>
      <c r="S39" s="56">
        <v>666837</v>
      </c>
      <c r="T39" s="56">
        <v>22860</v>
      </c>
      <c r="U39" s="56">
        <v>844800</v>
      </c>
      <c r="V39" s="56">
        <v>1013935</v>
      </c>
      <c r="W39" s="56">
        <v>1621900</v>
      </c>
      <c r="X39" s="56">
        <v>298600</v>
      </c>
      <c r="Y39" s="56">
        <v>666837</v>
      </c>
      <c r="Z39" s="56">
        <v>7000</v>
      </c>
      <c r="AA39" s="56">
        <v>844800</v>
      </c>
      <c r="AB39" s="56">
        <v>-1297890</v>
      </c>
      <c r="AC39" s="56">
        <v>-6598</v>
      </c>
      <c r="AD39" s="56">
        <v>22915</v>
      </c>
      <c r="AE39" s="56">
        <v>40930</v>
      </c>
      <c r="AF39" s="56">
        <v>19395894</v>
      </c>
      <c r="AG39" s="56">
        <v>120180</v>
      </c>
      <c r="AH39" s="56">
        <v>0</v>
      </c>
      <c r="AI39" s="56">
        <v>0</v>
      </c>
      <c r="AJ39" s="56">
        <v>0</v>
      </c>
      <c r="AK39" s="1">
        <v>33893581</v>
      </c>
      <c r="AL39" s="1">
        <v>592805</v>
      </c>
      <c r="AM39" s="56">
        <v>0</v>
      </c>
      <c r="AN39" s="56">
        <v>20529666</v>
      </c>
      <c r="AO39" s="56">
        <v>562064</v>
      </c>
      <c r="AP39" s="56">
        <v>30328126</v>
      </c>
      <c r="AQ39" s="56">
        <v>19837574</v>
      </c>
      <c r="AR39" s="56">
        <v>32663736</v>
      </c>
      <c r="AS39" s="56">
        <v>0</v>
      </c>
      <c r="AT39" s="56">
        <v>3973348</v>
      </c>
      <c r="AU39" s="56">
        <v>0</v>
      </c>
      <c r="AV39" s="56">
        <v>13186199</v>
      </c>
      <c r="AW39" s="56">
        <v>8570120</v>
      </c>
      <c r="AX39" s="56">
        <v>0</v>
      </c>
      <c r="AY39" s="56">
        <v>131700</v>
      </c>
      <c r="AZ39" s="1">
        <v>1301083.837167067</v>
      </c>
      <c r="BA39" s="1">
        <v>663553</v>
      </c>
      <c r="BB39" s="1">
        <v>41075129.530000001</v>
      </c>
      <c r="BC39" s="15">
        <v>1029424</v>
      </c>
      <c r="BD39" s="15">
        <v>2018479</v>
      </c>
      <c r="BE39" s="20">
        <v>13026419</v>
      </c>
      <c r="BF39" s="20">
        <v>13026419</v>
      </c>
      <c r="BG39" s="20">
        <v>16945749</v>
      </c>
      <c r="BH39" s="20">
        <v>12622643</v>
      </c>
      <c r="BI39" s="63"/>
      <c r="BJ39" s="63">
        <v>2871112</v>
      </c>
      <c r="BK39" s="63"/>
      <c r="BL39" s="5">
        <v>299399004</v>
      </c>
      <c r="BM39" s="5">
        <v>234699467</v>
      </c>
      <c r="BN39" s="15">
        <v>1143242</v>
      </c>
      <c r="BO39" s="5"/>
      <c r="BP39" s="1"/>
      <c r="BQ39" s="1"/>
      <c r="BR39" s="5"/>
      <c r="BS39" s="5"/>
      <c r="BT39" s="5"/>
    </row>
    <row r="40" spans="1:72" x14ac:dyDescent="0.25">
      <c r="A40" s="6" t="s">
        <v>94</v>
      </c>
      <c r="B40" s="56">
        <v>237306389</v>
      </c>
      <c r="C40" s="56">
        <v>64701075</v>
      </c>
      <c r="D40" s="56">
        <v>86323605</v>
      </c>
      <c r="E40" s="56">
        <v>59104352</v>
      </c>
      <c r="F40" s="56">
        <v>14592669</v>
      </c>
      <c r="G40" s="56">
        <v>5538600</v>
      </c>
      <c r="H40" s="56">
        <v>4783501</v>
      </c>
      <c r="I40" s="56">
        <v>742200</v>
      </c>
      <c r="J40" s="56">
        <v>0</v>
      </c>
      <c r="K40" s="56">
        <v>0</v>
      </c>
      <c r="L40" s="56">
        <v>98827644</v>
      </c>
      <c r="M40" s="56">
        <v>51998856</v>
      </c>
      <c r="N40" s="56">
        <v>560</v>
      </c>
      <c r="O40" s="56">
        <v>187</v>
      </c>
      <c r="P40" s="56">
        <v>1063800</v>
      </c>
      <c r="Q40" s="56">
        <v>1088550</v>
      </c>
      <c r="R40" s="56">
        <v>1128200</v>
      </c>
      <c r="S40" s="56">
        <v>4046695</v>
      </c>
      <c r="T40" s="56">
        <v>615971</v>
      </c>
      <c r="U40" s="56">
        <v>737097</v>
      </c>
      <c r="V40" s="56">
        <v>1063800</v>
      </c>
      <c r="W40" s="56">
        <v>876200</v>
      </c>
      <c r="X40" s="56">
        <v>1128200</v>
      </c>
      <c r="Y40" s="56">
        <v>4046695</v>
      </c>
      <c r="Z40" s="56">
        <v>312385</v>
      </c>
      <c r="AA40" s="56">
        <v>737097</v>
      </c>
      <c r="AB40" s="56">
        <v>-830126</v>
      </c>
      <c r="AC40" s="56">
        <v>-1311</v>
      </c>
      <c r="AD40" s="56">
        <v>22111</v>
      </c>
      <c r="AE40" s="56">
        <v>0</v>
      </c>
      <c r="AF40" s="56">
        <v>0</v>
      </c>
      <c r="AG40" s="56">
        <v>47207</v>
      </c>
      <c r="AH40" s="56">
        <v>0</v>
      </c>
      <c r="AI40" s="56">
        <v>1880410</v>
      </c>
      <c r="AJ40" s="56">
        <v>0</v>
      </c>
      <c r="AK40" s="1">
        <v>46884495</v>
      </c>
      <c r="AL40" s="1">
        <v>2715019</v>
      </c>
      <c r="AM40" s="56">
        <v>681238</v>
      </c>
      <c r="AN40" s="56">
        <v>21042200</v>
      </c>
      <c r="AO40" s="56">
        <v>1831793</v>
      </c>
      <c r="AP40" s="56">
        <v>232406025</v>
      </c>
      <c r="AQ40" s="56">
        <v>63744218</v>
      </c>
      <c r="AR40" s="56">
        <v>73662328</v>
      </c>
      <c r="AS40" s="56">
        <v>29768103</v>
      </c>
      <c r="AT40" s="56">
        <v>80000</v>
      </c>
      <c r="AU40" s="56">
        <v>0</v>
      </c>
      <c r="AV40" s="56">
        <v>0</v>
      </c>
      <c r="AW40" s="56">
        <v>17168659</v>
      </c>
      <c r="AX40" s="56">
        <v>220937</v>
      </c>
      <c r="AY40" s="56">
        <v>21000</v>
      </c>
      <c r="AZ40" s="1">
        <v>1799770.2472996337</v>
      </c>
      <c r="BA40" s="1">
        <v>917883</v>
      </c>
      <c r="BB40" s="1">
        <v>16683937.82</v>
      </c>
      <c r="BC40" s="15">
        <v>675321</v>
      </c>
      <c r="BD40" s="15">
        <v>1324159</v>
      </c>
      <c r="BE40" s="20">
        <v>5159336</v>
      </c>
      <c r="BF40" s="20">
        <v>5159336</v>
      </c>
      <c r="BG40" s="20">
        <v>24333463</v>
      </c>
      <c r="BH40" s="20">
        <v>23155031</v>
      </c>
      <c r="BI40" s="63"/>
      <c r="BJ40" s="63"/>
      <c r="BK40" s="63"/>
      <c r="BL40" s="5">
        <v>556336775</v>
      </c>
      <c r="BM40" s="5">
        <v>476829690</v>
      </c>
      <c r="BN40" s="15">
        <v>433524</v>
      </c>
      <c r="BO40" s="5"/>
      <c r="BP40" s="1"/>
      <c r="BQ40" s="1"/>
      <c r="BR40" s="5"/>
      <c r="BS40" s="5"/>
      <c r="BT40" s="5"/>
    </row>
    <row r="41" spans="1:72" x14ac:dyDescent="0.25">
      <c r="A41" s="6" t="s">
        <v>95</v>
      </c>
      <c r="B41" s="56">
        <v>487880991</v>
      </c>
      <c r="C41" s="56">
        <v>127743038</v>
      </c>
      <c r="D41" s="56">
        <v>55409062</v>
      </c>
      <c r="E41" s="56">
        <v>0</v>
      </c>
      <c r="F41" s="56">
        <v>41791300</v>
      </c>
      <c r="G41" s="56">
        <v>10507500</v>
      </c>
      <c r="H41" s="56">
        <v>12660200</v>
      </c>
      <c r="I41" s="56">
        <v>2306300</v>
      </c>
      <c r="J41" s="56">
        <v>36000</v>
      </c>
      <c r="K41" s="56">
        <v>36000</v>
      </c>
      <c r="L41" s="56">
        <v>206876402</v>
      </c>
      <c r="M41" s="56">
        <v>91373600</v>
      </c>
      <c r="N41" s="56">
        <v>1540</v>
      </c>
      <c r="O41" s="56">
        <v>384</v>
      </c>
      <c r="P41" s="56">
        <v>2135000</v>
      </c>
      <c r="Q41" s="56">
        <v>1375500</v>
      </c>
      <c r="R41" s="56">
        <v>305000</v>
      </c>
      <c r="S41" s="56">
        <v>6546862</v>
      </c>
      <c r="T41" s="56">
        <v>1031900</v>
      </c>
      <c r="U41" s="56">
        <v>326000</v>
      </c>
      <c r="V41" s="56">
        <v>2135000</v>
      </c>
      <c r="W41" s="56">
        <v>1375500</v>
      </c>
      <c r="X41" s="56">
        <v>305000</v>
      </c>
      <c r="Y41" s="56">
        <v>6546862</v>
      </c>
      <c r="Z41" s="56">
        <v>1893380</v>
      </c>
      <c r="AA41" s="56">
        <v>326000</v>
      </c>
      <c r="AB41" s="56">
        <v>-1536750</v>
      </c>
      <c r="AC41" s="56">
        <v>14636</v>
      </c>
      <c r="AD41" s="56">
        <v>0</v>
      </c>
      <c r="AE41" s="56">
        <v>0</v>
      </c>
      <c r="AF41" s="56">
        <v>0</v>
      </c>
      <c r="AG41" s="56">
        <v>130430</v>
      </c>
      <c r="AH41" s="56">
        <v>0</v>
      </c>
      <c r="AI41" s="56">
        <v>78533</v>
      </c>
      <c r="AJ41" s="56">
        <v>0</v>
      </c>
      <c r="AK41" s="1">
        <v>102282338</v>
      </c>
      <c r="AL41" s="1">
        <v>5804404</v>
      </c>
      <c r="AM41" s="56">
        <v>269885</v>
      </c>
      <c r="AN41" s="56">
        <v>7065131</v>
      </c>
      <c r="AO41" s="56">
        <v>234387</v>
      </c>
      <c r="AP41" s="56">
        <v>7902652</v>
      </c>
      <c r="AQ41" s="56">
        <v>6100901</v>
      </c>
      <c r="AR41" s="56">
        <v>2222022</v>
      </c>
      <c r="AS41" s="56">
        <v>0</v>
      </c>
      <c r="AT41" s="56">
        <v>1047472</v>
      </c>
      <c r="AU41" s="56">
        <v>0</v>
      </c>
      <c r="AV41" s="56">
        <v>0</v>
      </c>
      <c r="AW41" s="56">
        <v>1750</v>
      </c>
      <c r="AX41" s="56">
        <v>235527</v>
      </c>
      <c r="AY41" s="56">
        <v>0</v>
      </c>
      <c r="AZ41" s="1">
        <v>3926345.1330049462</v>
      </c>
      <c r="BA41" s="1">
        <v>2002436</v>
      </c>
      <c r="BB41" s="1"/>
      <c r="BC41" s="15">
        <v>0</v>
      </c>
      <c r="BD41" s="15">
        <v>0</v>
      </c>
      <c r="BE41" s="20">
        <v>22485329</v>
      </c>
      <c r="BF41" s="20">
        <v>22485329</v>
      </c>
      <c r="BG41" s="20">
        <v>34576273</v>
      </c>
      <c r="BH41" s="20">
        <v>34576273</v>
      </c>
      <c r="BI41" s="63"/>
      <c r="BJ41" s="63"/>
      <c r="BK41" s="63"/>
      <c r="BL41" s="5">
        <v>851662823</v>
      </c>
      <c r="BM41" s="5">
        <v>684512043</v>
      </c>
      <c r="BN41" s="15">
        <v>821600</v>
      </c>
      <c r="BO41" s="5"/>
      <c r="BP41" s="1"/>
      <c r="BQ41" s="1"/>
      <c r="BR41" s="5"/>
      <c r="BS41" s="5"/>
      <c r="BT41" s="5"/>
    </row>
    <row r="42" spans="1:72" x14ac:dyDescent="0.25">
      <c r="A42" s="6" t="s">
        <v>96</v>
      </c>
      <c r="B42" s="56">
        <v>590646080</v>
      </c>
      <c r="C42" s="4">
        <v>204709399</v>
      </c>
      <c r="D42" s="56">
        <v>188758424</v>
      </c>
      <c r="E42" s="56">
        <v>600000</v>
      </c>
      <c r="F42" s="56">
        <v>39348480</v>
      </c>
      <c r="G42" s="56">
        <v>7560850</v>
      </c>
      <c r="H42" s="56">
        <v>19140900</v>
      </c>
      <c r="I42" s="56">
        <v>1958400</v>
      </c>
      <c r="J42" s="56">
        <v>252000</v>
      </c>
      <c r="K42" s="56">
        <v>0</v>
      </c>
      <c r="L42" s="56">
        <v>298338178</v>
      </c>
      <c r="M42" s="56">
        <v>166574000</v>
      </c>
      <c r="N42" s="56">
        <v>1688</v>
      </c>
      <c r="O42" s="56">
        <v>294</v>
      </c>
      <c r="P42" s="56">
        <v>3813900</v>
      </c>
      <c r="Q42" s="56">
        <v>1676800</v>
      </c>
      <c r="R42" s="56">
        <v>0</v>
      </c>
      <c r="S42" s="56">
        <v>14046971</v>
      </c>
      <c r="T42" s="56">
        <v>1667700</v>
      </c>
      <c r="U42" s="56">
        <v>6423700</v>
      </c>
      <c r="V42" s="56">
        <v>3813900</v>
      </c>
      <c r="W42" s="56">
        <v>2279150</v>
      </c>
      <c r="X42" s="56">
        <v>0</v>
      </c>
      <c r="Y42" s="56">
        <v>14046971</v>
      </c>
      <c r="Z42" s="56">
        <v>6085480</v>
      </c>
      <c r="AA42" s="56">
        <v>6423700</v>
      </c>
      <c r="AB42" s="56">
        <v>-869333</v>
      </c>
      <c r="AC42" s="56">
        <v>-1958</v>
      </c>
      <c r="AD42" s="56">
        <v>69525</v>
      </c>
      <c r="AE42" s="56">
        <v>64</v>
      </c>
      <c r="AF42" s="56">
        <v>0</v>
      </c>
      <c r="AG42" s="56">
        <v>146107</v>
      </c>
      <c r="AH42" s="56">
        <v>0</v>
      </c>
      <c r="AI42" s="56">
        <v>0</v>
      </c>
      <c r="AJ42" s="56">
        <v>0</v>
      </c>
      <c r="AK42" s="1">
        <v>129737690</v>
      </c>
      <c r="AL42" s="1">
        <v>3848854</v>
      </c>
      <c r="AM42" s="56">
        <v>0</v>
      </c>
      <c r="AN42" s="56">
        <v>22463180</v>
      </c>
      <c r="AO42" s="56">
        <v>811397</v>
      </c>
      <c r="AP42" s="56">
        <v>23368405</v>
      </c>
      <c r="AQ42" s="56">
        <v>27887929</v>
      </c>
      <c r="AR42" s="56">
        <v>26238433</v>
      </c>
      <c r="AS42" s="56">
        <v>7944312</v>
      </c>
      <c r="AT42" s="56">
        <v>0</v>
      </c>
      <c r="AU42" s="56">
        <v>0</v>
      </c>
      <c r="AV42" s="56">
        <v>0</v>
      </c>
      <c r="AW42" s="56">
        <v>0</v>
      </c>
      <c r="AX42" s="56">
        <v>6363</v>
      </c>
      <c r="AY42" s="56">
        <v>0</v>
      </c>
      <c r="AZ42" s="1">
        <v>4980282.5948191024</v>
      </c>
      <c r="BA42" s="1">
        <v>2539944</v>
      </c>
      <c r="BB42" s="1"/>
      <c r="BC42" s="15">
        <v>2435266</v>
      </c>
      <c r="BD42" s="15">
        <v>4775032</v>
      </c>
      <c r="BE42" s="20">
        <v>34079788</v>
      </c>
      <c r="BF42" s="20">
        <v>34079788</v>
      </c>
      <c r="BG42" s="20">
        <v>63102868</v>
      </c>
      <c r="BH42" s="20">
        <v>57935788</v>
      </c>
      <c r="BI42" s="63"/>
      <c r="BJ42" s="63"/>
      <c r="BK42" s="63"/>
      <c r="BL42" s="5">
        <v>1265853739</v>
      </c>
      <c r="BM42" s="5">
        <v>1035276409</v>
      </c>
      <c r="BN42" s="15">
        <v>1610600</v>
      </c>
      <c r="BO42" s="5"/>
      <c r="BP42" s="1"/>
      <c r="BQ42" s="1"/>
      <c r="BR42" s="5"/>
      <c r="BS42" s="5"/>
      <c r="BT42" s="5"/>
    </row>
    <row r="43" spans="1:72" x14ac:dyDescent="0.25">
      <c r="A43" s="6" t="s">
        <v>97</v>
      </c>
      <c r="B43" s="56">
        <v>743013750</v>
      </c>
      <c r="C43" s="56">
        <v>364485139</v>
      </c>
      <c r="D43" s="56">
        <v>260740466</v>
      </c>
      <c r="E43" s="56">
        <v>0</v>
      </c>
      <c r="F43" s="56">
        <v>93766521</v>
      </c>
      <c r="G43" s="56">
        <v>21174950</v>
      </c>
      <c r="H43" s="56">
        <v>24823200</v>
      </c>
      <c r="I43" s="56">
        <v>3752650</v>
      </c>
      <c r="J43" s="56">
        <v>142000</v>
      </c>
      <c r="K43" s="56">
        <v>83000</v>
      </c>
      <c r="L43" s="56">
        <v>916586222</v>
      </c>
      <c r="M43" s="56">
        <v>196902038</v>
      </c>
      <c r="N43" s="56">
        <v>3462</v>
      </c>
      <c r="O43" s="56">
        <v>778</v>
      </c>
      <c r="P43" s="56">
        <v>8523000</v>
      </c>
      <c r="Q43" s="56">
        <v>2675300</v>
      </c>
      <c r="R43" s="56">
        <v>6427250</v>
      </c>
      <c r="S43" s="56">
        <v>6774669</v>
      </c>
      <c r="T43" s="56">
        <v>1091000</v>
      </c>
      <c r="U43" s="56">
        <v>1670089</v>
      </c>
      <c r="V43" s="56">
        <v>8523000</v>
      </c>
      <c r="W43" s="56">
        <v>3032250</v>
      </c>
      <c r="X43" s="56">
        <v>6427250</v>
      </c>
      <c r="Y43" s="56">
        <v>6774669</v>
      </c>
      <c r="Z43" s="56">
        <v>631300</v>
      </c>
      <c r="AA43" s="56">
        <v>1670089</v>
      </c>
      <c r="AB43" s="56">
        <v>-16773201</v>
      </c>
      <c r="AC43" s="56">
        <v>-212451</v>
      </c>
      <c r="AD43" s="56">
        <v>55862</v>
      </c>
      <c r="AE43" s="56">
        <v>109300</v>
      </c>
      <c r="AF43" s="56">
        <v>1973832</v>
      </c>
      <c r="AG43" s="56">
        <v>313407</v>
      </c>
      <c r="AH43" s="56">
        <v>0</v>
      </c>
      <c r="AI43" s="56">
        <v>421631</v>
      </c>
      <c r="AJ43" s="56">
        <v>0</v>
      </c>
      <c r="AK43" s="1">
        <v>203458727</v>
      </c>
      <c r="AL43" s="1">
        <v>6352159</v>
      </c>
      <c r="AM43" s="56">
        <v>0</v>
      </c>
      <c r="AN43" s="56">
        <v>60275675</v>
      </c>
      <c r="AO43" s="56">
        <v>5437943</v>
      </c>
      <c r="AP43" s="56">
        <v>38515304</v>
      </c>
      <c r="AQ43" s="56">
        <v>75061476</v>
      </c>
      <c r="AR43" s="56">
        <v>88132282</v>
      </c>
      <c r="AS43" s="56">
        <v>994618</v>
      </c>
      <c r="AT43" s="56">
        <v>5275229</v>
      </c>
      <c r="AU43" s="56">
        <v>0</v>
      </c>
      <c r="AV43" s="56">
        <v>0</v>
      </c>
      <c r="AW43" s="56">
        <v>19268853</v>
      </c>
      <c r="AX43" s="56">
        <v>110271</v>
      </c>
      <c r="AY43" s="56">
        <v>0</v>
      </c>
      <c r="AZ43" s="1">
        <v>7810235.8446658896</v>
      </c>
      <c r="BA43" s="1">
        <v>3983220</v>
      </c>
      <c r="BB43" s="1"/>
      <c r="BC43" s="15">
        <v>2203896</v>
      </c>
      <c r="BD43" s="15">
        <v>4321364</v>
      </c>
      <c r="BE43" s="20">
        <v>63879281</v>
      </c>
      <c r="BF43" s="20">
        <v>61801176</v>
      </c>
      <c r="BG43" s="20">
        <v>103084628</v>
      </c>
      <c r="BH43" s="20">
        <v>87532956</v>
      </c>
      <c r="BI43" s="63"/>
      <c r="BJ43" s="63">
        <v>7105755</v>
      </c>
      <c r="BK43" s="63"/>
      <c r="BL43" s="5">
        <v>1881873969</v>
      </c>
      <c r="BM43" s="5">
        <v>1509436080</v>
      </c>
      <c r="BN43" s="15">
        <v>4403844</v>
      </c>
      <c r="BO43" s="5"/>
      <c r="BP43" s="1"/>
      <c r="BQ43" s="1"/>
      <c r="BR43" s="5"/>
      <c r="BS43" s="5"/>
      <c r="BT43" s="5"/>
    </row>
    <row r="44" spans="1:72" x14ac:dyDescent="0.25">
      <c r="A44" s="6" t="s">
        <v>98</v>
      </c>
      <c r="B44" s="56">
        <v>652747529</v>
      </c>
      <c r="C44" s="56">
        <v>192602351</v>
      </c>
      <c r="D44" s="56">
        <v>166907722</v>
      </c>
      <c r="E44" s="56">
        <v>18700000</v>
      </c>
      <c r="F44" s="56">
        <v>55166415</v>
      </c>
      <c r="G44" s="56">
        <v>14360307</v>
      </c>
      <c r="H44" s="56">
        <v>21291800</v>
      </c>
      <c r="I44" s="56">
        <v>3278400</v>
      </c>
      <c r="J44" s="56">
        <v>299000</v>
      </c>
      <c r="K44" s="56">
        <v>0</v>
      </c>
      <c r="L44" s="56">
        <v>267672971</v>
      </c>
      <c r="M44" s="56"/>
      <c r="N44" s="56"/>
      <c r="O44" s="56"/>
      <c r="P44" s="56">
        <v>10211995</v>
      </c>
      <c r="Q44" s="56">
        <v>3352440</v>
      </c>
      <c r="R44" s="56">
        <v>1244333</v>
      </c>
      <c r="S44" s="56">
        <v>6388466</v>
      </c>
      <c r="T44" s="56">
        <v>2098165</v>
      </c>
      <c r="U44" s="56">
        <v>2047340</v>
      </c>
      <c r="V44" s="56">
        <v>10211995</v>
      </c>
      <c r="W44" s="56">
        <v>3672462</v>
      </c>
      <c r="X44" s="56">
        <v>1244333</v>
      </c>
      <c r="Y44" s="56">
        <v>6388466</v>
      </c>
      <c r="Z44" s="56">
        <v>2779069</v>
      </c>
      <c r="AA44" s="56">
        <v>2047340</v>
      </c>
      <c r="AB44" s="56">
        <v>-4324209</v>
      </c>
      <c r="AC44" s="56">
        <v>-290040</v>
      </c>
      <c r="AD44" s="56">
        <v>126224</v>
      </c>
      <c r="AE44" s="56">
        <v>71389</v>
      </c>
      <c r="AF44" s="56">
        <v>80491224</v>
      </c>
      <c r="AG44" s="56">
        <v>268829</v>
      </c>
      <c r="AH44" s="56">
        <v>20230</v>
      </c>
      <c r="AI44" s="56">
        <v>1061945</v>
      </c>
      <c r="AJ44" s="56">
        <v>0</v>
      </c>
      <c r="AK44" s="1">
        <v>140507755</v>
      </c>
      <c r="AL44" s="1">
        <v>15151558</v>
      </c>
      <c r="AM44" s="56">
        <v>477363</v>
      </c>
      <c r="AN44" s="56">
        <v>32404809</v>
      </c>
      <c r="AO44" s="56">
        <v>4694852</v>
      </c>
      <c r="AP44" s="56">
        <v>87179861</v>
      </c>
      <c r="AQ44" s="56">
        <v>46873233</v>
      </c>
      <c r="AR44" s="56">
        <v>47055443</v>
      </c>
      <c r="AS44" s="56">
        <v>11293392</v>
      </c>
      <c r="AT44" s="56">
        <v>12060</v>
      </c>
      <c r="AU44" s="56">
        <v>0</v>
      </c>
      <c r="AV44" s="56">
        <v>34702</v>
      </c>
      <c r="AW44" s="56">
        <v>83147</v>
      </c>
      <c r="AX44" s="56">
        <v>702905</v>
      </c>
      <c r="AY44" s="56">
        <v>397705</v>
      </c>
      <c r="AZ44" s="1">
        <v>5393716.5573366284</v>
      </c>
      <c r="BA44" s="1">
        <v>2750795</v>
      </c>
      <c r="BB44" s="1"/>
      <c r="BC44" s="15">
        <v>2014218</v>
      </c>
      <c r="BD44" s="15">
        <v>3949448</v>
      </c>
      <c r="BE44" s="20">
        <v>11546094</v>
      </c>
      <c r="BF44" s="20">
        <v>7844052</v>
      </c>
      <c r="BG44" s="20">
        <v>48687314</v>
      </c>
      <c r="BH44" s="20">
        <v>46285369</v>
      </c>
      <c r="BI44" s="63"/>
      <c r="BJ44" s="63"/>
      <c r="BK44" s="63"/>
      <c r="BL44" s="5">
        <v>1311866418</v>
      </c>
      <c r="BM44" s="5">
        <v>1097312671</v>
      </c>
      <c r="BN44" s="15">
        <v>1374270</v>
      </c>
      <c r="BO44" s="5"/>
      <c r="BP44" s="1"/>
      <c r="BQ44" s="1"/>
      <c r="BR44" s="5"/>
      <c r="BS44" s="5"/>
      <c r="BT44" s="5"/>
    </row>
    <row r="45" spans="1:72" x14ac:dyDescent="0.25">
      <c r="A45" s="6" t="s">
        <v>99</v>
      </c>
      <c r="B45" s="56">
        <v>161890721</v>
      </c>
      <c r="C45" s="56">
        <v>115656294</v>
      </c>
      <c r="D45" s="56">
        <v>36489226</v>
      </c>
      <c r="E45" s="56">
        <v>0</v>
      </c>
      <c r="F45" s="56">
        <v>29461405</v>
      </c>
      <c r="G45" s="56">
        <v>7495750</v>
      </c>
      <c r="H45" s="56">
        <v>14523650</v>
      </c>
      <c r="I45" s="56">
        <v>2002250</v>
      </c>
      <c r="J45" s="56">
        <v>66000</v>
      </c>
      <c r="K45" s="56">
        <v>0</v>
      </c>
      <c r="L45" s="56">
        <v>225650177</v>
      </c>
      <c r="M45" s="56">
        <v>66894601</v>
      </c>
      <c r="N45" s="56">
        <v>1303</v>
      </c>
      <c r="O45" s="56">
        <v>296</v>
      </c>
      <c r="P45" s="56">
        <v>1239950</v>
      </c>
      <c r="Q45" s="56">
        <v>1457000</v>
      </c>
      <c r="R45" s="56">
        <v>1693750</v>
      </c>
      <c r="S45" s="56">
        <v>1506630</v>
      </c>
      <c r="T45" s="56">
        <v>278100</v>
      </c>
      <c r="U45" s="56">
        <v>246000</v>
      </c>
      <c r="V45" s="56">
        <v>1239950</v>
      </c>
      <c r="W45" s="56">
        <v>1760746</v>
      </c>
      <c r="X45" s="56">
        <v>1693750</v>
      </c>
      <c r="Y45" s="56">
        <v>1506630</v>
      </c>
      <c r="Z45" s="56">
        <v>703961</v>
      </c>
      <c r="AA45" s="56">
        <v>246000</v>
      </c>
      <c r="AB45" s="56">
        <v>-2410600</v>
      </c>
      <c r="AC45" s="56">
        <v>505850</v>
      </c>
      <c r="AD45" s="56">
        <v>0</v>
      </c>
      <c r="AE45" s="56">
        <v>0</v>
      </c>
      <c r="AF45" s="56">
        <v>0</v>
      </c>
      <c r="AG45" s="56">
        <v>119</v>
      </c>
      <c r="AH45" s="56">
        <v>4005738</v>
      </c>
      <c r="AI45" s="56">
        <v>194443</v>
      </c>
      <c r="AJ45" s="56">
        <v>0</v>
      </c>
      <c r="AK45" s="1">
        <v>54691008</v>
      </c>
      <c r="AL45" s="1">
        <v>1333860</v>
      </c>
      <c r="AM45" s="56">
        <v>0</v>
      </c>
      <c r="AN45" s="56">
        <v>7108727</v>
      </c>
      <c r="AO45" s="56">
        <v>94982</v>
      </c>
      <c r="AP45" s="56">
        <v>2457646</v>
      </c>
      <c r="AQ45" s="56">
        <v>7458311</v>
      </c>
      <c r="AR45" s="56">
        <v>1388017</v>
      </c>
      <c r="AS45" s="56">
        <v>0</v>
      </c>
      <c r="AT45" s="56">
        <v>0</v>
      </c>
      <c r="AU45" s="56">
        <v>0</v>
      </c>
      <c r="AV45" s="56">
        <v>0</v>
      </c>
      <c r="AW45" s="56">
        <v>0</v>
      </c>
      <c r="AX45" s="56">
        <v>3180</v>
      </c>
      <c r="AY45" s="56">
        <v>0</v>
      </c>
      <c r="AZ45" s="1">
        <v>2099441.3823424191</v>
      </c>
      <c r="BA45" s="1">
        <v>1070715</v>
      </c>
      <c r="BB45" s="1"/>
      <c r="BC45" s="15">
        <v>0</v>
      </c>
      <c r="BD45" s="15">
        <v>0</v>
      </c>
      <c r="BE45" s="20">
        <v>14213770</v>
      </c>
      <c r="BF45" s="20">
        <v>14213770</v>
      </c>
      <c r="BG45" s="20">
        <v>30566236</v>
      </c>
      <c r="BH45" s="20">
        <v>30479651</v>
      </c>
      <c r="BI45" s="63"/>
      <c r="BJ45" s="63"/>
      <c r="BK45" s="63"/>
      <c r="BL45" s="5">
        <v>434687446</v>
      </c>
      <c r="BM45" s="5">
        <v>332898442</v>
      </c>
      <c r="BN45" s="15">
        <v>280762</v>
      </c>
      <c r="BO45" s="5"/>
      <c r="BP45" s="1"/>
      <c r="BQ45" s="1"/>
      <c r="BR45" s="5"/>
      <c r="BS45" s="5"/>
      <c r="BT45" s="5"/>
    </row>
    <row r="46" spans="1:72" x14ac:dyDescent="0.25">
      <c r="A46" s="6" t="s">
        <v>100</v>
      </c>
      <c r="B46" s="56">
        <v>880301738</v>
      </c>
      <c r="C46" s="56">
        <v>116787692</v>
      </c>
      <c r="D46" s="56">
        <v>274414336</v>
      </c>
      <c r="E46" s="56">
        <v>0</v>
      </c>
      <c r="F46" s="56">
        <v>118702494</v>
      </c>
      <c r="G46" s="56">
        <v>33866725</v>
      </c>
      <c r="H46" s="56">
        <v>16651685</v>
      </c>
      <c r="I46" s="56">
        <v>5663883</v>
      </c>
      <c r="J46" s="56">
        <v>143000</v>
      </c>
      <c r="K46" s="56">
        <v>0</v>
      </c>
      <c r="L46" s="56">
        <v>106846596</v>
      </c>
      <c r="M46" s="56">
        <v>102779389</v>
      </c>
      <c r="N46" s="56">
        <v>4080</v>
      </c>
      <c r="O46" s="56">
        <v>1294</v>
      </c>
      <c r="P46" s="56">
        <v>4498873</v>
      </c>
      <c r="Q46" s="56">
        <v>1213292</v>
      </c>
      <c r="R46" s="56">
        <v>1069232</v>
      </c>
      <c r="S46" s="56">
        <v>1441995</v>
      </c>
      <c r="T46" s="56">
        <v>197225</v>
      </c>
      <c r="U46" s="56">
        <v>480500</v>
      </c>
      <c r="V46" s="56">
        <v>4498873</v>
      </c>
      <c r="W46" s="56">
        <v>1641064</v>
      </c>
      <c r="X46" s="56">
        <v>1069232</v>
      </c>
      <c r="Y46" s="56">
        <v>1441995</v>
      </c>
      <c r="Z46" s="56">
        <v>209500</v>
      </c>
      <c r="AA46" s="56">
        <v>480500</v>
      </c>
      <c r="AB46" s="56">
        <v>-12367026</v>
      </c>
      <c r="AC46" s="56">
        <v>-1826686</v>
      </c>
      <c r="AD46" s="56">
        <v>147152</v>
      </c>
      <c r="AE46" s="56">
        <v>0</v>
      </c>
      <c r="AF46" s="56">
        <v>0</v>
      </c>
      <c r="AG46" s="56">
        <v>187973</v>
      </c>
      <c r="AH46" s="56">
        <v>2224893</v>
      </c>
      <c r="AI46" s="56">
        <v>398921</v>
      </c>
      <c r="AJ46" s="56">
        <v>0</v>
      </c>
      <c r="AK46" s="1">
        <v>121074953</v>
      </c>
      <c r="AL46" s="1">
        <v>6003912</v>
      </c>
      <c r="AM46" s="56">
        <v>27500</v>
      </c>
      <c r="AN46" s="56">
        <v>46130311</v>
      </c>
      <c r="AO46" s="56">
        <v>1126662</v>
      </c>
      <c r="AP46" s="56">
        <v>109800807</v>
      </c>
      <c r="AQ46" s="56">
        <v>42881739</v>
      </c>
      <c r="AR46" s="56">
        <v>63042603</v>
      </c>
      <c r="AS46" s="56">
        <v>93776635</v>
      </c>
      <c r="AT46" s="56">
        <v>274734</v>
      </c>
      <c r="AU46" s="56">
        <v>0</v>
      </c>
      <c r="AV46" s="56">
        <v>0</v>
      </c>
      <c r="AW46" s="56">
        <v>0</v>
      </c>
      <c r="AX46" s="56">
        <v>28937</v>
      </c>
      <c r="AY46" s="56">
        <v>737500</v>
      </c>
      <c r="AZ46" s="1">
        <v>8788669.6266071703</v>
      </c>
      <c r="BA46" s="1">
        <v>4482222</v>
      </c>
      <c r="BB46" s="1">
        <v>29378238.34</v>
      </c>
      <c r="BC46" s="15">
        <v>27611822</v>
      </c>
      <c r="BD46" s="15">
        <v>54140827</v>
      </c>
      <c r="BE46" s="20">
        <v>59811108</v>
      </c>
      <c r="BF46" s="20">
        <v>59811108</v>
      </c>
      <c r="BG46" s="20">
        <v>92793290</v>
      </c>
      <c r="BH46" s="20">
        <v>80289008</v>
      </c>
      <c r="BI46" s="63"/>
      <c r="BJ46" s="63"/>
      <c r="BK46" s="63"/>
      <c r="BL46" s="5">
        <v>1663539317</v>
      </c>
      <c r="BM46" s="5">
        <v>1364266292</v>
      </c>
      <c r="BN46" s="15">
        <v>2051930</v>
      </c>
      <c r="BO46" s="5"/>
      <c r="BP46" s="1"/>
      <c r="BQ46" s="1"/>
      <c r="BR46" s="5"/>
      <c r="BS46" s="5"/>
      <c r="BT46" s="5"/>
    </row>
    <row r="47" spans="1:72" x14ac:dyDescent="0.25">
      <c r="A47" s="6" t="s">
        <v>101</v>
      </c>
      <c r="B47" s="56">
        <v>152216470</v>
      </c>
      <c r="C47" s="56">
        <v>79085700</v>
      </c>
      <c r="D47" s="56">
        <v>113027918</v>
      </c>
      <c r="E47" s="56">
        <v>340000000</v>
      </c>
      <c r="F47" s="56">
        <v>19132100</v>
      </c>
      <c r="G47" s="56">
        <v>3571900</v>
      </c>
      <c r="H47" s="56">
        <v>9718500</v>
      </c>
      <c r="I47" s="56">
        <v>1091500</v>
      </c>
      <c r="J47" s="56">
        <v>0</v>
      </c>
      <c r="K47" s="56">
        <v>0</v>
      </c>
      <c r="L47" s="56">
        <v>171190900</v>
      </c>
      <c r="M47" s="56">
        <v>60291700</v>
      </c>
      <c r="N47" s="56">
        <v>850</v>
      </c>
      <c r="O47" s="56">
        <v>154</v>
      </c>
      <c r="P47" s="56">
        <v>4207100</v>
      </c>
      <c r="Q47" s="56">
        <v>1399500</v>
      </c>
      <c r="R47" s="56">
        <v>1701340</v>
      </c>
      <c r="S47" s="56">
        <v>1919150</v>
      </c>
      <c r="T47" s="56">
        <v>3026900</v>
      </c>
      <c r="U47" s="56">
        <v>289940</v>
      </c>
      <c r="V47" s="56">
        <v>4207100</v>
      </c>
      <c r="W47" s="56">
        <v>1692600</v>
      </c>
      <c r="X47" s="56">
        <v>1701340</v>
      </c>
      <c r="Y47" s="56">
        <v>1919150</v>
      </c>
      <c r="Z47" s="56">
        <v>1836000</v>
      </c>
      <c r="AA47" s="56">
        <v>289940</v>
      </c>
      <c r="AB47" s="56">
        <v>-1117500</v>
      </c>
      <c r="AC47" s="56">
        <v>0</v>
      </c>
      <c r="AD47" s="56">
        <v>90420</v>
      </c>
      <c r="AE47" s="56">
        <v>0</v>
      </c>
      <c r="AF47" s="56">
        <v>0</v>
      </c>
      <c r="AG47" s="56">
        <v>107930</v>
      </c>
      <c r="AH47" s="56">
        <v>918607</v>
      </c>
      <c r="AI47" s="56">
        <v>275509</v>
      </c>
      <c r="AJ47" s="56">
        <v>0</v>
      </c>
      <c r="AK47" s="1">
        <v>55324471</v>
      </c>
      <c r="AL47" s="1">
        <v>1694903</v>
      </c>
      <c r="AM47" s="56">
        <v>0</v>
      </c>
      <c r="AN47" s="56">
        <v>26830394</v>
      </c>
      <c r="AO47" s="56">
        <v>42587960</v>
      </c>
      <c r="AP47" s="56">
        <v>482753240</v>
      </c>
      <c r="AQ47" s="56">
        <v>29486741</v>
      </c>
      <c r="AR47" s="56">
        <v>146290985</v>
      </c>
      <c r="AS47" s="56">
        <v>48670870</v>
      </c>
      <c r="AT47" s="56">
        <v>1165390</v>
      </c>
      <c r="AU47" s="56">
        <v>0</v>
      </c>
      <c r="AV47" s="56">
        <v>0</v>
      </c>
      <c r="AW47" s="56">
        <v>491379</v>
      </c>
      <c r="AX47" s="56">
        <v>184772</v>
      </c>
      <c r="AY47" s="56">
        <v>349000</v>
      </c>
      <c r="AZ47" s="1">
        <v>2123758.3310514791</v>
      </c>
      <c r="BA47" s="1">
        <v>1083117</v>
      </c>
      <c r="BB47" s="1">
        <v>27111398.960000001</v>
      </c>
      <c r="BC47" s="15">
        <v>1497451</v>
      </c>
      <c r="BD47" s="15">
        <v>2936178</v>
      </c>
      <c r="BE47" s="20">
        <v>15099764</v>
      </c>
      <c r="BF47" s="20">
        <v>15099764</v>
      </c>
      <c r="BG47" s="20">
        <v>31674633</v>
      </c>
      <c r="BH47" s="20">
        <v>29818170</v>
      </c>
      <c r="BI47" s="63"/>
      <c r="BJ47" s="63"/>
      <c r="BK47" s="63"/>
      <c r="BL47" s="5">
        <v>548947175</v>
      </c>
      <c r="BM47" s="5">
        <v>444429299</v>
      </c>
      <c r="BN47" s="15">
        <v>435110</v>
      </c>
      <c r="BO47" s="5"/>
      <c r="BP47" s="1"/>
      <c r="BQ47" s="1"/>
      <c r="BR47" s="5"/>
      <c r="BS47" s="5"/>
      <c r="BT47" s="5"/>
    </row>
    <row r="48" spans="1:72" x14ac:dyDescent="0.25">
      <c r="A48" s="6" t="s">
        <v>102</v>
      </c>
      <c r="B48" s="56">
        <v>3757046864</v>
      </c>
      <c r="C48" s="56">
        <v>361578210</v>
      </c>
      <c r="D48" s="56">
        <v>1412371603</v>
      </c>
      <c r="E48" s="56">
        <v>9000000</v>
      </c>
      <c r="F48" s="56">
        <v>215677100</v>
      </c>
      <c r="G48" s="56">
        <v>26584100</v>
      </c>
      <c r="H48" s="56">
        <v>27011600</v>
      </c>
      <c r="I48" s="56">
        <v>2339200</v>
      </c>
      <c r="J48" s="56">
        <v>432000</v>
      </c>
      <c r="K48" s="56">
        <v>36000</v>
      </c>
      <c r="L48" s="56">
        <v>606488520</v>
      </c>
      <c r="M48" s="56">
        <v>997417530</v>
      </c>
      <c r="N48" s="56">
        <v>6912</v>
      </c>
      <c r="O48" s="56">
        <v>868</v>
      </c>
      <c r="P48" s="56">
        <v>52048300</v>
      </c>
      <c r="Q48" s="56">
        <v>6451900</v>
      </c>
      <c r="R48" s="56">
        <v>60137700</v>
      </c>
      <c r="S48" s="56">
        <v>18009600</v>
      </c>
      <c r="T48" s="56">
        <v>5538100</v>
      </c>
      <c r="U48" s="56">
        <v>12476245</v>
      </c>
      <c r="V48" s="56">
        <v>52048300</v>
      </c>
      <c r="W48" s="56">
        <v>6451900</v>
      </c>
      <c r="X48" s="56">
        <v>60137700</v>
      </c>
      <c r="Y48" s="56">
        <v>18009600</v>
      </c>
      <c r="Z48" s="56">
        <v>5538100</v>
      </c>
      <c r="AA48" s="56">
        <v>12476245</v>
      </c>
      <c r="AB48" s="56">
        <v>-1225600</v>
      </c>
      <c r="AC48" s="56">
        <v>-4753683</v>
      </c>
      <c r="AD48" s="56">
        <v>86419</v>
      </c>
      <c r="AE48" s="56">
        <v>0</v>
      </c>
      <c r="AF48" s="56">
        <v>0</v>
      </c>
      <c r="AG48" s="56">
        <v>264355</v>
      </c>
      <c r="AH48" s="56">
        <v>0</v>
      </c>
      <c r="AI48" s="56">
        <v>829069</v>
      </c>
      <c r="AJ48" s="56">
        <v>0</v>
      </c>
      <c r="AK48" s="1">
        <v>629216711</v>
      </c>
      <c r="AL48" s="1">
        <v>15680227</v>
      </c>
      <c r="AM48" s="56">
        <v>55000</v>
      </c>
      <c r="AN48" s="56">
        <v>187842126</v>
      </c>
      <c r="AO48" s="56">
        <v>18137911</v>
      </c>
      <c r="AP48" s="56">
        <v>491760485</v>
      </c>
      <c r="AQ48" s="56">
        <v>187001495</v>
      </c>
      <c r="AR48" s="56">
        <v>166858797</v>
      </c>
      <c r="AS48" s="56">
        <v>51846744</v>
      </c>
      <c r="AT48" s="56">
        <v>2144</v>
      </c>
      <c r="AU48" s="56">
        <v>0</v>
      </c>
      <c r="AV48" s="56">
        <v>12140</v>
      </c>
      <c r="AW48" s="56">
        <v>280484</v>
      </c>
      <c r="AX48" s="56">
        <v>2215908</v>
      </c>
      <c r="AY48" s="56">
        <v>947045</v>
      </c>
      <c r="AZ48" s="1">
        <v>24153945.042204939</v>
      </c>
      <c r="BA48" s="1">
        <v>12318512</v>
      </c>
      <c r="BB48" s="1">
        <v>2538860.1</v>
      </c>
      <c r="BC48" s="15">
        <v>4988567</v>
      </c>
      <c r="BD48" s="15">
        <v>9781504</v>
      </c>
      <c r="BE48" s="20">
        <v>45498074</v>
      </c>
      <c r="BF48" s="20">
        <v>39664204</v>
      </c>
      <c r="BG48" s="20">
        <v>230707539</v>
      </c>
      <c r="BH48" s="20">
        <v>221568067</v>
      </c>
      <c r="BI48" s="63"/>
      <c r="BJ48" s="63"/>
      <c r="BK48" s="63"/>
      <c r="BL48" s="5">
        <v>6848243566</v>
      </c>
      <c r="BM48" s="5">
        <v>5924807278</v>
      </c>
      <c r="BN48" s="15">
        <v>12150800</v>
      </c>
      <c r="BO48" s="5"/>
      <c r="BP48" s="1"/>
      <c r="BQ48" s="1"/>
      <c r="BR48" s="5"/>
      <c r="BS48" s="5"/>
      <c r="BT48" s="5"/>
    </row>
    <row r="49" spans="1:72" x14ac:dyDescent="0.25">
      <c r="A49" s="6" t="s">
        <v>103</v>
      </c>
      <c r="B49" s="56">
        <v>389338576</v>
      </c>
      <c r="C49" s="56">
        <v>40130795</v>
      </c>
      <c r="D49" s="56">
        <v>146664079</v>
      </c>
      <c r="E49" s="56">
        <v>0</v>
      </c>
      <c r="F49" s="56">
        <v>56829624</v>
      </c>
      <c r="G49" s="56">
        <v>68665811</v>
      </c>
      <c r="H49" s="56">
        <v>2624355</v>
      </c>
      <c r="I49" s="56">
        <v>1357060</v>
      </c>
      <c r="J49" s="56">
        <v>306200</v>
      </c>
      <c r="K49" s="56">
        <v>128450</v>
      </c>
      <c r="L49" s="56">
        <v>93222697</v>
      </c>
      <c r="M49" s="56">
        <v>16593633</v>
      </c>
      <c r="N49" s="56">
        <v>1989</v>
      </c>
      <c r="O49" s="56">
        <v>2465</v>
      </c>
      <c r="P49" s="56">
        <v>4929030</v>
      </c>
      <c r="Q49" s="56">
        <v>174100</v>
      </c>
      <c r="R49" s="56">
        <v>7500</v>
      </c>
      <c r="S49" s="56">
        <v>3810525</v>
      </c>
      <c r="T49" s="56">
        <v>59114</v>
      </c>
      <c r="U49" s="56">
        <v>1692881</v>
      </c>
      <c r="V49" s="56">
        <v>4929030</v>
      </c>
      <c r="W49" s="56">
        <v>205850</v>
      </c>
      <c r="X49" s="56">
        <v>7500</v>
      </c>
      <c r="Y49" s="56">
        <v>3810525</v>
      </c>
      <c r="Z49" s="56">
        <v>42500</v>
      </c>
      <c r="AA49" s="56">
        <v>1692881</v>
      </c>
      <c r="AB49" s="56">
        <v>-2681611</v>
      </c>
      <c r="AC49" s="56">
        <v>-2521057</v>
      </c>
      <c r="AD49" s="56">
        <v>238045</v>
      </c>
      <c r="AE49" s="56">
        <v>0</v>
      </c>
      <c r="AF49" s="56">
        <v>0</v>
      </c>
      <c r="AG49" s="56">
        <v>207698</v>
      </c>
      <c r="AH49" s="56">
        <v>15887934</v>
      </c>
      <c r="AI49" s="56">
        <v>43203610</v>
      </c>
      <c r="AJ49" s="64">
        <v>282515393</v>
      </c>
      <c r="AK49" s="1">
        <v>161231230</v>
      </c>
      <c r="AL49" s="1">
        <v>1914168</v>
      </c>
      <c r="AM49" s="56">
        <v>0</v>
      </c>
      <c r="AN49" s="56">
        <v>208734681</v>
      </c>
      <c r="AO49" s="56">
        <v>15216256</v>
      </c>
      <c r="AP49" s="56">
        <v>61541702</v>
      </c>
      <c r="AQ49" s="56">
        <v>30225031</v>
      </c>
      <c r="AR49" s="56">
        <v>10227569</v>
      </c>
      <c r="AS49" s="56">
        <v>59</v>
      </c>
      <c r="AT49" s="56">
        <v>19118</v>
      </c>
      <c r="AU49" s="56">
        <v>0</v>
      </c>
      <c r="AV49" s="56">
        <v>0</v>
      </c>
      <c r="AW49" s="56">
        <v>0</v>
      </c>
      <c r="AX49" s="56">
        <v>0</v>
      </c>
      <c r="AY49" s="56">
        <v>186000</v>
      </c>
      <c r="AZ49" s="1">
        <v>6189235.2832108811</v>
      </c>
      <c r="BA49" s="1">
        <v>3156510</v>
      </c>
      <c r="BB49" s="1"/>
      <c r="BC49" s="15">
        <v>7679868</v>
      </c>
      <c r="BD49" s="15">
        <v>15058565</v>
      </c>
      <c r="BE49" s="20">
        <v>18906469</v>
      </c>
      <c r="BF49" s="20">
        <v>18906469</v>
      </c>
      <c r="BG49" s="20">
        <v>56780294</v>
      </c>
      <c r="BH49" s="20">
        <v>51450210</v>
      </c>
      <c r="BI49" s="63"/>
      <c r="BJ49" s="63"/>
      <c r="BK49" s="63"/>
      <c r="BL49" s="5">
        <v>1416254810</v>
      </c>
      <c r="BM49" s="5">
        <v>1171916355</v>
      </c>
      <c r="BN49" s="15">
        <v>788921</v>
      </c>
      <c r="BO49" s="5"/>
      <c r="BP49" s="1"/>
      <c r="BQ49" s="1"/>
      <c r="BR49" s="5"/>
      <c r="BS49" s="5"/>
      <c r="BT49" s="5"/>
    </row>
    <row r="50" spans="1:72" x14ac:dyDescent="0.25">
      <c r="A50" s="6" t="s">
        <v>104</v>
      </c>
      <c r="B50" s="56">
        <v>457159186</v>
      </c>
      <c r="C50" s="56">
        <v>219011272</v>
      </c>
      <c r="D50" s="56">
        <v>106247638</v>
      </c>
      <c r="E50" s="56">
        <v>0</v>
      </c>
      <c r="F50" s="56">
        <v>36843866</v>
      </c>
      <c r="G50" s="56">
        <v>4968490</v>
      </c>
      <c r="H50" s="56">
        <v>14838387</v>
      </c>
      <c r="I50" s="56">
        <v>2006422</v>
      </c>
      <c r="J50" s="56">
        <v>72000</v>
      </c>
      <c r="K50" s="56">
        <v>18000</v>
      </c>
      <c r="L50" s="56">
        <v>306542795</v>
      </c>
      <c r="M50" s="56">
        <v>154038882</v>
      </c>
      <c r="N50" s="56">
        <v>1455</v>
      </c>
      <c r="O50" s="56">
        <v>200</v>
      </c>
      <c r="P50" s="56">
        <v>1482873</v>
      </c>
      <c r="Q50" s="56">
        <v>1462955</v>
      </c>
      <c r="R50" s="56">
        <v>526897</v>
      </c>
      <c r="S50" s="56">
        <v>232980</v>
      </c>
      <c r="T50" s="56">
        <v>0</v>
      </c>
      <c r="U50" s="56">
        <v>110000</v>
      </c>
      <c r="V50" s="56">
        <v>1482873</v>
      </c>
      <c r="W50" s="56">
        <v>1462955</v>
      </c>
      <c r="X50" s="56">
        <v>526897</v>
      </c>
      <c r="Y50" s="56">
        <v>232980</v>
      </c>
      <c r="Z50" s="56">
        <v>0</v>
      </c>
      <c r="AA50" s="56">
        <v>110000</v>
      </c>
      <c r="AB50" s="56">
        <v>-2658318</v>
      </c>
      <c r="AC50" s="56">
        <v>-1000</v>
      </c>
      <c r="AD50" s="56">
        <v>0</v>
      </c>
      <c r="AE50" s="56">
        <v>0</v>
      </c>
      <c r="AF50" s="56">
        <v>0</v>
      </c>
      <c r="AG50" s="56">
        <v>194856</v>
      </c>
      <c r="AH50" s="56">
        <v>0</v>
      </c>
      <c r="AI50" s="56">
        <v>0</v>
      </c>
      <c r="AJ50" s="56">
        <v>0</v>
      </c>
      <c r="AK50" s="1">
        <v>115834585</v>
      </c>
      <c r="AL50" s="1">
        <v>2525128</v>
      </c>
      <c r="AM50" s="56">
        <v>0</v>
      </c>
      <c r="AN50" s="56">
        <v>29976958</v>
      </c>
      <c r="AO50" s="56">
        <v>3652633</v>
      </c>
      <c r="AP50" s="56">
        <v>81377252</v>
      </c>
      <c r="AQ50" s="56">
        <v>17506478</v>
      </c>
      <c r="AR50" s="56">
        <v>20030385</v>
      </c>
      <c r="AS50" s="56">
        <v>461069</v>
      </c>
      <c r="AT50" s="56">
        <v>891855</v>
      </c>
      <c r="AU50" s="56">
        <v>0</v>
      </c>
      <c r="AV50" s="56">
        <v>11191</v>
      </c>
      <c r="AW50" s="56">
        <v>1490478</v>
      </c>
      <c r="AX50" s="56">
        <v>9906</v>
      </c>
      <c r="AY50" s="56">
        <v>319515</v>
      </c>
      <c r="AZ50" s="1">
        <v>4446579.6142477477</v>
      </c>
      <c r="BA50" s="1">
        <v>2267756</v>
      </c>
      <c r="BB50" s="1"/>
      <c r="BC50" s="15">
        <v>1993078</v>
      </c>
      <c r="BD50" s="15">
        <v>3907996</v>
      </c>
      <c r="BE50" s="20">
        <v>16041170</v>
      </c>
      <c r="BF50" s="20">
        <v>16041170</v>
      </c>
      <c r="BG50" s="20">
        <v>45481003</v>
      </c>
      <c r="BH50" s="20">
        <v>41261569</v>
      </c>
      <c r="BI50" s="63"/>
      <c r="BJ50" s="63"/>
      <c r="BK50" s="63"/>
      <c r="BL50" s="5">
        <v>1013477451</v>
      </c>
      <c r="BM50" s="5">
        <v>833554165</v>
      </c>
      <c r="BN50" s="15">
        <v>1093248</v>
      </c>
      <c r="BO50" s="5"/>
      <c r="BP50" s="1"/>
      <c r="BQ50" s="1"/>
      <c r="BR50" s="5"/>
      <c r="BS50" s="5"/>
      <c r="BT50" s="5"/>
    </row>
    <row r="51" spans="1:72" x14ac:dyDescent="0.25">
      <c r="A51" s="6" t="s">
        <v>105</v>
      </c>
      <c r="B51" s="56">
        <v>281939694</v>
      </c>
      <c r="C51" s="56">
        <v>207938296</v>
      </c>
      <c r="D51" s="56">
        <v>139656348</v>
      </c>
      <c r="E51" s="56">
        <v>11720169</v>
      </c>
      <c r="F51" s="56">
        <v>38951400</v>
      </c>
      <c r="G51" s="56">
        <v>10700750</v>
      </c>
      <c r="H51" s="56">
        <v>18712100</v>
      </c>
      <c r="I51" s="56">
        <v>3207800</v>
      </c>
      <c r="J51" s="56">
        <v>144000</v>
      </c>
      <c r="K51" s="56">
        <v>36000</v>
      </c>
      <c r="L51" s="56">
        <v>278475634</v>
      </c>
      <c r="M51" s="56">
        <v>125701875</v>
      </c>
      <c r="N51" s="56">
        <v>1723</v>
      </c>
      <c r="O51" s="56">
        <v>464</v>
      </c>
      <c r="P51" s="56">
        <v>1638700</v>
      </c>
      <c r="Q51" s="56">
        <v>1636850</v>
      </c>
      <c r="R51" s="56">
        <v>1207140</v>
      </c>
      <c r="S51" s="56">
        <v>2246205</v>
      </c>
      <c r="T51" s="56">
        <v>467750</v>
      </c>
      <c r="U51" s="56">
        <v>1086100</v>
      </c>
      <c r="V51" s="56">
        <v>1638700</v>
      </c>
      <c r="W51" s="56">
        <v>1635950</v>
      </c>
      <c r="X51" s="56">
        <v>1207140</v>
      </c>
      <c r="Y51" s="56">
        <v>2246205</v>
      </c>
      <c r="Z51" s="56">
        <v>502603</v>
      </c>
      <c r="AA51" s="56">
        <v>1086100</v>
      </c>
      <c r="AB51" s="56">
        <v>-2141200</v>
      </c>
      <c r="AC51" s="56">
        <v>0</v>
      </c>
      <c r="AD51" s="56">
        <v>103925</v>
      </c>
      <c r="AE51" s="56">
        <v>0</v>
      </c>
      <c r="AF51" s="56">
        <v>0</v>
      </c>
      <c r="AG51" s="56">
        <v>234482</v>
      </c>
      <c r="AH51" s="56">
        <v>2149672</v>
      </c>
      <c r="AI51" s="56">
        <v>209459</v>
      </c>
      <c r="AJ51" s="56">
        <v>0</v>
      </c>
      <c r="AK51" s="1">
        <v>80007967</v>
      </c>
      <c r="AL51" s="1">
        <v>3455246</v>
      </c>
      <c r="AM51" s="56">
        <v>0</v>
      </c>
      <c r="AN51" s="56">
        <v>12885464</v>
      </c>
      <c r="AO51" s="56">
        <v>468118</v>
      </c>
      <c r="AP51" s="56">
        <v>173612970</v>
      </c>
      <c r="AQ51" s="56">
        <v>44979324</v>
      </c>
      <c r="AR51" s="56">
        <v>44496464</v>
      </c>
      <c r="AS51" s="56">
        <v>1280558</v>
      </c>
      <c r="AT51" s="56">
        <v>824149</v>
      </c>
      <c r="AU51" s="56">
        <v>0</v>
      </c>
      <c r="AV51" s="56">
        <v>17203</v>
      </c>
      <c r="AW51" s="56">
        <v>4826562</v>
      </c>
      <c r="AX51" s="56">
        <v>222465</v>
      </c>
      <c r="AY51" s="56">
        <v>15000</v>
      </c>
      <c r="AZ51" s="1">
        <v>3071291.6616363456</v>
      </c>
      <c r="BA51" s="1">
        <v>1566359</v>
      </c>
      <c r="BB51" s="1"/>
      <c r="BC51" s="15">
        <v>1308948</v>
      </c>
      <c r="BD51" s="15">
        <v>2566565</v>
      </c>
      <c r="BE51" s="20">
        <v>14479776</v>
      </c>
      <c r="BF51" s="20">
        <v>14479776</v>
      </c>
      <c r="BG51" s="20">
        <v>60780861</v>
      </c>
      <c r="BH51" s="20">
        <v>57633220</v>
      </c>
      <c r="BI51" s="63"/>
      <c r="BJ51" s="63"/>
      <c r="BK51" s="63"/>
      <c r="BL51" s="5">
        <v>848677891</v>
      </c>
      <c r="BM51" s="5">
        <v>690226375</v>
      </c>
      <c r="BN51" s="15">
        <v>749915</v>
      </c>
      <c r="BO51" s="5"/>
      <c r="BP51" s="1"/>
      <c r="BQ51" s="1"/>
      <c r="BR51" s="5"/>
      <c r="BS51" s="5"/>
      <c r="BT51" s="5"/>
    </row>
    <row r="52" spans="1:72" x14ac:dyDescent="0.25">
      <c r="A52" s="6" t="s">
        <v>106</v>
      </c>
      <c r="B52" s="56">
        <v>1260116574</v>
      </c>
      <c r="C52" s="56">
        <v>252132818</v>
      </c>
      <c r="D52" s="56">
        <v>512384670</v>
      </c>
      <c r="E52" s="56">
        <v>138354595</v>
      </c>
      <c r="F52" s="56">
        <v>120333056</v>
      </c>
      <c r="G52" s="56">
        <v>15990388</v>
      </c>
      <c r="H52" s="56">
        <v>10201181</v>
      </c>
      <c r="I52" s="56">
        <v>740000</v>
      </c>
      <c r="J52" s="56">
        <v>216000</v>
      </c>
      <c r="K52" s="56">
        <v>0</v>
      </c>
      <c r="L52" s="56">
        <v>721136579</v>
      </c>
      <c r="M52" s="56">
        <v>96162820</v>
      </c>
      <c r="N52" s="56">
        <v>3786</v>
      </c>
      <c r="O52" s="56">
        <v>526</v>
      </c>
      <c r="P52" s="56">
        <v>12775000</v>
      </c>
      <c r="Q52" s="56">
        <v>1270500</v>
      </c>
      <c r="R52" s="56">
        <v>9830150</v>
      </c>
      <c r="S52" s="56">
        <v>10959770</v>
      </c>
      <c r="T52" s="56">
        <v>2605992</v>
      </c>
      <c r="U52" s="56">
        <v>5933670</v>
      </c>
      <c r="V52" s="56">
        <v>12775000</v>
      </c>
      <c r="W52" s="56">
        <v>1738050</v>
      </c>
      <c r="X52" s="56">
        <v>9830150</v>
      </c>
      <c r="Y52" s="56">
        <v>10959770</v>
      </c>
      <c r="Z52" s="56">
        <v>4793800</v>
      </c>
      <c r="AA52" s="56">
        <v>5933670</v>
      </c>
      <c r="AB52" s="56">
        <v>-1357365</v>
      </c>
      <c r="AC52" s="56">
        <v>-812520</v>
      </c>
      <c r="AD52" s="56">
        <v>38870</v>
      </c>
      <c r="AE52" s="56">
        <v>5143</v>
      </c>
      <c r="AF52" s="56">
        <v>19978712</v>
      </c>
      <c r="AG52" s="56">
        <v>243913</v>
      </c>
      <c r="AH52" s="56">
        <v>35515508</v>
      </c>
      <c r="AI52" s="56">
        <v>0</v>
      </c>
      <c r="AJ52" s="64">
        <v>54081910</v>
      </c>
      <c r="AK52" s="1">
        <v>293981663</v>
      </c>
      <c r="AL52" s="1">
        <v>14077021</v>
      </c>
      <c r="AM52" s="56">
        <v>210921</v>
      </c>
      <c r="AN52" s="56">
        <v>134690101</v>
      </c>
      <c r="AO52" s="56">
        <v>17248734</v>
      </c>
      <c r="AP52" s="56">
        <v>343092934</v>
      </c>
      <c r="AQ52" s="56">
        <v>113307437</v>
      </c>
      <c r="AR52" s="56">
        <v>175726745</v>
      </c>
      <c r="AS52" s="56">
        <v>105550382</v>
      </c>
      <c r="AT52" s="56">
        <v>8208361</v>
      </c>
      <c r="AU52" s="56">
        <v>0</v>
      </c>
      <c r="AV52" s="56">
        <v>6308177</v>
      </c>
      <c r="AW52" s="56">
        <v>39884034</v>
      </c>
      <c r="AX52" s="56">
        <v>4212380</v>
      </c>
      <c r="AY52" s="56">
        <v>1589770</v>
      </c>
      <c r="AZ52" s="1">
        <v>11285169.016304167</v>
      </c>
      <c r="BA52" s="1">
        <v>5755436</v>
      </c>
      <c r="BB52" s="1">
        <v>68277202.069999993</v>
      </c>
      <c r="BC52" s="15">
        <v>2526875</v>
      </c>
      <c r="BD52" s="15">
        <v>4954657</v>
      </c>
      <c r="BE52" s="20">
        <v>31671094</v>
      </c>
      <c r="BF52" s="20">
        <v>31671094</v>
      </c>
      <c r="BG52" s="20">
        <v>94164700</v>
      </c>
      <c r="BH52" s="20">
        <v>90543152</v>
      </c>
      <c r="BI52" s="63"/>
      <c r="BJ52" s="63"/>
      <c r="BK52" s="63"/>
      <c r="BL52" s="5">
        <v>2818032993</v>
      </c>
      <c r="BM52" s="5">
        <v>2379477752</v>
      </c>
      <c r="BN52" s="15">
        <v>4543935</v>
      </c>
      <c r="BO52" s="5"/>
      <c r="BP52" s="1"/>
      <c r="BQ52" s="1"/>
      <c r="BR52" s="5"/>
      <c r="BS52" s="5"/>
      <c r="BT52" s="5"/>
    </row>
    <row r="53" spans="1:72" x14ac:dyDescent="0.25">
      <c r="A53" s="6" t="s">
        <v>107</v>
      </c>
      <c r="B53" s="56">
        <v>414223600</v>
      </c>
      <c r="C53" s="56">
        <v>197803700</v>
      </c>
      <c r="D53" s="56">
        <v>70224500</v>
      </c>
      <c r="E53" s="56">
        <v>0</v>
      </c>
      <c r="F53" s="56">
        <v>34991000</v>
      </c>
      <c r="G53" s="56">
        <v>5238200</v>
      </c>
      <c r="H53" s="56">
        <v>11229600</v>
      </c>
      <c r="I53" s="56">
        <v>780400</v>
      </c>
      <c r="J53" s="56">
        <v>72000</v>
      </c>
      <c r="K53" s="56">
        <v>0</v>
      </c>
      <c r="L53" s="56">
        <v>294885333</v>
      </c>
      <c r="M53" s="56">
        <v>135336300</v>
      </c>
      <c r="N53" s="56">
        <v>1314</v>
      </c>
      <c r="O53" s="56">
        <v>173</v>
      </c>
      <c r="P53" s="56">
        <v>3546100</v>
      </c>
      <c r="Q53" s="56">
        <v>5607400</v>
      </c>
      <c r="R53" s="56">
        <v>805000</v>
      </c>
      <c r="S53" s="56">
        <v>10511500</v>
      </c>
      <c r="T53" s="56">
        <v>1448700</v>
      </c>
      <c r="U53" s="56">
        <v>1319800</v>
      </c>
      <c r="V53" s="56">
        <v>3546100</v>
      </c>
      <c r="W53" s="56">
        <v>8003400</v>
      </c>
      <c r="X53" s="56">
        <v>805000</v>
      </c>
      <c r="Y53" s="56">
        <v>10511500</v>
      </c>
      <c r="Z53" s="56">
        <v>2010600</v>
      </c>
      <c r="AA53" s="56">
        <v>1319800</v>
      </c>
      <c r="AB53" s="56">
        <v>-4536200</v>
      </c>
      <c r="AC53" s="56">
        <v>-5175</v>
      </c>
      <c r="AD53" s="56">
        <v>31690</v>
      </c>
      <c r="AE53" s="56">
        <v>85582</v>
      </c>
      <c r="AF53" s="56">
        <v>148934800</v>
      </c>
      <c r="AG53" s="56">
        <v>168881</v>
      </c>
      <c r="AH53" s="56">
        <v>0</v>
      </c>
      <c r="AI53" s="56">
        <v>493680</v>
      </c>
      <c r="AJ53" s="56">
        <v>0</v>
      </c>
      <c r="AK53" s="1">
        <v>93958409</v>
      </c>
      <c r="AL53" s="1">
        <v>2281474</v>
      </c>
      <c r="AM53" s="56">
        <v>101000</v>
      </c>
      <c r="AN53" s="56">
        <v>13636018</v>
      </c>
      <c r="AO53" s="56">
        <v>1433465</v>
      </c>
      <c r="AP53" s="56">
        <v>28661259</v>
      </c>
      <c r="AQ53" s="56">
        <v>16781014</v>
      </c>
      <c r="AR53" s="56">
        <v>35115380</v>
      </c>
      <c r="AS53" s="56">
        <v>9437999</v>
      </c>
      <c r="AT53" s="56">
        <v>1379123</v>
      </c>
      <c r="AU53" s="56"/>
      <c r="AV53" s="56"/>
      <c r="AW53" s="56">
        <v>18030</v>
      </c>
      <c r="AX53" s="56">
        <v>140526</v>
      </c>
      <c r="AY53" s="56">
        <v>251750</v>
      </c>
      <c r="AZ53" s="1">
        <v>3606811.7829105365</v>
      </c>
      <c r="BA53" s="1">
        <v>1839474</v>
      </c>
      <c r="BB53" s="1">
        <v>4488341.97</v>
      </c>
      <c r="BC53" s="15">
        <v>880854</v>
      </c>
      <c r="BD53" s="15">
        <v>1727164</v>
      </c>
      <c r="BE53" s="20">
        <v>10968193</v>
      </c>
      <c r="BF53" s="20">
        <v>10968193</v>
      </c>
      <c r="BG53" s="20">
        <v>36399199</v>
      </c>
      <c r="BH53" s="20">
        <v>34836740</v>
      </c>
      <c r="BI53" s="63"/>
      <c r="BJ53" s="63"/>
      <c r="BK53" s="63"/>
      <c r="BL53" s="5">
        <v>859361121</v>
      </c>
      <c r="BM53" s="5">
        <v>714595977</v>
      </c>
      <c r="BN53" s="15">
        <v>440200</v>
      </c>
      <c r="BO53" s="5"/>
      <c r="BP53" s="1"/>
      <c r="BQ53" s="1"/>
      <c r="BR53" s="5"/>
      <c r="BS53" s="5"/>
      <c r="BT53" s="5"/>
    </row>
    <row r="54" spans="1:72" x14ac:dyDescent="0.25">
      <c r="A54" s="6" t="s">
        <v>108</v>
      </c>
      <c r="B54" s="56">
        <v>66002576</v>
      </c>
      <c r="C54" s="56">
        <v>85208046</v>
      </c>
      <c r="D54" s="56">
        <v>13083303</v>
      </c>
      <c r="E54" s="56">
        <v>0</v>
      </c>
      <c r="F54" s="56">
        <v>14204675</v>
      </c>
      <c r="G54" s="56">
        <v>2658650</v>
      </c>
      <c r="H54" s="56">
        <v>5519175</v>
      </c>
      <c r="I54" s="56">
        <v>396000</v>
      </c>
      <c r="J54" s="56">
        <v>10000</v>
      </c>
      <c r="K54" s="56">
        <v>0</v>
      </c>
      <c r="L54" s="56">
        <v>172178013</v>
      </c>
      <c r="M54" s="56">
        <v>25763250</v>
      </c>
      <c r="N54" s="56">
        <v>614</v>
      </c>
      <c r="O54" s="56">
        <v>111</v>
      </c>
      <c r="P54" s="56">
        <v>890000</v>
      </c>
      <c r="Q54" s="56">
        <v>1618969</v>
      </c>
      <c r="R54" s="56">
        <v>0</v>
      </c>
      <c r="S54" s="56">
        <v>345072</v>
      </c>
      <c r="T54" s="56">
        <v>2400</v>
      </c>
      <c r="U54" s="56">
        <v>35000</v>
      </c>
      <c r="V54" s="56">
        <v>890000</v>
      </c>
      <c r="W54" s="56">
        <v>2716300</v>
      </c>
      <c r="X54" s="56">
        <v>0</v>
      </c>
      <c r="Y54" s="56">
        <v>345072</v>
      </c>
      <c r="Z54" s="56">
        <v>0</v>
      </c>
      <c r="AA54" s="56">
        <v>35000</v>
      </c>
      <c r="AB54" s="56">
        <v>-836802</v>
      </c>
      <c r="AC54" s="56">
        <v>0</v>
      </c>
      <c r="AD54" s="56">
        <v>27024</v>
      </c>
      <c r="AE54" s="56">
        <v>0</v>
      </c>
      <c r="AF54" s="56">
        <v>88415431</v>
      </c>
      <c r="AG54" s="56">
        <v>144468</v>
      </c>
      <c r="AH54" s="56">
        <v>0</v>
      </c>
      <c r="AI54" s="56">
        <v>4279</v>
      </c>
      <c r="AJ54" s="56">
        <v>0</v>
      </c>
      <c r="AK54" s="1">
        <v>35456105</v>
      </c>
      <c r="AL54" s="1">
        <v>806084</v>
      </c>
      <c r="AM54" s="56">
        <v>0</v>
      </c>
      <c r="AN54" s="56">
        <v>9918771</v>
      </c>
      <c r="AO54" s="56">
        <v>80688</v>
      </c>
      <c r="AP54" s="56">
        <v>421803</v>
      </c>
      <c r="AQ54" s="56">
        <v>15833156</v>
      </c>
      <c r="AR54" s="56">
        <v>5091860</v>
      </c>
      <c r="AS54" s="56">
        <v>1075675</v>
      </c>
      <c r="AT54" s="56">
        <v>1822912</v>
      </c>
      <c r="AU54" s="56">
        <v>0</v>
      </c>
      <c r="AV54" s="56">
        <v>14300</v>
      </c>
      <c r="AW54" s="56">
        <v>0</v>
      </c>
      <c r="AX54" s="56">
        <v>0</v>
      </c>
      <c r="AY54" s="56">
        <v>0</v>
      </c>
      <c r="AZ54" s="1">
        <v>1361064.950451781</v>
      </c>
      <c r="BA54" s="1">
        <v>694143</v>
      </c>
      <c r="BB54" s="1">
        <v>8795336.7899999991</v>
      </c>
      <c r="BC54" s="15">
        <v>1403493</v>
      </c>
      <c r="BD54" s="15">
        <v>2751948</v>
      </c>
      <c r="BE54" s="20">
        <v>33003046</v>
      </c>
      <c r="BF54" s="20">
        <v>33003046</v>
      </c>
      <c r="BG54" s="20">
        <v>47132517</v>
      </c>
      <c r="BH54" s="20">
        <v>35488797</v>
      </c>
      <c r="BI54" s="63"/>
      <c r="BJ54" s="63"/>
      <c r="BK54" s="63"/>
      <c r="BL54" s="5">
        <v>296982487</v>
      </c>
      <c r="BM54" s="5">
        <v>190130819</v>
      </c>
      <c r="BN54" s="15">
        <v>335700</v>
      </c>
      <c r="BO54" s="5"/>
      <c r="BP54" s="1"/>
      <c r="BQ54" s="1"/>
      <c r="BR54" s="5"/>
      <c r="BS54" s="5"/>
      <c r="BT54" s="5"/>
    </row>
    <row r="55" spans="1:72" x14ac:dyDescent="0.25">
      <c r="A55" s="6" t="s">
        <v>109</v>
      </c>
      <c r="B55" s="56">
        <v>1090664053</v>
      </c>
      <c r="C55" s="56">
        <v>245699371</v>
      </c>
      <c r="D55" s="56">
        <v>405626508</v>
      </c>
      <c r="E55" s="56">
        <v>0</v>
      </c>
      <c r="F55" s="56">
        <v>109147785</v>
      </c>
      <c r="G55" s="56">
        <v>34147370</v>
      </c>
      <c r="H55" s="56">
        <v>14876240</v>
      </c>
      <c r="I55" s="56">
        <v>3257900</v>
      </c>
      <c r="J55" s="56">
        <v>215000</v>
      </c>
      <c r="K55" s="56">
        <v>35500</v>
      </c>
      <c r="L55" s="56">
        <v>283198894</v>
      </c>
      <c r="M55" s="56">
        <v>144378850</v>
      </c>
      <c r="N55" s="56">
        <v>3709</v>
      </c>
      <c r="O55" s="56">
        <v>1213</v>
      </c>
      <c r="P55" s="56">
        <v>13975000</v>
      </c>
      <c r="Q55" s="56">
        <v>2832900</v>
      </c>
      <c r="R55" s="56">
        <v>7227000</v>
      </c>
      <c r="S55" s="56">
        <v>14282967</v>
      </c>
      <c r="T55" s="56">
        <v>7359912</v>
      </c>
      <c r="U55" s="56">
        <v>3020747</v>
      </c>
      <c r="V55" s="56">
        <v>13975000</v>
      </c>
      <c r="W55" s="56">
        <v>3561250</v>
      </c>
      <c r="X55" s="56">
        <v>7227000</v>
      </c>
      <c r="Y55" s="56">
        <v>14282967</v>
      </c>
      <c r="Z55" s="56">
        <v>10266900</v>
      </c>
      <c r="AA55" s="56">
        <v>3020747</v>
      </c>
      <c r="AB55" s="56">
        <v>-28738</v>
      </c>
      <c r="AC55" s="56">
        <v>-27517</v>
      </c>
      <c r="AD55" s="56">
        <v>87185</v>
      </c>
      <c r="AE55" s="56">
        <v>104983</v>
      </c>
      <c r="AF55" s="56">
        <v>16569559</v>
      </c>
      <c r="AG55" s="56">
        <v>331143</v>
      </c>
      <c r="AH55" s="56">
        <v>9691852</v>
      </c>
      <c r="AI55" s="56">
        <v>1158684</v>
      </c>
      <c r="AJ55" s="64">
        <v>55312216</v>
      </c>
      <c r="AK55" s="1">
        <v>304712373</v>
      </c>
      <c r="AL55" s="1">
        <v>8656539</v>
      </c>
      <c r="AM55" s="56">
        <v>5830</v>
      </c>
      <c r="AN55" s="56">
        <v>219632590</v>
      </c>
      <c r="AO55" s="56">
        <v>9897408</v>
      </c>
      <c r="AP55" s="56">
        <v>141524169</v>
      </c>
      <c r="AQ55" s="56">
        <v>100228923</v>
      </c>
      <c r="AR55" s="56">
        <v>64846087</v>
      </c>
      <c r="AS55" s="56">
        <v>182512713</v>
      </c>
      <c r="AT55" s="56">
        <v>3702239</v>
      </c>
      <c r="AU55" s="56">
        <v>0</v>
      </c>
      <c r="AV55" s="56">
        <v>0</v>
      </c>
      <c r="AW55" s="56">
        <v>4486524</v>
      </c>
      <c r="AX55" s="56">
        <v>2908909</v>
      </c>
      <c r="AY55" s="56">
        <v>2541340</v>
      </c>
      <c r="AZ55" s="1">
        <v>11697092.245730028</v>
      </c>
      <c r="BA55" s="1">
        <v>5965517</v>
      </c>
      <c r="BB55" s="1">
        <v>997409.33</v>
      </c>
      <c r="BC55" s="15">
        <v>9021702</v>
      </c>
      <c r="BD55" s="15">
        <v>17689611</v>
      </c>
      <c r="BE55" s="20">
        <v>64563185</v>
      </c>
      <c r="BF55" s="20">
        <v>60605663</v>
      </c>
      <c r="BG55" s="20">
        <v>162302399</v>
      </c>
      <c r="BH55" s="20">
        <v>152387250</v>
      </c>
      <c r="BI55" s="63"/>
      <c r="BJ55" s="63"/>
      <c r="BK55" s="63"/>
      <c r="BL55" s="5">
        <v>2679260649</v>
      </c>
      <c r="BM55" s="5">
        <v>2137911605</v>
      </c>
      <c r="BN55" s="15">
        <v>5371000</v>
      </c>
      <c r="BO55" s="5"/>
      <c r="BP55" s="1"/>
      <c r="BQ55" s="1"/>
      <c r="BR55" s="5"/>
      <c r="BS55" s="5"/>
      <c r="BT55" s="5"/>
    </row>
    <row r="56" spans="1:72" x14ac:dyDescent="0.25">
      <c r="A56" s="6" t="s">
        <v>110</v>
      </c>
      <c r="B56" s="40">
        <v>135184250</v>
      </c>
      <c r="C56" s="40">
        <v>68997990</v>
      </c>
      <c r="D56" s="40">
        <v>38783300</v>
      </c>
      <c r="E56" s="40">
        <v>0</v>
      </c>
      <c r="F56" s="40">
        <v>21223350</v>
      </c>
      <c r="G56" s="40">
        <v>17125000</v>
      </c>
      <c r="H56" s="40">
        <v>13268800</v>
      </c>
      <c r="I56" s="40">
        <v>4094350</v>
      </c>
      <c r="J56" s="40">
        <v>64000</v>
      </c>
      <c r="K56" s="40">
        <v>34000</v>
      </c>
      <c r="L56" s="40">
        <v>105728445</v>
      </c>
      <c r="M56" s="40">
        <v>59646803</v>
      </c>
      <c r="N56" s="56">
        <v>1169</v>
      </c>
      <c r="O56" s="56">
        <v>769</v>
      </c>
      <c r="P56" s="40">
        <v>1296350</v>
      </c>
      <c r="Q56" s="40">
        <v>938000</v>
      </c>
      <c r="R56" s="40">
        <v>8000</v>
      </c>
      <c r="S56" s="40">
        <v>2110950</v>
      </c>
      <c r="T56" s="40">
        <v>972950</v>
      </c>
      <c r="U56" s="40">
        <v>401500</v>
      </c>
      <c r="V56" s="40">
        <v>1296350</v>
      </c>
      <c r="W56" s="40">
        <v>1016400</v>
      </c>
      <c r="X56" s="40">
        <v>8000</v>
      </c>
      <c r="Y56" s="40">
        <v>2110950</v>
      </c>
      <c r="Z56" s="40">
        <v>1379900</v>
      </c>
      <c r="AA56" s="40">
        <v>401500</v>
      </c>
      <c r="AB56" s="40">
        <v>-4285864</v>
      </c>
      <c r="AC56" s="40">
        <v>33460</v>
      </c>
      <c r="AD56" s="40">
        <v>75832</v>
      </c>
      <c r="AE56" s="40">
        <v>3307</v>
      </c>
      <c r="AF56" s="40">
        <v>3218551</v>
      </c>
      <c r="AG56" s="40">
        <v>143382</v>
      </c>
      <c r="AH56" s="40">
        <v>0</v>
      </c>
      <c r="AI56" s="40">
        <v>220443</v>
      </c>
      <c r="AJ56" s="56">
        <v>0</v>
      </c>
      <c r="AK56" s="1">
        <v>61556686</v>
      </c>
      <c r="AL56" s="1">
        <v>1080359</v>
      </c>
      <c r="AM56" s="40">
        <v>0</v>
      </c>
      <c r="AN56" s="40">
        <v>5845725</v>
      </c>
      <c r="AO56" s="40">
        <v>155075</v>
      </c>
      <c r="AP56" s="40">
        <v>3300163</v>
      </c>
      <c r="AQ56" s="40">
        <v>5246678</v>
      </c>
      <c r="AR56" s="40">
        <v>268544</v>
      </c>
      <c r="AS56" s="40">
        <v>0</v>
      </c>
      <c r="AT56" s="40">
        <v>384834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1">
        <v>2362996.3804700449</v>
      </c>
      <c r="BA56" s="1">
        <v>1205128</v>
      </c>
      <c r="BB56" s="1"/>
      <c r="BC56" s="15">
        <v>0</v>
      </c>
      <c r="BD56" s="15">
        <v>0</v>
      </c>
      <c r="BE56" s="20">
        <v>6941598</v>
      </c>
      <c r="BF56" s="20">
        <v>6941598</v>
      </c>
      <c r="BG56" s="20">
        <v>53414562</v>
      </c>
      <c r="BH56" s="20">
        <v>53359169</v>
      </c>
      <c r="BI56" s="63"/>
      <c r="BJ56" s="44"/>
      <c r="BK56" s="44"/>
      <c r="BL56" s="5">
        <v>378576401</v>
      </c>
      <c r="BM56" s="5">
        <v>254433461</v>
      </c>
      <c r="BN56" s="15">
        <v>3804000</v>
      </c>
      <c r="BO56" s="5"/>
      <c r="BP56" s="1"/>
      <c r="BQ56" s="1"/>
      <c r="BR56" s="5"/>
      <c r="BS56" s="5"/>
      <c r="BT56" s="5"/>
    </row>
    <row r="57" spans="1:72" x14ac:dyDescent="0.25">
      <c r="A57" s="6" t="s">
        <v>111</v>
      </c>
      <c r="B57" s="56">
        <v>36255746299</v>
      </c>
      <c r="C57" s="56">
        <v>128346580</v>
      </c>
      <c r="D57" s="56">
        <v>15711482194</v>
      </c>
      <c r="E57" s="56">
        <v>178746320</v>
      </c>
      <c r="F57" s="56">
        <v>1976992800</v>
      </c>
      <c r="G57" s="56">
        <v>157064020</v>
      </c>
      <c r="H57" s="56">
        <v>6480000</v>
      </c>
      <c r="I57" s="56">
        <v>252000</v>
      </c>
      <c r="J57" s="56">
        <v>4680000</v>
      </c>
      <c r="K57" s="56">
        <v>203780</v>
      </c>
      <c r="L57" s="56">
        <v>570888360</v>
      </c>
      <c r="M57" s="56">
        <v>705966940</v>
      </c>
      <c r="N57" s="56">
        <v>55906</v>
      </c>
      <c r="O57" s="56">
        <v>4570</v>
      </c>
      <c r="P57" s="56">
        <v>244203850</v>
      </c>
      <c r="Q57" s="56">
        <v>2357890</v>
      </c>
      <c r="R57" s="56">
        <v>297424830</v>
      </c>
      <c r="S57" s="56">
        <v>365928540</v>
      </c>
      <c r="T57" s="56">
        <v>8590600</v>
      </c>
      <c r="U57" s="56">
        <v>175653864</v>
      </c>
      <c r="V57" s="56">
        <v>244203850</v>
      </c>
      <c r="W57" s="56">
        <v>13857430</v>
      </c>
      <c r="X57" s="56">
        <v>297424830</v>
      </c>
      <c r="Y57" s="56">
        <v>365928540</v>
      </c>
      <c r="Z57" s="56">
        <v>24147960</v>
      </c>
      <c r="AA57" s="56">
        <v>175653864</v>
      </c>
      <c r="AB57" s="56">
        <v>-83560450</v>
      </c>
      <c r="AC57" s="56">
        <v>99260160</v>
      </c>
      <c r="AD57" s="56">
        <v>0</v>
      </c>
      <c r="AE57" s="56">
        <v>0</v>
      </c>
      <c r="AF57" s="56">
        <v>0</v>
      </c>
      <c r="AG57" s="56">
        <v>0</v>
      </c>
      <c r="AH57" s="56">
        <v>0</v>
      </c>
      <c r="AI57" s="56">
        <v>187393</v>
      </c>
      <c r="AJ57" s="56">
        <v>0</v>
      </c>
      <c r="AK57" s="1">
        <v>4512530871</v>
      </c>
      <c r="AL57" s="1">
        <v>72122758</v>
      </c>
      <c r="AM57" s="56">
        <v>6739894</v>
      </c>
      <c r="AN57" s="56">
        <v>2332232428</v>
      </c>
      <c r="AO57" s="56">
        <v>87413485</v>
      </c>
      <c r="AP57" s="56">
        <v>2394026060</v>
      </c>
      <c r="AQ57" s="56">
        <v>2297109635</v>
      </c>
      <c r="AR57" s="56">
        <v>1251795432</v>
      </c>
      <c r="AS57" s="56">
        <v>1218725335</v>
      </c>
      <c r="AT57" s="56">
        <v>2008601772</v>
      </c>
      <c r="AU57" s="56">
        <v>5922283</v>
      </c>
      <c r="AV57" s="56">
        <v>0</v>
      </c>
      <c r="AW57" s="56">
        <v>37203285</v>
      </c>
      <c r="AX57" s="56">
        <v>43422870</v>
      </c>
      <c r="AY57" s="56">
        <v>157615146</v>
      </c>
      <c r="AZ57" s="1">
        <v>173223979.51917583</v>
      </c>
      <c r="BA57" s="1">
        <v>88344230</v>
      </c>
      <c r="BB57" s="1">
        <v>33911917.100000001</v>
      </c>
      <c r="BC57" s="15">
        <v>18407490</v>
      </c>
      <c r="BD57" s="15">
        <v>36093117</v>
      </c>
      <c r="BE57" s="20">
        <v>624649828</v>
      </c>
      <c r="BF57" s="20">
        <v>620583473</v>
      </c>
      <c r="BG57" s="20">
        <v>1381411542</v>
      </c>
      <c r="BH57" s="20">
        <v>1246547407</v>
      </c>
      <c r="BI57" s="63">
        <v>268980462</v>
      </c>
      <c r="BJ57" s="63"/>
      <c r="BK57" s="63"/>
      <c r="BL57" s="5">
        <v>63640034705</v>
      </c>
      <c r="BM57" s="5">
        <v>56812518014</v>
      </c>
      <c r="BN57" s="15">
        <v>151087740</v>
      </c>
      <c r="BO57" s="5"/>
      <c r="BP57" s="1"/>
      <c r="BQ57" s="1"/>
      <c r="BR57" s="5"/>
      <c r="BS57" s="5"/>
      <c r="BT57" s="5"/>
    </row>
    <row r="58" spans="1:72" x14ac:dyDescent="0.25">
      <c r="A58" s="6" t="s">
        <v>112</v>
      </c>
      <c r="B58" s="56">
        <v>2444899535</v>
      </c>
      <c r="C58" s="56">
        <v>234533711</v>
      </c>
      <c r="D58" s="56">
        <v>605468035</v>
      </c>
      <c r="E58" s="56">
        <v>0</v>
      </c>
      <c r="F58" s="56">
        <v>94344464</v>
      </c>
      <c r="G58" s="56">
        <v>13603185</v>
      </c>
      <c r="H58" s="56">
        <v>9869311</v>
      </c>
      <c r="I58" s="56">
        <v>871810</v>
      </c>
      <c r="J58" s="56">
        <v>72000</v>
      </c>
      <c r="K58" s="56">
        <v>0</v>
      </c>
      <c r="L58" s="56">
        <v>562883574</v>
      </c>
      <c r="M58" s="56">
        <v>174352771</v>
      </c>
      <c r="N58" s="56">
        <v>2941</v>
      </c>
      <c r="O58" s="56">
        <v>420</v>
      </c>
      <c r="P58" s="56">
        <v>34972636</v>
      </c>
      <c r="Q58" s="56">
        <v>5745252</v>
      </c>
      <c r="R58" s="56">
        <v>4134000</v>
      </c>
      <c r="S58" s="56">
        <v>49388031</v>
      </c>
      <c r="T58" s="56">
        <v>2469923</v>
      </c>
      <c r="U58" s="56">
        <v>9674934</v>
      </c>
      <c r="V58" s="56">
        <v>34972636</v>
      </c>
      <c r="W58" s="56">
        <v>6952000</v>
      </c>
      <c r="X58" s="56">
        <v>4134000</v>
      </c>
      <c r="Y58" s="56">
        <v>49388031</v>
      </c>
      <c r="Z58" s="56">
        <v>4037644</v>
      </c>
      <c r="AA58" s="56">
        <v>9674934</v>
      </c>
      <c r="AB58" s="56">
        <v>-4746982</v>
      </c>
      <c r="AC58" s="56">
        <v>-1761632</v>
      </c>
      <c r="AD58" s="56">
        <v>0</v>
      </c>
      <c r="AE58" s="56">
        <v>0</v>
      </c>
      <c r="AF58" s="56">
        <v>0</v>
      </c>
      <c r="AG58" s="56">
        <v>88678.18</v>
      </c>
      <c r="AH58" s="56">
        <v>0</v>
      </c>
      <c r="AI58" s="56">
        <v>254926</v>
      </c>
      <c r="AJ58" s="56">
        <v>0</v>
      </c>
      <c r="AK58" s="1">
        <v>316522717</v>
      </c>
      <c r="AL58" s="1">
        <v>8888298</v>
      </c>
      <c r="AM58" s="56">
        <v>0</v>
      </c>
      <c r="AN58" s="56">
        <v>93830363</v>
      </c>
      <c r="AO58" s="56">
        <v>1538109</v>
      </c>
      <c r="AP58" s="56">
        <v>91975793</v>
      </c>
      <c r="AQ58" s="56">
        <v>98340754</v>
      </c>
      <c r="AR58" s="56">
        <v>86209466</v>
      </c>
      <c r="AS58" s="56">
        <v>40725794</v>
      </c>
      <c r="AT58" s="56">
        <v>2757995</v>
      </c>
      <c r="AU58" s="56">
        <v>0</v>
      </c>
      <c r="AV58" s="56">
        <v>0</v>
      </c>
      <c r="AW58" s="56">
        <v>84689</v>
      </c>
      <c r="AX58" s="56">
        <v>15604</v>
      </c>
      <c r="AY58" s="56">
        <v>19518365</v>
      </c>
      <c r="AZ58" s="1">
        <v>12150459.73409849</v>
      </c>
      <c r="BA58" s="1">
        <v>6196734</v>
      </c>
      <c r="BB58" s="1"/>
      <c r="BC58" s="15">
        <v>1412889</v>
      </c>
      <c r="BD58" s="15">
        <v>2770371</v>
      </c>
      <c r="BE58" s="20">
        <v>37369302</v>
      </c>
      <c r="BF58" s="20">
        <v>37369302</v>
      </c>
      <c r="BG58" s="20">
        <v>58679089</v>
      </c>
      <c r="BH58" s="20">
        <v>55316760</v>
      </c>
      <c r="BI58" s="20">
        <v>21796675</v>
      </c>
      <c r="BJ58" s="63"/>
      <c r="BK58" s="63"/>
      <c r="BL58" s="5">
        <v>3926368808</v>
      </c>
      <c r="BM58" s="5">
        <v>3478865433</v>
      </c>
      <c r="BN58" s="15">
        <v>2016250</v>
      </c>
      <c r="BO58" s="5"/>
      <c r="BP58" s="1"/>
      <c r="BQ58" s="1"/>
      <c r="BR58" s="5"/>
      <c r="BS58" s="5"/>
      <c r="BT58" s="5"/>
    </row>
    <row r="59" spans="1:72" x14ac:dyDescent="0.25">
      <c r="A59" s="6" t="s">
        <v>113</v>
      </c>
      <c r="B59" s="40">
        <v>418335376</v>
      </c>
      <c r="C59" s="40">
        <v>95097302</v>
      </c>
      <c r="D59" s="40">
        <v>181477781</v>
      </c>
      <c r="E59" s="40">
        <v>0</v>
      </c>
      <c r="F59" s="40">
        <v>46035950</v>
      </c>
      <c r="G59" s="40">
        <v>34131350</v>
      </c>
      <c r="H59" s="40">
        <v>16247987</v>
      </c>
      <c r="I59" s="40">
        <v>7012343</v>
      </c>
      <c r="J59" s="40">
        <v>144000</v>
      </c>
      <c r="K59" s="40">
        <v>36000</v>
      </c>
      <c r="L59" s="40">
        <v>98432564</v>
      </c>
      <c r="M59" s="40">
        <v>89952850</v>
      </c>
      <c r="N59" s="40">
        <v>1940</v>
      </c>
      <c r="O59" s="40">
        <v>1384</v>
      </c>
      <c r="P59" s="40">
        <v>100000</v>
      </c>
      <c r="Q59" s="40">
        <v>1183250</v>
      </c>
      <c r="R59" s="40">
        <v>0</v>
      </c>
      <c r="S59" s="40">
        <v>3638560</v>
      </c>
      <c r="T59" s="40">
        <v>1893000</v>
      </c>
      <c r="U59" s="40">
        <v>2138886</v>
      </c>
      <c r="V59" s="40">
        <v>100000</v>
      </c>
      <c r="W59" s="40">
        <v>1233300</v>
      </c>
      <c r="X59" s="40">
        <v>0</v>
      </c>
      <c r="Y59" s="40">
        <v>3638560</v>
      </c>
      <c r="Z59" s="40">
        <v>1516550</v>
      </c>
      <c r="AA59" s="40">
        <v>2138886</v>
      </c>
      <c r="AB59" s="56">
        <v>-6131561</v>
      </c>
      <c r="AC59" s="56">
        <v>-12069</v>
      </c>
      <c r="AD59" s="40">
        <v>126701</v>
      </c>
      <c r="AE59" s="40">
        <v>1</v>
      </c>
      <c r="AF59" s="40">
        <v>0</v>
      </c>
      <c r="AG59" s="40">
        <v>133251</v>
      </c>
      <c r="AH59" s="40">
        <v>1105615</v>
      </c>
      <c r="AI59" s="40">
        <v>9695545</v>
      </c>
      <c r="AJ59" s="46">
        <v>18549197</v>
      </c>
      <c r="AK59" s="1">
        <v>146680656</v>
      </c>
      <c r="AL59" s="1">
        <v>4793658</v>
      </c>
      <c r="AM59" s="40">
        <v>50000</v>
      </c>
      <c r="AN59" s="40">
        <v>47468604</v>
      </c>
      <c r="AO59" s="40">
        <v>1235314</v>
      </c>
      <c r="AP59" s="40">
        <v>3017072</v>
      </c>
      <c r="AQ59" s="40">
        <v>29472378</v>
      </c>
      <c r="AR59" s="40">
        <v>9468513</v>
      </c>
      <c r="AS59" s="40">
        <v>523995</v>
      </c>
      <c r="AT59" s="40">
        <v>121823</v>
      </c>
      <c r="AU59" s="40">
        <v>0</v>
      </c>
      <c r="AV59" s="40">
        <v>0</v>
      </c>
      <c r="AW59" s="40">
        <v>0</v>
      </c>
      <c r="AX59" s="40">
        <v>20029</v>
      </c>
      <c r="AY59" s="40">
        <v>83000</v>
      </c>
      <c r="AZ59" s="1">
        <v>5630677.7010863079</v>
      </c>
      <c r="BA59" s="1">
        <v>2871646</v>
      </c>
      <c r="BB59" s="1"/>
      <c r="BC59" s="15">
        <v>2386526</v>
      </c>
      <c r="BD59" s="15">
        <v>4679462</v>
      </c>
      <c r="BE59" s="20">
        <v>67922922</v>
      </c>
      <c r="BF59" s="20">
        <v>67922922</v>
      </c>
      <c r="BG59" s="20">
        <v>122118961</v>
      </c>
      <c r="BH59" s="20">
        <v>120133123</v>
      </c>
      <c r="BI59" s="63"/>
      <c r="BJ59" s="44"/>
      <c r="BK59" s="44"/>
      <c r="BL59" s="5">
        <v>1147225643</v>
      </c>
      <c r="BM59" s="5">
        <v>802437112</v>
      </c>
      <c r="BN59" s="15">
        <v>9373195</v>
      </c>
      <c r="BO59" s="5"/>
      <c r="BP59" s="1"/>
      <c r="BQ59" s="1"/>
      <c r="BR59" s="5"/>
      <c r="BS59" s="5"/>
      <c r="BT59" s="5"/>
    </row>
    <row r="60" spans="1:72" x14ac:dyDescent="0.25">
      <c r="A60" s="6" t="s">
        <v>114</v>
      </c>
      <c r="B60" s="56">
        <v>7314365587</v>
      </c>
      <c r="C60" s="56">
        <v>108812530</v>
      </c>
      <c r="D60" s="56">
        <v>2222301030</v>
      </c>
      <c r="E60" s="56">
        <v>0</v>
      </c>
      <c r="F60" s="56">
        <v>347773300</v>
      </c>
      <c r="G60" s="56">
        <v>36954200</v>
      </c>
      <c r="H60" s="56">
        <v>6506200</v>
      </c>
      <c r="I60" s="56">
        <v>494600</v>
      </c>
      <c r="J60" s="56">
        <v>972000</v>
      </c>
      <c r="K60" s="56">
        <v>144000</v>
      </c>
      <c r="L60" s="56">
        <v>221949070</v>
      </c>
      <c r="M60" s="56">
        <v>73000</v>
      </c>
      <c r="N60" s="56">
        <v>9961</v>
      </c>
      <c r="O60" s="56">
        <v>1086</v>
      </c>
      <c r="P60" s="56">
        <v>59030400</v>
      </c>
      <c r="Q60" s="56">
        <v>2782500</v>
      </c>
      <c r="R60" s="56">
        <v>13904500</v>
      </c>
      <c r="S60" s="56">
        <v>65050554</v>
      </c>
      <c r="T60" s="56">
        <v>4532600</v>
      </c>
      <c r="U60" s="56">
        <v>63326500</v>
      </c>
      <c r="V60" s="56">
        <v>59030400</v>
      </c>
      <c r="W60" s="56">
        <v>2782500</v>
      </c>
      <c r="X60" s="56">
        <v>13904500</v>
      </c>
      <c r="Y60" s="56">
        <v>65050554</v>
      </c>
      <c r="Z60" s="56">
        <v>4532600</v>
      </c>
      <c r="AA60" s="56">
        <v>63326500</v>
      </c>
      <c r="AB60" s="56">
        <v>-15593180</v>
      </c>
      <c r="AC60" s="56">
        <v>-1246826</v>
      </c>
      <c r="AD60" s="56">
        <v>0</v>
      </c>
      <c r="AE60" s="56">
        <v>0</v>
      </c>
      <c r="AF60" s="56">
        <v>0</v>
      </c>
      <c r="AG60" s="56">
        <v>0</v>
      </c>
      <c r="AH60" s="56">
        <v>0</v>
      </c>
      <c r="AI60" s="56">
        <v>0</v>
      </c>
      <c r="AJ60" s="56">
        <v>0</v>
      </c>
      <c r="AK60" s="1">
        <v>929052732</v>
      </c>
      <c r="AL60" s="1">
        <v>17327760</v>
      </c>
      <c r="AM60" s="56">
        <v>130500</v>
      </c>
      <c r="AN60" s="56">
        <v>272644202</v>
      </c>
      <c r="AO60" s="56">
        <v>16658600</v>
      </c>
      <c r="AP60" s="56">
        <v>292947054</v>
      </c>
      <c r="AQ60" s="56">
        <v>223524348</v>
      </c>
      <c r="AR60" s="56">
        <v>218601803</v>
      </c>
      <c r="AS60" s="56">
        <v>105017014</v>
      </c>
      <c r="AT60" s="56">
        <v>0</v>
      </c>
      <c r="AU60" s="56">
        <v>0</v>
      </c>
      <c r="AV60" s="56">
        <v>0</v>
      </c>
      <c r="AW60" s="56">
        <v>19642</v>
      </c>
      <c r="AX60" s="56">
        <v>161297</v>
      </c>
      <c r="AY60" s="56">
        <v>33500</v>
      </c>
      <c r="AZ60" s="1">
        <v>35663847.189268872</v>
      </c>
      <c r="BA60" s="1">
        <v>18188562</v>
      </c>
      <c r="BB60" s="1">
        <v>9702072.5399999991</v>
      </c>
      <c r="BC60" s="15">
        <v>11992527</v>
      </c>
      <c r="BD60" s="15">
        <v>23514759</v>
      </c>
      <c r="BE60" s="20">
        <v>163456833</v>
      </c>
      <c r="BF60" s="20">
        <v>163456833</v>
      </c>
      <c r="BG60" s="20">
        <v>218177776</v>
      </c>
      <c r="BH60" s="20">
        <v>208819804</v>
      </c>
      <c r="BI60" s="63"/>
      <c r="BJ60" s="63"/>
      <c r="BK60" s="63"/>
      <c r="BL60" s="5">
        <v>11507144515</v>
      </c>
      <c r="BM60" s="5">
        <v>10158306297</v>
      </c>
      <c r="BN60" s="15">
        <v>4790700</v>
      </c>
      <c r="BO60" s="5"/>
      <c r="BP60" s="1"/>
      <c r="BQ60" s="1"/>
      <c r="BR60" s="5"/>
      <c r="BS60" s="5"/>
      <c r="BT60" s="5"/>
    </row>
    <row r="61" spans="1:72" x14ac:dyDescent="0.25">
      <c r="A61" s="6" t="s">
        <v>115</v>
      </c>
      <c r="B61" s="56">
        <v>162310633</v>
      </c>
      <c r="C61" s="56">
        <v>51003244</v>
      </c>
      <c r="D61" s="56">
        <v>82384644</v>
      </c>
      <c r="E61" s="56">
        <v>0</v>
      </c>
      <c r="F61" s="56">
        <v>33247666</v>
      </c>
      <c r="G61" s="56">
        <v>24946600</v>
      </c>
      <c r="H61" s="56">
        <v>14459921</v>
      </c>
      <c r="I61" s="56">
        <v>5745250</v>
      </c>
      <c r="J61" s="56">
        <v>144000</v>
      </c>
      <c r="K61" s="56">
        <v>36000</v>
      </c>
      <c r="L61" s="56">
        <v>62055464</v>
      </c>
      <c r="M61" s="56">
        <v>58018374</v>
      </c>
      <c r="N61" s="56">
        <v>1481</v>
      </c>
      <c r="O61" s="56">
        <v>1032</v>
      </c>
      <c r="P61" s="56">
        <v>5900600</v>
      </c>
      <c r="Q61" s="56">
        <v>1938900</v>
      </c>
      <c r="R61" s="56">
        <v>544000</v>
      </c>
      <c r="S61" s="56">
        <v>4122170</v>
      </c>
      <c r="T61" s="56">
        <v>567100</v>
      </c>
      <c r="U61" s="56">
        <v>353354</v>
      </c>
      <c r="V61" s="56">
        <v>5900600</v>
      </c>
      <c r="W61" s="56">
        <v>2147200</v>
      </c>
      <c r="X61" s="56">
        <v>544000</v>
      </c>
      <c r="Y61" s="56">
        <v>4122170</v>
      </c>
      <c r="Z61" s="56">
        <v>648100</v>
      </c>
      <c r="AA61" s="56">
        <v>353354</v>
      </c>
      <c r="AB61" s="56">
        <v>-2807150</v>
      </c>
      <c r="AC61" s="56">
        <v>0</v>
      </c>
      <c r="AD61" s="56">
        <v>185990</v>
      </c>
      <c r="AE61" s="56">
        <v>0</v>
      </c>
      <c r="AF61" s="56">
        <v>0</v>
      </c>
      <c r="AG61" s="56">
        <v>121116</v>
      </c>
      <c r="AH61" s="56">
        <v>7273967</v>
      </c>
      <c r="AI61" s="56">
        <v>128941274</v>
      </c>
      <c r="AJ61" s="64">
        <v>325562191</v>
      </c>
      <c r="AK61" s="1">
        <v>97412680</v>
      </c>
      <c r="AL61" s="1">
        <v>1871889</v>
      </c>
      <c r="AM61" s="56">
        <v>92400</v>
      </c>
      <c r="AN61" s="56">
        <v>106778842</v>
      </c>
      <c r="AO61" s="56">
        <v>4432813</v>
      </c>
      <c r="AP61" s="56">
        <v>27100728</v>
      </c>
      <c r="AQ61" s="56">
        <v>3302360</v>
      </c>
      <c r="AR61" s="56">
        <v>1766474</v>
      </c>
      <c r="AS61" s="56"/>
      <c r="AT61" s="56"/>
      <c r="AU61" s="56"/>
      <c r="AV61" s="56"/>
      <c r="AW61" s="56"/>
      <c r="AX61" s="56"/>
      <c r="AY61" s="56"/>
      <c r="AZ61" s="1">
        <v>3739411.999078162</v>
      </c>
      <c r="BA61" s="1">
        <v>1907100</v>
      </c>
      <c r="BB61" s="1"/>
      <c r="BC61" s="15">
        <v>1068769</v>
      </c>
      <c r="BD61" s="15">
        <v>2095625</v>
      </c>
      <c r="BE61" s="20">
        <v>14202166</v>
      </c>
      <c r="BF61" s="20">
        <v>14202166</v>
      </c>
      <c r="BG61" s="20">
        <v>59036984</v>
      </c>
      <c r="BH61" s="20">
        <v>58273418</v>
      </c>
      <c r="BI61" s="63"/>
      <c r="BJ61" s="63"/>
      <c r="BK61" s="63"/>
      <c r="BL61" s="5">
        <v>1046725990</v>
      </c>
      <c r="BM61" s="5">
        <v>871989968</v>
      </c>
      <c r="BN61" s="15">
        <v>2290650</v>
      </c>
      <c r="BO61" s="5"/>
      <c r="BP61" s="1"/>
      <c r="BQ61" s="1"/>
      <c r="BR61" s="5"/>
      <c r="BS61" s="5"/>
      <c r="BT61" s="5"/>
    </row>
    <row r="62" spans="1:72" x14ac:dyDescent="0.25">
      <c r="A62" s="6" t="s">
        <v>116</v>
      </c>
      <c r="B62" s="56">
        <v>501771721</v>
      </c>
      <c r="C62" s="56">
        <v>91073007</v>
      </c>
      <c r="D62" s="56">
        <v>222029455</v>
      </c>
      <c r="E62" s="56">
        <v>0</v>
      </c>
      <c r="F62" s="56">
        <v>71741915</v>
      </c>
      <c r="G62" s="56">
        <v>31472660</v>
      </c>
      <c r="H62" s="56">
        <v>16624238</v>
      </c>
      <c r="I62" s="56">
        <v>4029339</v>
      </c>
      <c r="J62" s="56">
        <v>324000</v>
      </c>
      <c r="K62" s="56">
        <v>72000</v>
      </c>
      <c r="L62" s="56">
        <v>150725012</v>
      </c>
      <c r="M62" s="56">
        <v>0</v>
      </c>
      <c r="N62" s="56">
        <v>2887</v>
      </c>
      <c r="O62" s="56">
        <v>1364</v>
      </c>
      <c r="P62" s="56">
        <v>7166019</v>
      </c>
      <c r="Q62" s="56">
        <v>1329375</v>
      </c>
      <c r="R62" s="56">
        <v>1046105</v>
      </c>
      <c r="S62" s="56">
        <v>3061932</v>
      </c>
      <c r="T62" s="56">
        <v>936940</v>
      </c>
      <c r="U62" s="56">
        <v>97650</v>
      </c>
      <c r="V62" s="56">
        <v>7166019</v>
      </c>
      <c r="W62" s="56">
        <v>589650</v>
      </c>
      <c r="X62" s="56">
        <v>1046105</v>
      </c>
      <c r="Y62" s="56">
        <v>3061932</v>
      </c>
      <c r="Z62" s="56">
        <v>480000</v>
      </c>
      <c r="AA62" s="56">
        <v>97650</v>
      </c>
      <c r="AB62" s="56">
        <v>-5294244</v>
      </c>
      <c r="AC62" s="56">
        <v>34222</v>
      </c>
      <c r="AD62" s="56">
        <v>0</v>
      </c>
      <c r="AE62" s="56">
        <v>0</v>
      </c>
      <c r="AF62" s="56">
        <v>0</v>
      </c>
      <c r="AG62" s="56">
        <v>0</v>
      </c>
      <c r="AH62" s="56">
        <v>11765369</v>
      </c>
      <c r="AI62" s="56">
        <v>26123105</v>
      </c>
      <c r="AJ62" s="64">
        <v>16930200</v>
      </c>
      <c r="AK62" s="1">
        <v>147596235</v>
      </c>
      <c r="AL62" s="1">
        <v>3549619</v>
      </c>
      <c r="AM62" s="56">
        <v>0</v>
      </c>
      <c r="AN62" s="56">
        <v>50096001</v>
      </c>
      <c r="AO62" s="56">
        <v>3572414</v>
      </c>
      <c r="AP62" s="56">
        <v>41006152</v>
      </c>
      <c r="AQ62" s="56">
        <v>28051815</v>
      </c>
      <c r="AR62" s="56">
        <v>28852857</v>
      </c>
      <c r="AS62" s="56">
        <v>6670776</v>
      </c>
      <c r="AT62" s="56">
        <v>344071</v>
      </c>
      <c r="AU62" s="56">
        <v>0</v>
      </c>
      <c r="AV62" s="56">
        <v>0</v>
      </c>
      <c r="AW62" s="56">
        <v>0</v>
      </c>
      <c r="AX62" s="56">
        <v>335366</v>
      </c>
      <c r="AY62" s="56">
        <v>4500</v>
      </c>
      <c r="AZ62" s="1">
        <v>5665824.3277749894</v>
      </c>
      <c r="BA62" s="1">
        <v>2889570</v>
      </c>
      <c r="BB62" s="1"/>
      <c r="BC62" s="15">
        <v>2653718</v>
      </c>
      <c r="BD62" s="15">
        <v>5203369</v>
      </c>
      <c r="BE62" s="20">
        <v>23170212</v>
      </c>
      <c r="BF62" s="20">
        <v>23170212</v>
      </c>
      <c r="BG62" s="20">
        <v>50943865</v>
      </c>
      <c r="BH62" s="20">
        <v>47843368</v>
      </c>
      <c r="BI62" s="63"/>
      <c r="BJ62" s="63"/>
      <c r="BK62" s="63"/>
      <c r="BL62" s="5">
        <v>1179115809</v>
      </c>
      <c r="BM62" s="5">
        <v>951413087</v>
      </c>
      <c r="BN62" s="15">
        <v>242349</v>
      </c>
      <c r="BO62" s="5"/>
      <c r="BP62" s="1"/>
      <c r="BQ62" s="1"/>
      <c r="BR62" s="5"/>
      <c r="BS62" s="5"/>
      <c r="BT62" s="5"/>
    </row>
    <row r="63" spans="1:72" x14ac:dyDescent="0.25">
      <c r="A63" s="6" t="s">
        <v>117</v>
      </c>
      <c r="B63" s="56">
        <v>322750076</v>
      </c>
      <c r="C63" s="56">
        <v>144336359</v>
      </c>
      <c r="D63" s="56">
        <v>60470936</v>
      </c>
      <c r="E63" s="56">
        <v>1120088</v>
      </c>
      <c r="F63" s="56">
        <v>33828300</v>
      </c>
      <c r="G63" s="56">
        <v>8028700</v>
      </c>
      <c r="H63" s="56">
        <v>13365940</v>
      </c>
      <c r="I63" s="56">
        <v>1311100</v>
      </c>
      <c r="J63" s="56">
        <v>72000</v>
      </c>
      <c r="K63" s="56">
        <v>0</v>
      </c>
      <c r="L63" s="56">
        <v>238170085</v>
      </c>
      <c r="M63" s="56">
        <v>105043573</v>
      </c>
      <c r="N63" s="56">
        <v>1354</v>
      </c>
      <c r="O63" s="56">
        <v>280</v>
      </c>
      <c r="P63" s="56">
        <v>7556830</v>
      </c>
      <c r="Q63" s="56">
        <v>3408660</v>
      </c>
      <c r="R63" s="56">
        <v>592000</v>
      </c>
      <c r="S63" s="56">
        <v>3956442</v>
      </c>
      <c r="T63" s="56">
        <v>2987112</v>
      </c>
      <c r="U63" s="56">
        <v>279350</v>
      </c>
      <c r="V63" s="56">
        <v>7556830</v>
      </c>
      <c r="W63" s="56">
        <v>6868819</v>
      </c>
      <c r="X63" s="56">
        <v>592000</v>
      </c>
      <c r="Y63" s="56">
        <v>3956442</v>
      </c>
      <c r="Z63" s="56">
        <v>4944413</v>
      </c>
      <c r="AA63" s="56">
        <v>279350</v>
      </c>
      <c r="AB63" s="56">
        <v>-1853111</v>
      </c>
      <c r="AC63" s="56">
        <v>-2800582</v>
      </c>
      <c r="AD63" s="56">
        <v>51543</v>
      </c>
      <c r="AE63" s="56">
        <v>0</v>
      </c>
      <c r="AF63" s="56">
        <v>0</v>
      </c>
      <c r="AG63" s="56">
        <v>151727</v>
      </c>
      <c r="AH63" s="56">
        <v>0</v>
      </c>
      <c r="AI63" s="56">
        <v>1074</v>
      </c>
      <c r="AJ63" s="56">
        <v>0</v>
      </c>
      <c r="AK63" s="1">
        <v>82501550</v>
      </c>
      <c r="AL63" s="1">
        <v>2353609</v>
      </c>
      <c r="AM63" s="56">
        <v>0</v>
      </c>
      <c r="AN63" s="56">
        <v>10013773</v>
      </c>
      <c r="AO63" s="56">
        <v>168238</v>
      </c>
      <c r="AP63" s="56">
        <v>9027904</v>
      </c>
      <c r="AQ63" s="56">
        <v>13381998</v>
      </c>
      <c r="AR63" s="56">
        <v>9436799</v>
      </c>
      <c r="AS63" s="56">
        <v>2070300</v>
      </c>
      <c r="AT63" s="56">
        <v>1530829</v>
      </c>
      <c r="AU63" s="56">
        <v>0</v>
      </c>
      <c r="AV63" s="56">
        <v>17745</v>
      </c>
      <c r="AW63" s="56">
        <v>0</v>
      </c>
      <c r="AX63" s="56">
        <v>11088</v>
      </c>
      <c r="AY63" s="56">
        <v>22600</v>
      </c>
      <c r="AZ63" s="1">
        <v>3167013.6373678138</v>
      </c>
      <c r="BA63" s="1">
        <v>1615177</v>
      </c>
      <c r="BB63" s="1"/>
      <c r="BC63" s="15">
        <v>71643</v>
      </c>
      <c r="BD63" s="15">
        <v>140476</v>
      </c>
      <c r="BE63" s="20">
        <v>10244387</v>
      </c>
      <c r="BF63" s="20">
        <v>10244387</v>
      </c>
      <c r="BG63" s="20">
        <v>35746560</v>
      </c>
      <c r="BH63" s="20">
        <v>35557021</v>
      </c>
      <c r="BI63" s="63"/>
      <c r="BJ63" s="63"/>
      <c r="BK63" s="63"/>
      <c r="BL63" s="5">
        <v>683465841</v>
      </c>
      <c r="BM63" s="5">
        <v>551122454</v>
      </c>
      <c r="BN63" s="15">
        <v>1120088</v>
      </c>
      <c r="BO63" s="5"/>
      <c r="BP63" s="1"/>
      <c r="BQ63" s="1"/>
      <c r="BR63" s="5"/>
      <c r="BS63" s="5"/>
      <c r="BT63" s="5"/>
    </row>
    <row r="64" spans="1:72" x14ac:dyDescent="0.25">
      <c r="A64" s="6" t="s">
        <v>118</v>
      </c>
      <c r="B64" s="56">
        <v>1372351619</v>
      </c>
      <c r="C64" s="56">
        <v>188553228</v>
      </c>
      <c r="D64" s="56">
        <v>680599970</v>
      </c>
      <c r="E64" s="56">
        <v>28383066</v>
      </c>
      <c r="F64" s="56">
        <v>132124999</v>
      </c>
      <c r="G64" s="56">
        <v>50284840</v>
      </c>
      <c r="H64" s="56">
        <v>28324016</v>
      </c>
      <c r="I64" s="56">
        <v>4593676</v>
      </c>
      <c r="J64" s="56">
        <v>324000</v>
      </c>
      <c r="K64" s="56">
        <v>35000</v>
      </c>
      <c r="L64" s="56">
        <v>401812680</v>
      </c>
      <c r="M64" s="56">
        <v>171368700</v>
      </c>
      <c r="N64" s="56">
        <v>4762</v>
      </c>
      <c r="O64" s="56">
        <v>1773</v>
      </c>
      <c r="P64" s="56">
        <v>4596700</v>
      </c>
      <c r="Q64" s="56">
        <v>1461600</v>
      </c>
      <c r="R64" s="56">
        <v>1739500</v>
      </c>
      <c r="S64" s="56">
        <v>9140750</v>
      </c>
      <c r="T64" s="56">
        <v>1708600</v>
      </c>
      <c r="U64" s="56">
        <v>5019297</v>
      </c>
      <c r="V64" s="56">
        <v>4596700</v>
      </c>
      <c r="W64" s="56">
        <v>1579000</v>
      </c>
      <c r="X64" s="56">
        <v>1739500</v>
      </c>
      <c r="Y64" s="56">
        <v>9140750</v>
      </c>
      <c r="Z64" s="56">
        <v>2351200</v>
      </c>
      <c r="AA64" s="56">
        <v>5019297</v>
      </c>
      <c r="AB64" s="56">
        <v>-8589847</v>
      </c>
      <c r="AC64" s="56">
        <v>-310023</v>
      </c>
      <c r="AD64" s="56">
        <v>84340</v>
      </c>
      <c r="AE64" s="56">
        <v>0</v>
      </c>
      <c r="AF64" s="56">
        <v>0</v>
      </c>
      <c r="AG64" s="56">
        <v>157502</v>
      </c>
      <c r="AH64" s="56">
        <v>17123</v>
      </c>
      <c r="AI64" s="56">
        <v>112279</v>
      </c>
      <c r="AJ64" s="64">
        <v>303016</v>
      </c>
      <c r="AK64" s="1">
        <v>353530857</v>
      </c>
      <c r="AL64" s="1">
        <v>15938978</v>
      </c>
      <c r="AM64" s="56">
        <v>1842161</v>
      </c>
      <c r="AN64" s="56">
        <v>142822847</v>
      </c>
      <c r="AO64" s="56">
        <v>28946297</v>
      </c>
      <c r="AP64" s="56">
        <v>155957147</v>
      </c>
      <c r="AQ64" s="56">
        <v>130064512</v>
      </c>
      <c r="AR64" s="56">
        <v>80577960</v>
      </c>
      <c r="AS64" s="56">
        <v>36831229</v>
      </c>
      <c r="AT64" s="56">
        <v>2556474</v>
      </c>
      <c r="AU64" s="56">
        <v>0</v>
      </c>
      <c r="AV64" s="56">
        <v>30379</v>
      </c>
      <c r="AW64" s="56">
        <v>12900266</v>
      </c>
      <c r="AX64" s="56">
        <v>1060486</v>
      </c>
      <c r="AY64" s="56">
        <v>2189783</v>
      </c>
      <c r="AZ64" s="1">
        <v>13571103.498691276</v>
      </c>
      <c r="BA64" s="1">
        <v>6921263</v>
      </c>
      <c r="BB64" s="1"/>
      <c r="BC64" s="15">
        <v>2211530</v>
      </c>
      <c r="BD64" s="15">
        <v>4336333</v>
      </c>
      <c r="BE64" s="20">
        <v>23106949</v>
      </c>
      <c r="BF64" s="20">
        <v>23106949</v>
      </c>
      <c r="BG64" s="20">
        <v>103353938</v>
      </c>
      <c r="BH64" s="20">
        <v>96965942</v>
      </c>
      <c r="BI64" s="63"/>
      <c r="BJ64" s="63"/>
      <c r="BK64" s="63"/>
      <c r="BL64" s="5">
        <v>3042446410</v>
      </c>
      <c r="BM64" s="5">
        <v>2543770891</v>
      </c>
      <c r="BN64" s="15">
        <v>2375600</v>
      </c>
      <c r="BO64" s="5"/>
      <c r="BP64" s="1"/>
      <c r="BQ64" s="1"/>
      <c r="BR64" s="5"/>
      <c r="BS64" s="5"/>
      <c r="BT64" s="5"/>
    </row>
    <row r="65" spans="1:72" x14ac:dyDescent="0.25">
      <c r="A65" s="6" t="s">
        <v>119</v>
      </c>
      <c r="B65" s="56">
        <v>234770866</v>
      </c>
      <c r="C65" s="56">
        <v>98654527</v>
      </c>
      <c r="D65" s="56">
        <v>97437064</v>
      </c>
      <c r="E65" s="56">
        <v>0</v>
      </c>
      <c r="F65" s="56">
        <v>28325565</v>
      </c>
      <c r="G65" s="56">
        <v>16256800</v>
      </c>
      <c r="H65" s="56">
        <v>15841170</v>
      </c>
      <c r="I65" s="56">
        <v>5349982</v>
      </c>
      <c r="J65" s="56">
        <v>416000</v>
      </c>
      <c r="K65" s="56">
        <v>0</v>
      </c>
      <c r="L65" s="56">
        <v>116449566</v>
      </c>
      <c r="M65" s="56">
        <v>77854450</v>
      </c>
      <c r="N65" s="56">
        <v>1447</v>
      </c>
      <c r="O65" s="56">
        <v>739</v>
      </c>
      <c r="P65" s="56">
        <v>6582700</v>
      </c>
      <c r="Q65" s="56">
        <v>3088900</v>
      </c>
      <c r="R65" s="56">
        <v>24073900</v>
      </c>
      <c r="S65" s="56">
        <v>1504000</v>
      </c>
      <c r="T65" s="56">
        <v>1085300</v>
      </c>
      <c r="U65" s="56">
        <v>20096000</v>
      </c>
      <c r="V65" s="56">
        <v>6582700</v>
      </c>
      <c r="W65" s="56">
        <v>3304500</v>
      </c>
      <c r="X65" s="56">
        <v>24073900</v>
      </c>
      <c r="Y65" s="56">
        <v>1504000</v>
      </c>
      <c r="Z65" s="56">
        <v>1535700</v>
      </c>
      <c r="AA65" s="56">
        <v>20096000</v>
      </c>
      <c r="AB65" s="56">
        <v>-5252499</v>
      </c>
      <c r="AC65" s="56">
        <v>-870840</v>
      </c>
      <c r="AD65" s="56">
        <v>187312</v>
      </c>
      <c r="AE65" s="56">
        <v>0</v>
      </c>
      <c r="AF65" s="56">
        <v>0</v>
      </c>
      <c r="AG65" s="56">
        <v>222182</v>
      </c>
      <c r="AH65" s="56">
        <v>5930328</v>
      </c>
      <c r="AI65" s="56">
        <v>12676190</v>
      </c>
      <c r="AJ65" s="64">
        <v>12689156</v>
      </c>
      <c r="AK65" s="1">
        <v>91766026</v>
      </c>
      <c r="AL65" s="1">
        <v>4779703</v>
      </c>
      <c r="AM65" s="56">
        <v>467460</v>
      </c>
      <c r="AN65" s="56">
        <v>32884393</v>
      </c>
      <c r="AO65" s="56">
        <v>626837</v>
      </c>
      <c r="AP65" s="56">
        <v>5031324</v>
      </c>
      <c r="AQ65" s="56">
        <v>17371201</v>
      </c>
      <c r="AR65" s="56">
        <v>889486</v>
      </c>
      <c r="AS65" s="56">
        <v>192</v>
      </c>
      <c r="AT65" s="56">
        <v>359009</v>
      </c>
      <c r="AU65" s="56">
        <v>0</v>
      </c>
      <c r="AV65" s="56">
        <v>0</v>
      </c>
      <c r="AW65" s="56">
        <v>0</v>
      </c>
      <c r="AX65" s="56">
        <v>0</v>
      </c>
      <c r="AY65" s="56">
        <v>0</v>
      </c>
      <c r="AZ65" s="1">
        <v>3522652.068828397</v>
      </c>
      <c r="BA65" s="1">
        <v>1796553</v>
      </c>
      <c r="BB65" s="1"/>
      <c r="BC65" s="15">
        <v>2734169</v>
      </c>
      <c r="BD65" s="15">
        <v>5361116</v>
      </c>
      <c r="BE65" s="20">
        <v>81041503</v>
      </c>
      <c r="BF65" s="20">
        <v>81041503</v>
      </c>
      <c r="BG65" s="20">
        <v>149590969</v>
      </c>
      <c r="BH65" s="20">
        <v>146153419</v>
      </c>
      <c r="BI65" s="63"/>
      <c r="BJ65" s="63"/>
      <c r="BK65" s="63"/>
      <c r="BL65" s="5">
        <v>841311935</v>
      </c>
      <c r="BM65" s="5">
        <v>513040562</v>
      </c>
      <c r="BN65" s="15">
        <v>541500</v>
      </c>
      <c r="BO65" s="5"/>
      <c r="BP65" s="1"/>
      <c r="BQ65" s="1"/>
      <c r="BR65" s="5"/>
      <c r="BS65" s="5"/>
      <c r="BT65" s="5"/>
    </row>
    <row r="66" spans="1:72" x14ac:dyDescent="0.25">
      <c r="A66" s="6" t="s">
        <v>120</v>
      </c>
      <c r="B66" s="56">
        <v>84801390</v>
      </c>
      <c r="C66" s="56">
        <v>41762272</v>
      </c>
      <c r="D66" s="56">
        <v>51247544</v>
      </c>
      <c r="E66" s="56">
        <v>0</v>
      </c>
      <c r="F66" s="56">
        <v>12714073</v>
      </c>
      <c r="G66" s="56">
        <v>9586750</v>
      </c>
      <c r="H66" s="56">
        <v>5854275</v>
      </c>
      <c r="I66" s="56">
        <v>2852615</v>
      </c>
      <c r="J66" s="56">
        <v>0</v>
      </c>
      <c r="K66" s="56">
        <v>25002</v>
      </c>
      <c r="L66" s="56">
        <v>56450166</v>
      </c>
      <c r="M66" s="56">
        <v>29211189</v>
      </c>
      <c r="N66" s="56">
        <v>614</v>
      </c>
      <c r="O66" s="56">
        <v>491</v>
      </c>
      <c r="P66" s="56">
        <v>1621550</v>
      </c>
      <c r="Q66" s="56">
        <v>270525</v>
      </c>
      <c r="R66" s="56">
        <v>30000</v>
      </c>
      <c r="S66" s="56">
        <v>1345900</v>
      </c>
      <c r="T66" s="56">
        <v>505100</v>
      </c>
      <c r="U66" s="56">
        <v>36200</v>
      </c>
      <c r="V66" s="56">
        <v>1621550</v>
      </c>
      <c r="W66" s="56">
        <v>187100</v>
      </c>
      <c r="X66" s="56">
        <v>30000</v>
      </c>
      <c r="Y66" s="56">
        <v>1345900</v>
      </c>
      <c r="Z66" s="56">
        <v>607450</v>
      </c>
      <c r="AA66" s="56">
        <v>36200</v>
      </c>
      <c r="AB66" s="56">
        <v>-1417212</v>
      </c>
      <c r="AC66" s="56">
        <v>146801</v>
      </c>
      <c r="AD66" s="56">
        <v>96623</v>
      </c>
      <c r="AE66" s="56">
        <v>0</v>
      </c>
      <c r="AF66" s="56">
        <v>0</v>
      </c>
      <c r="AG66" s="56">
        <v>107549</v>
      </c>
      <c r="AH66" s="56">
        <v>33422107</v>
      </c>
      <c r="AI66" s="56">
        <v>0</v>
      </c>
      <c r="AJ66" s="56">
        <v>0</v>
      </c>
      <c r="AK66" s="1">
        <v>33250880</v>
      </c>
      <c r="AL66" s="1">
        <v>701825</v>
      </c>
      <c r="AM66" s="56">
        <v>0</v>
      </c>
      <c r="AN66" s="56">
        <v>7521916</v>
      </c>
      <c r="AO66" s="56">
        <v>59847</v>
      </c>
      <c r="AP66" s="56">
        <v>266943</v>
      </c>
      <c r="AQ66" s="56">
        <v>5622785</v>
      </c>
      <c r="AR66" s="56">
        <v>576169</v>
      </c>
      <c r="AS66" s="56">
        <v>0</v>
      </c>
      <c r="AT66" s="56">
        <v>101225</v>
      </c>
      <c r="AU66" s="56">
        <v>0</v>
      </c>
      <c r="AV66" s="56">
        <v>0</v>
      </c>
      <c r="AW66" s="56">
        <v>0</v>
      </c>
      <c r="AX66" s="56">
        <v>0</v>
      </c>
      <c r="AY66" s="56">
        <v>40000</v>
      </c>
      <c r="AZ66" s="1">
        <v>1276412.2663693072</v>
      </c>
      <c r="BA66" s="1">
        <v>650970</v>
      </c>
      <c r="BB66" s="1"/>
      <c r="BC66" s="15">
        <v>1963129</v>
      </c>
      <c r="BD66" s="15">
        <v>3849272</v>
      </c>
      <c r="BE66" s="20">
        <v>12240120</v>
      </c>
      <c r="BF66" s="20">
        <v>12240120</v>
      </c>
      <c r="BG66" s="20">
        <v>29103789</v>
      </c>
      <c r="BH66" s="20">
        <v>23558773</v>
      </c>
      <c r="BI66" s="63"/>
      <c r="BJ66" s="63"/>
      <c r="BK66" s="63"/>
      <c r="BL66" s="5">
        <v>296803558</v>
      </c>
      <c r="BM66" s="5">
        <v>224437861</v>
      </c>
      <c r="BN66" s="15">
        <v>160000</v>
      </c>
      <c r="BO66" s="5"/>
      <c r="BP66" s="1"/>
      <c r="BQ66" s="1"/>
      <c r="BR66" s="5"/>
      <c r="BS66" s="5"/>
      <c r="BT66" s="5"/>
    </row>
    <row r="67" spans="1:72" x14ac:dyDescent="0.25">
      <c r="A67" s="6" t="s">
        <v>121</v>
      </c>
      <c r="B67" s="40">
        <v>112798373</v>
      </c>
      <c r="C67" s="40">
        <v>54934612</v>
      </c>
      <c r="D67" s="40">
        <v>30479230</v>
      </c>
      <c r="E67" s="40">
        <v>0</v>
      </c>
      <c r="F67" s="40">
        <v>21723920</v>
      </c>
      <c r="G67" s="40">
        <v>23806732</v>
      </c>
      <c r="H67" s="40">
        <v>7245750</v>
      </c>
      <c r="I67" s="40">
        <v>3562041</v>
      </c>
      <c r="J67" s="40">
        <v>103500</v>
      </c>
      <c r="K67" s="40">
        <v>36000</v>
      </c>
      <c r="L67" s="40">
        <v>42824104</v>
      </c>
      <c r="M67" s="40">
        <v>29271659</v>
      </c>
      <c r="N67" s="40">
        <v>1001</v>
      </c>
      <c r="O67" s="40">
        <v>1036</v>
      </c>
      <c r="P67" s="40">
        <v>1728225</v>
      </c>
      <c r="Q67" s="40">
        <v>370300</v>
      </c>
      <c r="R67" s="40">
        <v>180000</v>
      </c>
      <c r="S67" s="40">
        <v>1781100</v>
      </c>
      <c r="T67" s="40">
        <v>647000</v>
      </c>
      <c r="U67" s="40">
        <v>59550</v>
      </c>
      <c r="V67" s="40">
        <v>1728225</v>
      </c>
      <c r="W67" s="40">
        <v>290600</v>
      </c>
      <c r="X67" s="40">
        <v>180000</v>
      </c>
      <c r="Y67" s="40">
        <v>1781100</v>
      </c>
      <c r="Z67" s="40">
        <v>639550</v>
      </c>
      <c r="AA67" s="40">
        <v>59550</v>
      </c>
      <c r="AB67" s="40">
        <v>-1285525</v>
      </c>
      <c r="AC67" s="40">
        <v>-47394</v>
      </c>
      <c r="AD67" s="40">
        <v>195370</v>
      </c>
      <c r="AE67" s="40">
        <v>0</v>
      </c>
      <c r="AF67" s="40">
        <v>0</v>
      </c>
      <c r="AG67" s="40">
        <v>199923</v>
      </c>
      <c r="AH67" s="40">
        <v>26362049</v>
      </c>
      <c r="AI67" s="40">
        <v>31611283</v>
      </c>
      <c r="AJ67" s="46">
        <v>219209762</v>
      </c>
      <c r="AK67" s="1">
        <v>66869950</v>
      </c>
      <c r="AL67" s="1">
        <v>2501686</v>
      </c>
      <c r="AM67" s="40">
        <v>0</v>
      </c>
      <c r="AN67" s="40">
        <v>66722307</v>
      </c>
      <c r="AO67" s="40">
        <v>5278099</v>
      </c>
      <c r="AP67" s="40">
        <v>18113710</v>
      </c>
      <c r="AQ67" s="40">
        <v>2853015</v>
      </c>
      <c r="AR67" s="40">
        <v>4515780</v>
      </c>
      <c r="AS67" s="40">
        <v>0</v>
      </c>
      <c r="AT67" s="40">
        <v>0</v>
      </c>
      <c r="AU67" s="40">
        <v>0</v>
      </c>
      <c r="AV67" s="40">
        <v>0</v>
      </c>
      <c r="AW67" s="40">
        <v>0</v>
      </c>
      <c r="AX67" s="40">
        <v>0</v>
      </c>
      <c r="AY67" s="40">
        <v>0</v>
      </c>
      <c r="AZ67" s="1">
        <v>2566958.3611472012</v>
      </c>
      <c r="BA67" s="1">
        <v>1309149</v>
      </c>
      <c r="BB67" s="1"/>
      <c r="BC67" s="15">
        <v>0</v>
      </c>
      <c r="BD67" s="15">
        <v>0</v>
      </c>
      <c r="BE67" s="20">
        <v>1412475</v>
      </c>
      <c r="BF67" s="20">
        <v>1412475</v>
      </c>
      <c r="BG67" s="20">
        <v>31562926</v>
      </c>
      <c r="BH67" s="20">
        <v>31460125</v>
      </c>
      <c r="BI67" s="63"/>
      <c r="BJ67" s="44"/>
      <c r="BK67" s="44"/>
      <c r="BL67" s="5">
        <v>653802115</v>
      </c>
      <c r="BM67" s="5">
        <v>550248730</v>
      </c>
      <c r="BN67" s="15">
        <v>542535</v>
      </c>
      <c r="BO67" s="5"/>
      <c r="BP67" s="1"/>
      <c r="BQ67" s="1"/>
      <c r="BR67" s="5"/>
      <c r="BS67" s="5"/>
      <c r="BT67" s="5"/>
    </row>
    <row r="68" spans="1:72" x14ac:dyDescent="0.25">
      <c r="A68" s="6" t="s">
        <v>122</v>
      </c>
      <c r="B68" s="56">
        <v>214916794</v>
      </c>
      <c r="C68" s="56">
        <v>46563586</v>
      </c>
      <c r="D68" s="56">
        <v>116257096</v>
      </c>
      <c r="E68" s="56">
        <v>0</v>
      </c>
      <c r="F68" s="56">
        <v>51148950</v>
      </c>
      <c r="G68" s="56">
        <v>27969369</v>
      </c>
      <c r="H68" s="56">
        <v>13909400</v>
      </c>
      <c r="I68" s="56">
        <v>5125250</v>
      </c>
      <c r="J68" s="56">
        <v>0</v>
      </c>
      <c r="K68" s="56">
        <v>0</v>
      </c>
      <c r="L68" s="56">
        <v>73768614</v>
      </c>
      <c r="M68" s="56">
        <v>56916</v>
      </c>
      <c r="N68" s="56">
        <v>2465</v>
      </c>
      <c r="O68" s="56">
        <v>1302</v>
      </c>
      <c r="P68" s="56">
        <v>1462000</v>
      </c>
      <c r="Q68" s="56">
        <v>0</v>
      </c>
      <c r="R68" s="56">
        <v>0</v>
      </c>
      <c r="S68" s="56">
        <v>139500</v>
      </c>
      <c r="T68" s="56">
        <v>0</v>
      </c>
      <c r="U68" s="56">
        <v>10000</v>
      </c>
      <c r="V68" s="56">
        <v>1462000</v>
      </c>
      <c r="W68" s="56">
        <v>0</v>
      </c>
      <c r="X68" s="56">
        <v>0</v>
      </c>
      <c r="Y68" s="56">
        <v>139500</v>
      </c>
      <c r="Z68" s="56">
        <v>0</v>
      </c>
      <c r="AA68" s="56">
        <v>10000</v>
      </c>
      <c r="AB68" s="56">
        <v>-4366215</v>
      </c>
      <c r="AC68" s="56">
        <v>0</v>
      </c>
      <c r="AD68" s="56">
        <v>0</v>
      </c>
      <c r="AE68" s="56">
        <v>0</v>
      </c>
      <c r="AF68" s="56">
        <v>0</v>
      </c>
      <c r="AG68" s="56">
        <v>0</v>
      </c>
      <c r="AH68" s="56">
        <v>23803164</v>
      </c>
      <c r="AI68" s="56">
        <v>159849983</v>
      </c>
      <c r="AJ68" s="64">
        <v>202183100</v>
      </c>
      <c r="AK68" s="1">
        <v>142164510</v>
      </c>
      <c r="AL68" s="1">
        <v>3626577</v>
      </c>
      <c r="AM68" s="56">
        <v>0</v>
      </c>
      <c r="AN68" s="56">
        <v>119288063</v>
      </c>
      <c r="AO68" s="56">
        <v>5887172</v>
      </c>
      <c r="AP68" s="56">
        <v>31777187</v>
      </c>
      <c r="AQ68" s="56">
        <v>21876500</v>
      </c>
      <c r="AR68" s="56">
        <v>4391306</v>
      </c>
      <c r="AS68" s="56">
        <v>1611</v>
      </c>
      <c r="AT68" s="56">
        <v>53873</v>
      </c>
      <c r="AU68" s="56">
        <v>0</v>
      </c>
      <c r="AV68" s="56">
        <v>0</v>
      </c>
      <c r="AW68" s="56">
        <v>0</v>
      </c>
      <c r="AX68" s="56">
        <v>25498</v>
      </c>
      <c r="AY68" s="56">
        <v>0</v>
      </c>
      <c r="AZ68" s="1">
        <v>5457314.9464429822</v>
      </c>
      <c r="BA68" s="1">
        <v>2783231</v>
      </c>
      <c r="BB68" s="1"/>
      <c r="BC68" s="15">
        <v>2401794</v>
      </c>
      <c r="BD68" s="15">
        <v>4709400</v>
      </c>
      <c r="BE68" s="20">
        <v>16504003</v>
      </c>
      <c r="BF68" s="20">
        <v>16504003</v>
      </c>
      <c r="BG68" s="20">
        <v>49731283</v>
      </c>
      <c r="BH68" s="20">
        <v>46645648</v>
      </c>
      <c r="BI68" s="63"/>
      <c r="BJ68" s="63"/>
      <c r="BK68" s="63"/>
      <c r="BL68" s="5">
        <v>1124751221</v>
      </c>
      <c r="BM68" s="5">
        <v>910625458</v>
      </c>
      <c r="BN68" s="15">
        <v>151750</v>
      </c>
      <c r="BO68" s="5"/>
      <c r="BP68" s="1"/>
      <c r="BQ68" s="1"/>
      <c r="BR68" s="5"/>
      <c r="BS68" s="5"/>
      <c r="BT68" s="5"/>
    </row>
    <row r="69" spans="1:72" x14ac:dyDescent="0.25">
      <c r="A69" s="6" t="s">
        <v>123</v>
      </c>
      <c r="B69" s="56">
        <v>178769129</v>
      </c>
      <c r="C69" s="56">
        <v>107218590</v>
      </c>
      <c r="D69" s="56">
        <v>34067150</v>
      </c>
      <c r="E69" s="56">
        <v>0</v>
      </c>
      <c r="F69" s="56">
        <v>27035500</v>
      </c>
      <c r="G69" s="56">
        <v>10844000</v>
      </c>
      <c r="H69" s="56">
        <v>10640800</v>
      </c>
      <c r="I69" s="56">
        <v>1865750</v>
      </c>
      <c r="J69" s="56">
        <v>64400</v>
      </c>
      <c r="K69" s="56">
        <v>0</v>
      </c>
      <c r="L69" s="56">
        <v>147032960</v>
      </c>
      <c r="M69" s="56">
        <v>46649920</v>
      </c>
      <c r="N69" s="56">
        <v>1234</v>
      </c>
      <c r="O69" s="56">
        <v>457</v>
      </c>
      <c r="P69" s="56">
        <v>3189000</v>
      </c>
      <c r="Q69" s="56">
        <v>1702300</v>
      </c>
      <c r="R69" s="56">
        <v>1038800</v>
      </c>
      <c r="S69" s="56">
        <v>2338100</v>
      </c>
      <c r="T69" s="56">
        <v>591100</v>
      </c>
      <c r="U69" s="56">
        <v>451900</v>
      </c>
      <c r="V69" s="56">
        <v>3189000</v>
      </c>
      <c r="W69" s="56">
        <v>2035700</v>
      </c>
      <c r="X69" s="56">
        <v>1038800</v>
      </c>
      <c r="Y69" s="56">
        <v>2338100</v>
      </c>
      <c r="Z69" s="56">
        <v>814000</v>
      </c>
      <c r="AA69" s="56">
        <v>451900</v>
      </c>
      <c r="AB69" s="56">
        <v>-1851400</v>
      </c>
      <c r="AC69" s="56">
        <v>0</v>
      </c>
      <c r="AD69" s="56">
        <v>193046</v>
      </c>
      <c r="AE69" s="56">
        <v>0</v>
      </c>
      <c r="AF69" s="56">
        <v>0</v>
      </c>
      <c r="AG69" s="56">
        <v>289137</v>
      </c>
      <c r="AH69" s="56">
        <v>0</v>
      </c>
      <c r="AI69" s="56">
        <v>68664</v>
      </c>
      <c r="AJ69" s="56">
        <v>0</v>
      </c>
      <c r="AK69" s="1">
        <v>68757473</v>
      </c>
      <c r="AL69" s="1">
        <v>1114583</v>
      </c>
      <c r="AM69" s="56">
        <v>0</v>
      </c>
      <c r="AN69" s="56">
        <v>8021991</v>
      </c>
      <c r="AO69" s="56">
        <v>1508261</v>
      </c>
      <c r="AP69" s="56">
        <v>18740915</v>
      </c>
      <c r="AQ69" s="56">
        <v>6800575</v>
      </c>
      <c r="AR69" s="56">
        <v>3535498</v>
      </c>
      <c r="AS69" s="56">
        <v>0</v>
      </c>
      <c r="AT69" s="56">
        <v>60668</v>
      </c>
      <c r="AU69" s="56">
        <v>0</v>
      </c>
      <c r="AV69" s="56">
        <v>0</v>
      </c>
      <c r="AW69" s="56">
        <v>0</v>
      </c>
      <c r="AX69" s="56">
        <v>0</v>
      </c>
      <c r="AY69" s="56">
        <v>40500</v>
      </c>
      <c r="AZ69" s="1">
        <v>2639415.315978297</v>
      </c>
      <c r="BA69" s="1">
        <v>1346102</v>
      </c>
      <c r="BB69" s="1">
        <v>39896373.060000002</v>
      </c>
      <c r="BC69" s="15">
        <v>2441139</v>
      </c>
      <c r="BD69" s="15">
        <v>4786547</v>
      </c>
      <c r="BE69" s="20">
        <v>51793633</v>
      </c>
      <c r="BF69" s="20">
        <v>51793633</v>
      </c>
      <c r="BG69" s="20">
        <v>59850502</v>
      </c>
      <c r="BH69" s="20">
        <v>50005174</v>
      </c>
      <c r="BI69" s="63"/>
      <c r="BJ69" s="63"/>
      <c r="BK69" s="63"/>
      <c r="BL69" s="5">
        <v>511912464</v>
      </c>
      <c r="BM69" s="5">
        <v>336454360</v>
      </c>
      <c r="BN69" s="15">
        <v>1339000</v>
      </c>
      <c r="BO69" s="5"/>
      <c r="BP69" s="1"/>
      <c r="BQ69" s="1"/>
      <c r="BR69" s="5"/>
      <c r="BS69" s="5"/>
      <c r="BT69" s="5"/>
    </row>
    <row r="70" spans="1:72" x14ac:dyDescent="0.25">
      <c r="A70" s="6" t="s">
        <v>124</v>
      </c>
      <c r="B70" s="56">
        <v>475752361</v>
      </c>
      <c r="C70" s="56">
        <v>167421071</v>
      </c>
      <c r="D70" s="56">
        <v>116216743</v>
      </c>
      <c r="E70" s="56">
        <v>0</v>
      </c>
      <c r="F70" s="56">
        <v>63023710</v>
      </c>
      <c r="G70" s="56">
        <v>17222075</v>
      </c>
      <c r="H70" s="56">
        <v>20475937</v>
      </c>
      <c r="I70" s="56">
        <v>2100380</v>
      </c>
      <c r="J70" s="56">
        <v>324000</v>
      </c>
      <c r="K70" s="56">
        <v>106000</v>
      </c>
      <c r="L70" s="56">
        <v>295251846</v>
      </c>
      <c r="M70" s="56">
        <v>110848255</v>
      </c>
      <c r="N70" s="56">
        <v>2595</v>
      </c>
      <c r="O70" s="56">
        <v>686</v>
      </c>
      <c r="P70" s="56">
        <v>4974390</v>
      </c>
      <c r="Q70" s="56">
        <v>2895200</v>
      </c>
      <c r="R70" s="56">
        <v>751700</v>
      </c>
      <c r="S70" s="56">
        <v>8059569</v>
      </c>
      <c r="T70" s="56">
        <v>1465835</v>
      </c>
      <c r="U70" s="56">
        <v>1810900</v>
      </c>
      <c r="V70" s="56">
        <v>4974390</v>
      </c>
      <c r="W70" s="56">
        <v>3391329</v>
      </c>
      <c r="X70" s="56">
        <v>751700</v>
      </c>
      <c r="Y70" s="56">
        <v>8059569</v>
      </c>
      <c r="Z70" s="56">
        <v>2245024</v>
      </c>
      <c r="AA70" s="56">
        <v>1810900</v>
      </c>
      <c r="AB70" s="56">
        <v>-2456441</v>
      </c>
      <c r="AC70" s="56">
        <v>-20260</v>
      </c>
      <c r="AD70" s="56">
        <v>59713</v>
      </c>
      <c r="AE70" s="56">
        <v>7</v>
      </c>
      <c r="AF70" s="56">
        <v>0</v>
      </c>
      <c r="AG70" s="56">
        <v>177504</v>
      </c>
      <c r="AH70" s="56">
        <v>92811</v>
      </c>
      <c r="AI70" s="56">
        <v>0</v>
      </c>
      <c r="AJ70" s="56">
        <v>0</v>
      </c>
      <c r="AK70" s="1">
        <v>107987447</v>
      </c>
      <c r="AL70" s="1">
        <v>3588774</v>
      </c>
      <c r="AM70" s="56">
        <v>0</v>
      </c>
      <c r="AN70" s="56">
        <v>14177096</v>
      </c>
      <c r="AO70" s="56">
        <v>3274368</v>
      </c>
      <c r="AP70" s="56">
        <v>21616080</v>
      </c>
      <c r="AQ70" s="56">
        <v>19277707</v>
      </c>
      <c r="AR70" s="56">
        <v>15180528</v>
      </c>
      <c r="AS70" s="56">
        <v>74417</v>
      </c>
      <c r="AT70" s="56">
        <v>8389411</v>
      </c>
      <c r="AU70" s="56">
        <v>0</v>
      </c>
      <c r="AV70" s="56">
        <v>0</v>
      </c>
      <c r="AW70" s="56">
        <v>14257</v>
      </c>
      <c r="AX70" s="56">
        <v>1006315</v>
      </c>
      <c r="AY70" s="56">
        <v>0</v>
      </c>
      <c r="AZ70" s="1">
        <v>4145348.9942132486</v>
      </c>
      <c r="BA70" s="1">
        <v>2114128</v>
      </c>
      <c r="BB70" s="1"/>
      <c r="BC70" s="15">
        <v>2107002</v>
      </c>
      <c r="BD70" s="15">
        <v>4131376</v>
      </c>
      <c r="BE70" s="20">
        <v>42879934</v>
      </c>
      <c r="BF70" s="20">
        <v>42879934</v>
      </c>
      <c r="BG70" s="20">
        <v>58258240</v>
      </c>
      <c r="BH70" s="20">
        <v>53375768</v>
      </c>
      <c r="BI70" s="63"/>
      <c r="BJ70" s="63"/>
      <c r="BK70" s="63"/>
      <c r="BL70" s="5">
        <v>1008265210</v>
      </c>
      <c r="BM70" s="5">
        <v>796212157</v>
      </c>
      <c r="BN70" s="15">
        <v>507600</v>
      </c>
      <c r="BO70" s="5"/>
      <c r="BP70" s="1"/>
      <c r="BQ70" s="1"/>
      <c r="BR70" s="5"/>
      <c r="BS70" s="5"/>
      <c r="BT70" s="5"/>
    </row>
    <row r="71" spans="1:72" x14ac:dyDescent="0.25">
      <c r="A71" s="6" t="s">
        <v>125</v>
      </c>
      <c r="B71" s="56">
        <v>235467874</v>
      </c>
      <c r="C71" s="56">
        <v>105481292</v>
      </c>
      <c r="D71" s="56">
        <v>99783681</v>
      </c>
      <c r="E71" s="56">
        <v>0</v>
      </c>
      <c r="F71" s="56">
        <v>28185900</v>
      </c>
      <c r="G71" s="56">
        <v>6643050</v>
      </c>
      <c r="H71" s="56">
        <v>8219600</v>
      </c>
      <c r="I71" s="56">
        <v>1208100</v>
      </c>
      <c r="J71" s="56">
        <v>72000</v>
      </c>
      <c r="K71" s="56">
        <v>0</v>
      </c>
      <c r="L71" s="56">
        <v>181197563</v>
      </c>
      <c r="M71" s="56">
        <v>61612950</v>
      </c>
      <c r="N71" s="56">
        <v>1098</v>
      </c>
      <c r="O71" s="56">
        <v>251</v>
      </c>
      <c r="P71" s="56">
        <v>4276800</v>
      </c>
      <c r="Q71" s="56">
        <v>773400</v>
      </c>
      <c r="R71" s="56">
        <v>1389070</v>
      </c>
      <c r="S71" s="56">
        <v>2151031</v>
      </c>
      <c r="T71" s="56">
        <v>1325850</v>
      </c>
      <c r="U71" s="56">
        <v>2274300</v>
      </c>
      <c r="V71" s="56">
        <v>4276800</v>
      </c>
      <c r="W71" s="56">
        <v>1241300</v>
      </c>
      <c r="X71" s="56">
        <v>1389070</v>
      </c>
      <c r="Y71" s="56">
        <v>2151031</v>
      </c>
      <c r="Z71" s="56">
        <v>6398050</v>
      </c>
      <c r="AA71" s="56">
        <v>2274300</v>
      </c>
      <c r="AB71" s="56">
        <v>-3177363</v>
      </c>
      <c r="AC71" s="56">
        <v>0</v>
      </c>
      <c r="AD71" s="56">
        <v>65556</v>
      </c>
      <c r="AE71" s="56">
        <v>0</v>
      </c>
      <c r="AF71" s="56">
        <v>0</v>
      </c>
      <c r="AG71" s="56">
        <v>128864</v>
      </c>
      <c r="AH71" s="56">
        <v>0</v>
      </c>
      <c r="AI71" s="56">
        <v>14189156</v>
      </c>
      <c r="AJ71" s="56">
        <v>0</v>
      </c>
      <c r="AK71" s="1">
        <v>69545792</v>
      </c>
      <c r="AL71" s="1">
        <v>4778680</v>
      </c>
      <c r="AM71" s="56">
        <v>15207078</v>
      </c>
      <c r="AN71" s="56">
        <v>50319592</v>
      </c>
      <c r="AO71" s="56">
        <v>1214324</v>
      </c>
      <c r="AP71" s="56">
        <v>89549449</v>
      </c>
      <c r="AQ71" s="56">
        <v>32939339</v>
      </c>
      <c r="AR71" s="56">
        <v>695794</v>
      </c>
      <c r="AS71" s="56">
        <v>21305991</v>
      </c>
      <c r="AT71" s="56">
        <v>236929</v>
      </c>
      <c r="AU71" s="56">
        <v>0</v>
      </c>
      <c r="AV71" s="56">
        <v>0</v>
      </c>
      <c r="AW71" s="56">
        <v>0</v>
      </c>
      <c r="AX71" s="56">
        <v>0</v>
      </c>
      <c r="AY71" s="56">
        <v>0</v>
      </c>
      <c r="AZ71" s="1">
        <v>2669676.3880849397</v>
      </c>
      <c r="BA71" s="1">
        <v>1361535</v>
      </c>
      <c r="BB71" s="1">
        <v>71586787.560000002</v>
      </c>
      <c r="BC71" s="15">
        <v>335312</v>
      </c>
      <c r="BD71" s="15">
        <v>657474</v>
      </c>
      <c r="BE71" s="20">
        <v>8012308</v>
      </c>
      <c r="BF71" s="20">
        <v>7715017</v>
      </c>
      <c r="BG71" s="20">
        <v>24850058</v>
      </c>
      <c r="BH71" s="20">
        <v>24459727</v>
      </c>
      <c r="BI71" s="63"/>
      <c r="BJ71" s="63"/>
      <c r="BK71" s="63"/>
      <c r="BL71" s="5">
        <v>647591321</v>
      </c>
      <c r="BM71" s="5">
        <v>539395258</v>
      </c>
      <c r="BN71" s="15">
        <v>375309</v>
      </c>
      <c r="BO71" s="5"/>
      <c r="BP71" s="1"/>
      <c r="BQ71" s="1"/>
      <c r="BR71" s="5"/>
      <c r="BS71" s="5"/>
      <c r="BT71" s="5"/>
    </row>
    <row r="72" spans="1:72" x14ac:dyDescent="0.25">
      <c r="A72" s="6" t="s">
        <v>126</v>
      </c>
      <c r="B72" s="56">
        <v>562075721</v>
      </c>
      <c r="C72" s="56">
        <v>268791248</v>
      </c>
      <c r="D72" s="56">
        <v>192935708</v>
      </c>
      <c r="E72" s="56">
        <v>0</v>
      </c>
      <c r="F72" s="56">
        <v>65420875</v>
      </c>
      <c r="G72" s="56">
        <v>9816773</v>
      </c>
      <c r="H72" s="56">
        <v>15318515</v>
      </c>
      <c r="I72" s="56">
        <v>906910</v>
      </c>
      <c r="J72" s="56">
        <v>36000</v>
      </c>
      <c r="K72" s="56">
        <v>0</v>
      </c>
      <c r="L72" s="56">
        <v>816861210</v>
      </c>
      <c r="M72" s="56">
        <v>0</v>
      </c>
      <c r="N72" s="56">
        <v>2396</v>
      </c>
      <c r="O72" s="56">
        <v>336</v>
      </c>
      <c r="P72" s="56">
        <v>7155428</v>
      </c>
      <c r="Q72" s="56">
        <v>4385195</v>
      </c>
      <c r="R72" s="56">
        <v>3052560</v>
      </c>
      <c r="S72" s="56">
        <v>6036956</v>
      </c>
      <c r="T72" s="56">
        <v>2131065</v>
      </c>
      <c r="U72" s="56">
        <v>2403869</v>
      </c>
      <c r="V72" s="56">
        <v>7155428</v>
      </c>
      <c r="W72" s="56">
        <v>5431232</v>
      </c>
      <c r="X72" s="56">
        <v>3052560</v>
      </c>
      <c r="Y72" s="56">
        <v>6036956</v>
      </c>
      <c r="Z72" s="56">
        <v>4312907</v>
      </c>
      <c r="AA72" s="56">
        <v>2403869</v>
      </c>
      <c r="AB72" s="56">
        <v>-2935196</v>
      </c>
      <c r="AC72" s="56">
        <v>0</v>
      </c>
      <c r="AD72" s="56">
        <v>105652</v>
      </c>
      <c r="AE72" s="56">
        <v>0</v>
      </c>
      <c r="AF72" s="56">
        <v>595757331</v>
      </c>
      <c r="AG72" s="56">
        <v>319327</v>
      </c>
      <c r="AH72" s="56">
        <v>78230</v>
      </c>
      <c r="AI72" s="56">
        <v>242098</v>
      </c>
      <c r="AJ72" s="56">
        <v>0</v>
      </c>
      <c r="AK72" s="1">
        <v>156197538</v>
      </c>
      <c r="AL72" s="1">
        <v>4991240</v>
      </c>
      <c r="AM72" s="56">
        <v>0</v>
      </c>
      <c r="AN72" s="56">
        <v>53939180</v>
      </c>
      <c r="AO72" s="56">
        <v>13100189</v>
      </c>
      <c r="AP72" s="56">
        <v>418271244</v>
      </c>
      <c r="AQ72" s="56">
        <v>98443597</v>
      </c>
      <c r="AR72" s="56">
        <v>201358408</v>
      </c>
      <c r="AS72" s="56">
        <v>24281870</v>
      </c>
      <c r="AT72" s="56">
        <v>8702838</v>
      </c>
      <c r="AU72" s="56">
        <v>0</v>
      </c>
      <c r="AV72" s="56">
        <v>17964</v>
      </c>
      <c r="AW72" s="56">
        <v>8647998</v>
      </c>
      <c r="AX72" s="56">
        <v>4770809</v>
      </c>
      <c r="AY72" s="56">
        <v>278500</v>
      </c>
      <c r="AZ72" s="1">
        <v>5996005.3231639573</v>
      </c>
      <c r="BA72" s="1">
        <v>3057963</v>
      </c>
      <c r="BB72" s="1"/>
      <c r="BC72" s="15">
        <v>2158091</v>
      </c>
      <c r="BD72" s="15">
        <v>4231551</v>
      </c>
      <c r="BE72" s="20">
        <v>14483830</v>
      </c>
      <c r="BF72" s="20">
        <v>14483830</v>
      </c>
      <c r="BG72" s="20">
        <v>51470828</v>
      </c>
      <c r="BH72" s="20">
        <v>50244678</v>
      </c>
      <c r="BI72" s="63"/>
      <c r="BJ72" s="63">
        <v>4462713</v>
      </c>
      <c r="BK72" s="63"/>
      <c r="BL72" s="5">
        <v>1425202024</v>
      </c>
      <c r="BM72" s="5">
        <v>1189605971</v>
      </c>
      <c r="BN72" s="15">
        <v>3533324</v>
      </c>
      <c r="BO72" s="5"/>
      <c r="BP72" s="1"/>
      <c r="BQ72" s="1"/>
      <c r="BR72" s="5"/>
      <c r="BS72" s="5"/>
      <c r="BT72" s="5"/>
    </row>
    <row r="73" spans="1:72" x14ac:dyDescent="0.25">
      <c r="A73" s="6" t="s">
        <v>127</v>
      </c>
      <c r="B73" s="56">
        <v>432509057</v>
      </c>
      <c r="C73" s="56">
        <v>57191624</v>
      </c>
      <c r="D73" s="56">
        <v>77970549</v>
      </c>
      <c r="E73" s="56">
        <v>0</v>
      </c>
      <c r="F73" s="56">
        <v>30146510</v>
      </c>
      <c r="G73" s="56">
        <v>4686019</v>
      </c>
      <c r="H73" s="56">
        <v>6007910</v>
      </c>
      <c r="I73" s="56">
        <v>581750</v>
      </c>
      <c r="J73" s="56">
        <v>72000</v>
      </c>
      <c r="K73" s="56">
        <v>0</v>
      </c>
      <c r="L73" s="56">
        <v>147631927</v>
      </c>
      <c r="M73" s="56">
        <v>37730575</v>
      </c>
      <c r="N73" s="56">
        <v>1077</v>
      </c>
      <c r="O73" s="56">
        <v>165</v>
      </c>
      <c r="P73" s="56">
        <v>3712500</v>
      </c>
      <c r="Q73" s="56">
        <v>757710</v>
      </c>
      <c r="R73" s="56">
        <v>686800</v>
      </c>
      <c r="S73" s="56">
        <v>5853758</v>
      </c>
      <c r="T73" s="56">
        <v>459785</v>
      </c>
      <c r="U73" s="56">
        <v>613600</v>
      </c>
      <c r="V73" s="56">
        <v>3712500</v>
      </c>
      <c r="W73" s="56">
        <v>1041710</v>
      </c>
      <c r="X73" s="56">
        <v>686800</v>
      </c>
      <c r="Y73" s="56">
        <v>5853758</v>
      </c>
      <c r="Z73" s="56">
        <v>1560935</v>
      </c>
      <c r="AA73" s="56">
        <v>613600</v>
      </c>
      <c r="AB73" s="56">
        <v>-912675</v>
      </c>
      <c r="AC73" s="56">
        <v>0</v>
      </c>
      <c r="AD73" s="56">
        <v>0</v>
      </c>
      <c r="AE73" s="56">
        <v>0</v>
      </c>
      <c r="AF73" s="56"/>
      <c r="AG73" s="56">
        <v>23135</v>
      </c>
      <c r="AH73" s="56">
        <v>0</v>
      </c>
      <c r="AI73" s="56">
        <v>0</v>
      </c>
      <c r="AJ73" s="56">
        <v>0</v>
      </c>
      <c r="AK73" s="1">
        <v>54522619</v>
      </c>
      <c r="AL73" s="1">
        <v>12143164</v>
      </c>
      <c r="AM73" s="56">
        <v>4449540</v>
      </c>
      <c r="AN73" s="56">
        <v>10984498</v>
      </c>
      <c r="AO73" s="56">
        <v>416379</v>
      </c>
      <c r="AP73" s="56">
        <v>4767329</v>
      </c>
      <c r="AQ73" s="56">
        <v>8666886</v>
      </c>
      <c r="AR73" s="56">
        <v>4212075</v>
      </c>
      <c r="AS73" s="56">
        <v>25859528</v>
      </c>
      <c r="AT73" s="56">
        <v>146264</v>
      </c>
      <c r="AU73" s="56">
        <v>0</v>
      </c>
      <c r="AV73" s="56">
        <v>1211352</v>
      </c>
      <c r="AW73" s="56">
        <v>0</v>
      </c>
      <c r="AX73" s="56">
        <v>8915</v>
      </c>
      <c r="AY73" s="56">
        <v>0</v>
      </c>
      <c r="AZ73" s="1">
        <v>2092977.3794311681</v>
      </c>
      <c r="BA73" s="1">
        <v>1067418</v>
      </c>
      <c r="BB73" s="1">
        <v>30148963.73</v>
      </c>
      <c r="BC73" s="15">
        <v>878505</v>
      </c>
      <c r="BD73" s="15">
        <v>1722558</v>
      </c>
      <c r="BE73" s="20">
        <v>10225864</v>
      </c>
      <c r="BF73" s="20">
        <v>8684440</v>
      </c>
      <c r="BG73" s="20">
        <v>16744016</v>
      </c>
      <c r="BH73" s="20">
        <v>15790987</v>
      </c>
      <c r="BI73" s="63"/>
      <c r="BJ73" s="63"/>
      <c r="BK73" s="63"/>
      <c r="BL73" s="5">
        <v>680826126</v>
      </c>
      <c r="BM73" s="5">
        <v>587738993</v>
      </c>
      <c r="BN73" s="15">
        <v>676625</v>
      </c>
      <c r="BO73" s="5"/>
      <c r="BP73" s="1"/>
      <c r="BQ73" s="1"/>
      <c r="BR73" s="5"/>
      <c r="BS73" s="5"/>
      <c r="BT73" s="5"/>
    </row>
    <row r="74" spans="1:72" x14ac:dyDescent="0.25">
      <c r="A74" s="6" t="s">
        <v>128</v>
      </c>
      <c r="B74" s="56">
        <v>2248057630</v>
      </c>
      <c r="C74" s="56">
        <v>125853580</v>
      </c>
      <c r="D74" s="56">
        <v>1037520936</v>
      </c>
      <c r="E74" s="56">
        <v>0</v>
      </c>
      <c r="F74" s="56">
        <v>186958607</v>
      </c>
      <c r="G74" s="56">
        <v>24720058</v>
      </c>
      <c r="H74" s="56">
        <v>10300150</v>
      </c>
      <c r="I74" s="56">
        <v>814438</v>
      </c>
      <c r="J74" s="56">
        <v>440900</v>
      </c>
      <c r="K74" s="56">
        <v>0</v>
      </c>
      <c r="L74" s="56">
        <v>186145720</v>
      </c>
      <c r="M74" s="56">
        <v>0</v>
      </c>
      <c r="N74" s="56">
        <v>5868</v>
      </c>
      <c r="O74" s="56">
        <v>818</v>
      </c>
      <c r="P74" s="56">
        <v>9825525</v>
      </c>
      <c r="Q74" s="56">
        <v>537949</v>
      </c>
      <c r="R74" s="56">
        <v>33886700</v>
      </c>
      <c r="S74" s="56">
        <v>14474265</v>
      </c>
      <c r="T74" s="56">
        <v>716823</v>
      </c>
      <c r="U74" s="56">
        <v>3687050</v>
      </c>
      <c r="V74" s="56">
        <v>9825525</v>
      </c>
      <c r="W74" s="56">
        <v>700193</v>
      </c>
      <c r="X74" s="56">
        <v>33886700</v>
      </c>
      <c r="Y74" s="56">
        <v>14474265</v>
      </c>
      <c r="Z74" s="56">
        <v>1397924</v>
      </c>
      <c r="AA74" s="56">
        <v>3687050</v>
      </c>
      <c r="AB74" s="56">
        <v>950958</v>
      </c>
      <c r="AC74" s="56">
        <v>-601686</v>
      </c>
      <c r="AD74" s="56">
        <v>0</v>
      </c>
      <c r="AE74" s="56">
        <v>0</v>
      </c>
      <c r="AF74" s="56">
        <v>0</v>
      </c>
      <c r="AG74" s="56">
        <v>0</v>
      </c>
      <c r="AH74" s="56">
        <v>0</v>
      </c>
      <c r="AI74" s="56">
        <v>243516</v>
      </c>
      <c r="AJ74" s="56">
        <v>0</v>
      </c>
      <c r="AK74" s="1">
        <v>463019826</v>
      </c>
      <c r="AL74" s="1">
        <v>13359635</v>
      </c>
      <c r="AM74" s="56">
        <v>91000</v>
      </c>
      <c r="AN74" s="56">
        <v>230524038</v>
      </c>
      <c r="AO74" s="56">
        <v>21471056</v>
      </c>
      <c r="AP74" s="56">
        <v>48877708</v>
      </c>
      <c r="AQ74" s="56">
        <v>496142181</v>
      </c>
      <c r="AR74" s="56">
        <v>1459994221</v>
      </c>
      <c r="AS74" s="56">
        <v>517528232</v>
      </c>
      <c r="AT74" s="56">
        <v>2011467</v>
      </c>
      <c r="AU74" s="56">
        <v>0</v>
      </c>
      <c r="AV74" s="56">
        <v>0</v>
      </c>
      <c r="AW74" s="56">
        <v>0</v>
      </c>
      <c r="AX74" s="56">
        <v>881473</v>
      </c>
      <c r="AY74" s="56">
        <v>16190390</v>
      </c>
      <c r="AZ74" s="1">
        <v>17774091.557233438</v>
      </c>
      <c r="BA74" s="1">
        <v>9064787</v>
      </c>
      <c r="BB74" s="1">
        <v>29106217.620000001</v>
      </c>
      <c r="BC74" s="15">
        <v>4324404</v>
      </c>
      <c r="BD74" s="15">
        <v>8479223</v>
      </c>
      <c r="BE74" s="20">
        <v>67127421</v>
      </c>
      <c r="BF74" s="20">
        <v>57821640</v>
      </c>
      <c r="BG74" s="20">
        <v>136832685</v>
      </c>
      <c r="BH74" s="20">
        <v>115980235</v>
      </c>
      <c r="BI74" s="63"/>
      <c r="BJ74" s="63">
        <v>52090923</v>
      </c>
      <c r="BK74" s="63"/>
      <c r="BL74" s="5">
        <v>4875474387</v>
      </c>
      <c r="BM74" s="5">
        <v>4159812937</v>
      </c>
      <c r="BN74" s="15">
        <v>3070098</v>
      </c>
      <c r="BO74" s="5"/>
      <c r="BP74" s="1"/>
      <c r="BQ74" s="1"/>
      <c r="BR74" s="5"/>
      <c r="BS74" s="5"/>
      <c r="BT74" s="5"/>
    </row>
    <row r="75" spans="1:72" x14ac:dyDescent="0.25">
      <c r="A75" s="6" t="s">
        <v>129</v>
      </c>
      <c r="B75" s="56">
        <v>206018451</v>
      </c>
      <c r="C75" s="56">
        <v>55842288</v>
      </c>
      <c r="D75" s="56">
        <v>86936246</v>
      </c>
      <c r="E75" s="56">
        <v>0</v>
      </c>
      <c r="F75" s="56">
        <v>40331200</v>
      </c>
      <c r="G75" s="56">
        <v>22114650</v>
      </c>
      <c r="H75" s="56">
        <v>7240850</v>
      </c>
      <c r="I75" s="56">
        <v>2207600</v>
      </c>
      <c r="J75" s="56">
        <v>120000</v>
      </c>
      <c r="K75" s="56">
        <v>36000</v>
      </c>
      <c r="L75" s="56">
        <v>32438567</v>
      </c>
      <c r="M75" s="56">
        <v>0</v>
      </c>
      <c r="N75" s="56">
        <v>1508</v>
      </c>
      <c r="O75" s="56">
        <v>816</v>
      </c>
      <c r="P75" s="56">
        <v>2347550</v>
      </c>
      <c r="Q75" s="56">
        <v>85500</v>
      </c>
      <c r="R75" s="56">
        <v>1793900</v>
      </c>
      <c r="S75" s="56">
        <v>4865998</v>
      </c>
      <c r="T75" s="56">
        <v>3202700</v>
      </c>
      <c r="U75" s="56">
        <v>3304600</v>
      </c>
      <c r="V75" s="56">
        <v>2347550</v>
      </c>
      <c r="W75" s="56">
        <v>105500</v>
      </c>
      <c r="X75" s="56">
        <v>1793900</v>
      </c>
      <c r="Y75" s="56">
        <v>4865998</v>
      </c>
      <c r="Z75" s="56">
        <v>4923740</v>
      </c>
      <c r="AA75" s="56">
        <v>3304600</v>
      </c>
      <c r="AB75" s="56">
        <v>-1992513</v>
      </c>
      <c r="AC75" s="56">
        <v>0</v>
      </c>
      <c r="AD75" s="56">
        <v>34687</v>
      </c>
      <c r="AE75" s="56">
        <v>0</v>
      </c>
      <c r="AF75" s="56">
        <v>0</v>
      </c>
      <c r="AG75" s="56">
        <v>68889</v>
      </c>
      <c r="AH75" s="56">
        <v>459951</v>
      </c>
      <c r="AI75" s="56">
        <v>835178</v>
      </c>
      <c r="AJ75" s="64">
        <v>956893</v>
      </c>
      <c r="AK75" s="1">
        <v>58794685</v>
      </c>
      <c r="AL75" s="1">
        <v>1996920</v>
      </c>
      <c r="AM75" s="56">
        <v>0</v>
      </c>
      <c r="AN75" s="56">
        <v>7322062</v>
      </c>
      <c r="AO75" s="56">
        <v>53985</v>
      </c>
      <c r="AP75" s="56">
        <v>4206167</v>
      </c>
      <c r="AQ75" s="56">
        <v>8022369</v>
      </c>
      <c r="AR75" s="56">
        <v>8125816</v>
      </c>
      <c r="AS75" s="56">
        <v>95</v>
      </c>
      <c r="AT75" s="56">
        <v>790321</v>
      </c>
      <c r="AU75" s="56">
        <v>0</v>
      </c>
      <c r="AV75" s="56">
        <v>0</v>
      </c>
      <c r="AW75" s="56">
        <v>0</v>
      </c>
      <c r="AX75" s="56">
        <v>11432</v>
      </c>
      <c r="AY75" s="56">
        <v>14500</v>
      </c>
      <c r="AZ75" s="1">
        <v>2256970.5563076679</v>
      </c>
      <c r="BA75" s="1">
        <v>1151055</v>
      </c>
      <c r="BB75" s="1">
        <v>0</v>
      </c>
      <c r="BC75" s="15">
        <v>3160502</v>
      </c>
      <c r="BD75" s="15">
        <v>6197064</v>
      </c>
      <c r="BE75" s="20">
        <v>34013356</v>
      </c>
      <c r="BF75" s="20">
        <v>34013356</v>
      </c>
      <c r="BG75" s="20">
        <v>37898915</v>
      </c>
      <c r="BH75" s="20">
        <v>32132207</v>
      </c>
      <c r="BI75" s="63">
        <v>0</v>
      </c>
      <c r="BJ75" s="63">
        <v>0</v>
      </c>
      <c r="BK75" s="63">
        <v>0</v>
      </c>
      <c r="BL75" s="5">
        <v>497696148</v>
      </c>
      <c r="BM75" s="5">
        <v>366447423</v>
      </c>
      <c r="BN75" s="15">
        <v>617100</v>
      </c>
      <c r="BO75" s="5"/>
      <c r="BP75" s="1"/>
      <c r="BQ75" s="1"/>
      <c r="BR75" s="5"/>
      <c r="BS75" s="5"/>
      <c r="BT75" s="5"/>
    </row>
    <row r="76" spans="1:72" x14ac:dyDescent="0.25">
      <c r="A76" s="6" t="s">
        <v>130</v>
      </c>
      <c r="B76" s="40">
        <v>170549256</v>
      </c>
      <c r="C76" s="40">
        <v>140430423</v>
      </c>
      <c r="D76" s="40">
        <v>46069389</v>
      </c>
      <c r="E76" s="40">
        <v>0</v>
      </c>
      <c r="F76" s="40">
        <v>24436340</v>
      </c>
      <c r="G76" s="40">
        <v>7960274</v>
      </c>
      <c r="H76" s="40">
        <v>6237525</v>
      </c>
      <c r="I76" s="40">
        <v>529100</v>
      </c>
      <c r="J76" s="40">
        <v>0</v>
      </c>
      <c r="K76" s="40">
        <v>0</v>
      </c>
      <c r="L76" s="40">
        <v>244939020</v>
      </c>
      <c r="M76" s="40">
        <v>1983842</v>
      </c>
      <c r="N76" s="40">
        <v>942</v>
      </c>
      <c r="O76" s="40">
        <v>291</v>
      </c>
      <c r="P76" s="40">
        <v>1159802</v>
      </c>
      <c r="Q76" s="40">
        <v>208325</v>
      </c>
      <c r="R76" s="40">
        <v>0</v>
      </c>
      <c r="S76" s="40">
        <v>43977</v>
      </c>
      <c r="T76" s="40">
        <v>26200</v>
      </c>
      <c r="U76" s="40">
        <v>0</v>
      </c>
      <c r="V76" s="40">
        <v>1159802</v>
      </c>
      <c r="W76" s="40">
        <v>329744</v>
      </c>
      <c r="X76" s="40">
        <v>0</v>
      </c>
      <c r="Y76" s="40">
        <v>43977</v>
      </c>
      <c r="Z76" s="40">
        <v>18500</v>
      </c>
      <c r="AA76" s="40">
        <v>0</v>
      </c>
      <c r="AB76" s="40">
        <v>-1795600</v>
      </c>
      <c r="AC76" s="40">
        <v>-39960</v>
      </c>
      <c r="AD76" s="40">
        <v>15993</v>
      </c>
      <c r="AE76" s="40">
        <v>21793</v>
      </c>
      <c r="AF76" s="40">
        <v>6270987</v>
      </c>
      <c r="AG76" s="40">
        <v>152426</v>
      </c>
      <c r="AH76" s="40">
        <v>5916041</v>
      </c>
      <c r="AI76" s="40">
        <v>62830</v>
      </c>
      <c r="AJ76" s="46">
        <v>868984</v>
      </c>
      <c r="AK76" s="1">
        <v>65408538</v>
      </c>
      <c r="AL76" s="1">
        <v>2153351</v>
      </c>
      <c r="AM76" s="40">
        <v>28500</v>
      </c>
      <c r="AN76" s="40">
        <v>9913991</v>
      </c>
      <c r="AO76" s="40">
        <v>1199981</v>
      </c>
      <c r="AP76" s="40">
        <v>8395743</v>
      </c>
      <c r="AQ76" s="40">
        <v>11668844</v>
      </c>
      <c r="AR76" s="40">
        <v>9740870</v>
      </c>
      <c r="AS76" s="40">
        <v>0</v>
      </c>
      <c r="AT76" s="40">
        <v>3558867</v>
      </c>
      <c r="AU76" s="40">
        <v>0</v>
      </c>
      <c r="AV76" s="40">
        <v>0</v>
      </c>
      <c r="AW76" s="40">
        <v>22031929</v>
      </c>
      <c r="AX76" s="40">
        <v>0</v>
      </c>
      <c r="AY76" s="40">
        <v>66000</v>
      </c>
      <c r="AZ76" s="1">
        <v>2510858.6668528155</v>
      </c>
      <c r="BA76" s="1">
        <v>1280538</v>
      </c>
      <c r="BB76" s="1">
        <v>12966321.24</v>
      </c>
      <c r="BC76" s="15">
        <v>0</v>
      </c>
      <c r="BD76" s="15">
        <v>0</v>
      </c>
      <c r="BE76" s="20">
        <v>6420424</v>
      </c>
      <c r="BF76" s="20">
        <v>6420424</v>
      </c>
      <c r="BG76" s="20">
        <v>21565516</v>
      </c>
      <c r="BH76" s="20">
        <v>21565516</v>
      </c>
      <c r="BI76" s="63"/>
      <c r="BJ76" s="44"/>
      <c r="BK76" s="44"/>
      <c r="BL76" s="5">
        <v>483508106</v>
      </c>
      <c r="BM76" s="5">
        <v>386679739</v>
      </c>
      <c r="BN76" s="15">
        <v>576345</v>
      </c>
      <c r="BO76" s="5"/>
      <c r="BP76" s="1"/>
      <c r="BQ76" s="1"/>
      <c r="BR76" s="5"/>
      <c r="BS76" s="5"/>
      <c r="BT76" s="5"/>
    </row>
    <row r="77" spans="1:72" x14ac:dyDescent="0.25">
      <c r="A77" s="6" t="s">
        <v>131</v>
      </c>
      <c r="B77" s="56">
        <v>2930146856</v>
      </c>
      <c r="C77" s="56">
        <v>244499904</v>
      </c>
      <c r="D77" s="56">
        <v>997455186</v>
      </c>
      <c r="E77" s="56">
        <v>0</v>
      </c>
      <c r="F77" s="56">
        <v>187571966</v>
      </c>
      <c r="G77" s="56">
        <v>26054969</v>
      </c>
      <c r="H77" s="56">
        <v>19106473</v>
      </c>
      <c r="I77" s="56">
        <v>1742850</v>
      </c>
      <c r="J77" s="56">
        <v>540000</v>
      </c>
      <c r="K77" s="56">
        <v>36000</v>
      </c>
      <c r="L77" s="56">
        <v>385030563</v>
      </c>
      <c r="M77" s="56">
        <v>170653889</v>
      </c>
      <c r="N77" s="56">
        <v>5974</v>
      </c>
      <c r="O77" s="56">
        <v>845</v>
      </c>
      <c r="P77" s="56">
        <v>50642099</v>
      </c>
      <c r="Q77" s="56">
        <v>3934943</v>
      </c>
      <c r="R77" s="56">
        <v>22318086</v>
      </c>
      <c r="S77" s="56">
        <v>29364737</v>
      </c>
      <c r="T77" s="56">
        <v>8120381</v>
      </c>
      <c r="U77" s="56">
        <v>33881155</v>
      </c>
      <c r="V77" s="56">
        <v>50642099</v>
      </c>
      <c r="W77" s="56">
        <v>12350065</v>
      </c>
      <c r="X77" s="56">
        <v>22318086</v>
      </c>
      <c r="Y77" s="56">
        <v>29364737</v>
      </c>
      <c r="Z77" s="56">
        <v>12992294</v>
      </c>
      <c r="AA77" s="56">
        <v>33881155</v>
      </c>
      <c r="AB77" s="56">
        <v>-1236999</v>
      </c>
      <c r="AC77" s="56">
        <v>-289889</v>
      </c>
      <c r="AD77" s="56">
        <v>2217</v>
      </c>
      <c r="AE77" s="56">
        <v>12186</v>
      </c>
      <c r="AF77" s="56">
        <v>83747196</v>
      </c>
      <c r="AG77" s="56">
        <v>243542</v>
      </c>
      <c r="AH77" s="56">
        <v>0</v>
      </c>
      <c r="AI77" s="56">
        <v>1100885</v>
      </c>
      <c r="AJ77" s="56">
        <v>0</v>
      </c>
      <c r="AK77" s="1">
        <v>478870335</v>
      </c>
      <c r="AL77" s="1">
        <v>11100208</v>
      </c>
      <c r="AM77" s="56">
        <v>118400</v>
      </c>
      <c r="AN77" s="56">
        <v>125926417</v>
      </c>
      <c r="AO77" s="56">
        <v>20627914</v>
      </c>
      <c r="AP77" s="56">
        <v>428964224</v>
      </c>
      <c r="AQ77" s="56">
        <v>125875383</v>
      </c>
      <c r="AR77" s="56">
        <v>142408917</v>
      </c>
      <c r="AS77" s="56">
        <v>61633329</v>
      </c>
      <c r="AT77" s="56">
        <v>76139850</v>
      </c>
      <c r="AU77" s="56">
        <v>0</v>
      </c>
      <c r="AV77" s="56">
        <v>0</v>
      </c>
      <c r="AW77" s="56">
        <v>2294439</v>
      </c>
      <c r="AX77" s="56">
        <v>215601</v>
      </c>
      <c r="AY77" s="56">
        <v>567594</v>
      </c>
      <c r="AZ77" s="1">
        <v>18382550.163916845</v>
      </c>
      <c r="BA77" s="1">
        <v>9375101</v>
      </c>
      <c r="BB77" s="1">
        <v>0</v>
      </c>
      <c r="BC77" s="15">
        <v>1728235</v>
      </c>
      <c r="BD77" s="15">
        <v>3388695</v>
      </c>
      <c r="BE77" s="20">
        <v>47327835</v>
      </c>
      <c r="BF77" s="20">
        <v>47327835</v>
      </c>
      <c r="BG77" s="20">
        <v>104496869</v>
      </c>
      <c r="BH77" s="20">
        <v>100189769</v>
      </c>
      <c r="BI77" s="63">
        <v>0</v>
      </c>
      <c r="BJ77" s="63">
        <v>0</v>
      </c>
      <c r="BK77" s="63">
        <v>0</v>
      </c>
      <c r="BL77" s="5">
        <v>5094224028</v>
      </c>
      <c r="BM77" s="5">
        <v>4445632545</v>
      </c>
      <c r="BN77" s="15">
        <v>3067810</v>
      </c>
      <c r="BO77" s="5"/>
      <c r="BP77" s="1"/>
      <c r="BQ77" s="1"/>
      <c r="BR77" s="5"/>
      <c r="BS77" s="5"/>
      <c r="BT77" s="5"/>
    </row>
    <row r="78" spans="1:72" x14ac:dyDescent="0.25">
      <c r="A78" s="6" t="s">
        <v>132</v>
      </c>
      <c r="B78" s="56">
        <v>107821650</v>
      </c>
      <c r="C78" s="56">
        <v>46742736</v>
      </c>
      <c r="D78" s="56">
        <v>36477514</v>
      </c>
      <c r="E78" s="56">
        <v>0</v>
      </c>
      <c r="F78" s="56">
        <v>19081500</v>
      </c>
      <c r="G78" s="56">
        <v>22628410</v>
      </c>
      <c r="H78" s="56">
        <v>9278271</v>
      </c>
      <c r="I78" s="56">
        <v>6853890</v>
      </c>
      <c r="J78" s="56">
        <v>15000</v>
      </c>
      <c r="K78" s="56">
        <v>0</v>
      </c>
      <c r="L78" s="56">
        <v>76208842</v>
      </c>
      <c r="M78" s="56">
        <v>35957048</v>
      </c>
      <c r="N78" s="56">
        <v>939</v>
      </c>
      <c r="O78" s="56">
        <v>1109</v>
      </c>
      <c r="P78" s="56">
        <v>1642100</v>
      </c>
      <c r="Q78" s="56">
        <v>351600</v>
      </c>
      <c r="R78" s="56">
        <v>2320000</v>
      </c>
      <c r="S78" s="56">
        <v>3265160</v>
      </c>
      <c r="T78" s="56">
        <v>251100</v>
      </c>
      <c r="U78" s="56">
        <v>975050</v>
      </c>
      <c r="V78" s="56">
        <v>1642100</v>
      </c>
      <c r="W78" s="56">
        <v>331500</v>
      </c>
      <c r="X78" s="56">
        <v>2320000</v>
      </c>
      <c r="Y78" s="56">
        <v>3265160</v>
      </c>
      <c r="Z78" s="56">
        <v>252900</v>
      </c>
      <c r="AA78" s="56">
        <v>975050</v>
      </c>
      <c r="AB78" s="56">
        <v>-1810600</v>
      </c>
      <c r="AC78" s="56">
        <v>-20873</v>
      </c>
      <c r="AD78" s="56">
        <v>147800</v>
      </c>
      <c r="AE78" s="56">
        <v>0</v>
      </c>
      <c r="AF78" s="56">
        <v>0</v>
      </c>
      <c r="AG78" s="56">
        <v>191219</v>
      </c>
      <c r="AH78" s="56">
        <v>8659525</v>
      </c>
      <c r="AI78" s="56">
        <v>8762297</v>
      </c>
      <c r="AJ78" s="64">
        <v>42622926</v>
      </c>
      <c r="AK78" s="1">
        <v>69929975</v>
      </c>
      <c r="AL78" s="1">
        <v>1917933</v>
      </c>
      <c r="AM78" s="56">
        <v>0</v>
      </c>
      <c r="AN78" s="56">
        <v>44103279</v>
      </c>
      <c r="AO78" s="56">
        <v>269991</v>
      </c>
      <c r="AP78" s="56">
        <v>5136639</v>
      </c>
      <c r="AQ78" s="56">
        <v>14052856</v>
      </c>
      <c r="AR78" s="56">
        <v>2039213</v>
      </c>
      <c r="AS78" s="56">
        <v>0</v>
      </c>
      <c r="AT78" s="56">
        <v>643543</v>
      </c>
      <c r="AU78" s="56">
        <v>0</v>
      </c>
      <c r="AV78" s="56">
        <v>0</v>
      </c>
      <c r="AW78" s="56">
        <v>0</v>
      </c>
      <c r="AX78" s="56">
        <v>64973</v>
      </c>
      <c r="AY78" s="56">
        <v>0</v>
      </c>
      <c r="AZ78" s="1">
        <v>2684424.5288214623</v>
      </c>
      <c r="BA78" s="1">
        <v>1369057</v>
      </c>
      <c r="BB78" s="1"/>
      <c r="BC78" s="15">
        <v>0</v>
      </c>
      <c r="BD78" s="15">
        <v>0</v>
      </c>
      <c r="BE78" s="20">
        <v>1004359</v>
      </c>
      <c r="BF78" s="20">
        <v>1004359</v>
      </c>
      <c r="BG78" s="20">
        <v>42688917</v>
      </c>
      <c r="BH78" s="20">
        <v>42636519</v>
      </c>
      <c r="BI78" s="63"/>
      <c r="BJ78" s="63"/>
      <c r="BK78" s="63"/>
      <c r="BL78" s="5">
        <v>426370617</v>
      </c>
      <c r="BM78" s="5">
        <v>309512774</v>
      </c>
      <c r="BN78" s="15">
        <v>273314</v>
      </c>
      <c r="BO78" s="5"/>
      <c r="BP78" s="1"/>
      <c r="BQ78" s="1"/>
      <c r="BR78" s="5"/>
      <c r="BS78" s="5"/>
      <c r="BT78" s="5"/>
    </row>
    <row r="79" spans="1:72" x14ac:dyDescent="0.25">
      <c r="A79" s="6" t="s">
        <v>133</v>
      </c>
      <c r="B79" s="56">
        <v>423553739</v>
      </c>
      <c r="C79" s="56">
        <v>181995129</v>
      </c>
      <c r="D79" s="56">
        <v>246708482</v>
      </c>
      <c r="E79" s="56">
        <v>6000000</v>
      </c>
      <c r="F79" s="56">
        <v>44150750</v>
      </c>
      <c r="G79" s="56">
        <v>11048660</v>
      </c>
      <c r="H79" s="56">
        <v>14084049</v>
      </c>
      <c r="I79" s="56">
        <v>1936000</v>
      </c>
      <c r="J79" s="56">
        <v>174000</v>
      </c>
      <c r="K79" s="56">
        <v>36000</v>
      </c>
      <c r="L79" s="56">
        <v>313638345</v>
      </c>
      <c r="M79" s="56">
        <v>110329975</v>
      </c>
      <c r="N79" s="56">
        <v>1675</v>
      </c>
      <c r="O79" s="56">
        <v>405</v>
      </c>
      <c r="P79" s="56">
        <v>5487555</v>
      </c>
      <c r="Q79" s="56">
        <v>4736450</v>
      </c>
      <c r="R79" s="56">
        <v>4074500</v>
      </c>
      <c r="S79" s="56">
        <v>4316082</v>
      </c>
      <c r="T79" s="56">
        <v>2173523</v>
      </c>
      <c r="U79" s="56">
        <v>2258281</v>
      </c>
      <c r="V79" s="56">
        <v>5487555</v>
      </c>
      <c r="W79" s="56">
        <v>8369000</v>
      </c>
      <c r="X79" s="56">
        <v>4074500</v>
      </c>
      <c r="Y79" s="56">
        <v>4316082</v>
      </c>
      <c r="Z79" s="56">
        <v>2881305</v>
      </c>
      <c r="AA79" s="56">
        <v>2258281</v>
      </c>
      <c r="AB79" s="56">
        <v>-1684150</v>
      </c>
      <c r="AC79" s="56">
        <v>-31116</v>
      </c>
      <c r="AD79" s="56">
        <v>54016</v>
      </c>
      <c r="AE79" s="56">
        <v>0</v>
      </c>
      <c r="AF79" s="56">
        <v>0</v>
      </c>
      <c r="AG79" s="56">
        <v>203713</v>
      </c>
      <c r="AH79" s="56">
        <v>0</v>
      </c>
      <c r="AI79" s="56">
        <v>243049</v>
      </c>
      <c r="AJ79" s="56">
        <v>0</v>
      </c>
      <c r="AK79" s="1">
        <v>102204432</v>
      </c>
      <c r="AL79" s="1">
        <v>1896172</v>
      </c>
      <c r="AM79" s="56">
        <v>0</v>
      </c>
      <c r="AN79" s="56">
        <v>37538648</v>
      </c>
      <c r="AO79" s="56">
        <v>6621532</v>
      </c>
      <c r="AP79" s="56">
        <v>245874427</v>
      </c>
      <c r="AQ79" s="56">
        <v>29333567</v>
      </c>
      <c r="AR79" s="56">
        <v>57158812</v>
      </c>
      <c r="AS79" s="56">
        <v>5555946</v>
      </c>
      <c r="AT79" s="56">
        <v>541085</v>
      </c>
      <c r="AU79" s="56">
        <v>0</v>
      </c>
      <c r="AV79" s="56">
        <v>0</v>
      </c>
      <c r="AW79" s="56">
        <v>48192</v>
      </c>
      <c r="AX79" s="56">
        <v>0</v>
      </c>
      <c r="AY79" s="56">
        <v>0</v>
      </c>
      <c r="AZ79" s="1">
        <v>3923355.4899122785</v>
      </c>
      <c r="BA79" s="1">
        <v>2000911</v>
      </c>
      <c r="BB79" s="1"/>
      <c r="BC79" s="15">
        <v>0</v>
      </c>
      <c r="BD79" s="15">
        <v>0</v>
      </c>
      <c r="BE79" s="20">
        <v>12898704</v>
      </c>
      <c r="BF79" s="20">
        <v>12898704</v>
      </c>
      <c r="BG79" s="20">
        <v>33822363</v>
      </c>
      <c r="BH79" s="20">
        <v>33694356</v>
      </c>
      <c r="BI79" s="63">
        <v>62922210</v>
      </c>
      <c r="BJ79" s="63"/>
      <c r="BK79" s="63"/>
      <c r="BL79" s="5">
        <v>1141610931</v>
      </c>
      <c r="BM79" s="5">
        <v>925994146</v>
      </c>
      <c r="BN79" s="15">
        <v>605000</v>
      </c>
      <c r="BO79" s="5"/>
      <c r="BP79" s="1"/>
      <c r="BQ79" s="1"/>
      <c r="BR79" s="5"/>
      <c r="BS79" s="5"/>
      <c r="BT79" s="5"/>
    </row>
    <row r="80" spans="1:72" x14ac:dyDescent="0.25">
      <c r="A80" s="6" t="s">
        <v>134</v>
      </c>
      <c r="B80" s="56">
        <v>1180885951</v>
      </c>
      <c r="C80" s="56">
        <v>185147356</v>
      </c>
      <c r="D80" s="56">
        <v>358516546</v>
      </c>
      <c r="E80" s="56">
        <v>0</v>
      </c>
      <c r="F80" s="56">
        <v>102832313</v>
      </c>
      <c r="G80" s="56">
        <v>19265509</v>
      </c>
      <c r="H80" s="56">
        <v>19849183</v>
      </c>
      <c r="I80" s="56">
        <v>1958819</v>
      </c>
      <c r="J80" s="56">
        <v>490100</v>
      </c>
      <c r="K80" s="56">
        <v>18000</v>
      </c>
      <c r="L80" s="56">
        <v>195176183</v>
      </c>
      <c r="M80" s="56">
        <v>109753952</v>
      </c>
      <c r="N80" s="56">
        <v>3620</v>
      </c>
      <c r="O80" s="56">
        <v>686</v>
      </c>
      <c r="P80" s="56">
        <v>24614004</v>
      </c>
      <c r="Q80" s="56">
        <v>6331742</v>
      </c>
      <c r="R80" s="56">
        <v>52954555</v>
      </c>
      <c r="S80" s="56">
        <v>9081118</v>
      </c>
      <c r="T80" s="56">
        <v>1423191</v>
      </c>
      <c r="U80" s="56">
        <v>6497264</v>
      </c>
      <c r="V80" s="56">
        <v>24649704</v>
      </c>
      <c r="W80" s="56">
        <v>8894712</v>
      </c>
      <c r="X80" s="56">
        <v>52954555</v>
      </c>
      <c r="Y80" s="56">
        <v>9262618</v>
      </c>
      <c r="Z80" s="56">
        <v>1433384</v>
      </c>
      <c r="AA80" s="56">
        <v>6497264</v>
      </c>
      <c r="AB80" s="56">
        <v>-10894582</v>
      </c>
      <c r="AC80" s="56">
        <v>-245520</v>
      </c>
      <c r="AD80" s="56">
        <v>0</v>
      </c>
      <c r="AE80" s="56">
        <v>0</v>
      </c>
      <c r="AF80" s="56">
        <v>0</v>
      </c>
      <c r="AG80" s="56">
        <v>130262</v>
      </c>
      <c r="AH80" s="56">
        <v>0</v>
      </c>
      <c r="AI80" s="56">
        <v>31025</v>
      </c>
      <c r="AJ80" s="56">
        <v>0</v>
      </c>
      <c r="AK80" s="1">
        <v>237942227</v>
      </c>
      <c r="AL80" s="1">
        <v>24263101</v>
      </c>
      <c r="AM80" s="56">
        <v>8797848</v>
      </c>
      <c r="AN80" s="56">
        <v>81897417</v>
      </c>
      <c r="AO80" s="56">
        <v>41731696</v>
      </c>
      <c r="AP80" s="56">
        <v>928834801</v>
      </c>
      <c r="AQ80" s="56">
        <v>60228114</v>
      </c>
      <c r="AR80" s="56">
        <v>168313115</v>
      </c>
      <c r="AS80" s="56">
        <v>115559864</v>
      </c>
      <c r="AT80" s="56">
        <v>345666</v>
      </c>
      <c r="AU80" s="56">
        <v>0</v>
      </c>
      <c r="AV80" s="56">
        <v>0</v>
      </c>
      <c r="AW80" s="56">
        <v>0</v>
      </c>
      <c r="AX80" s="56">
        <v>345</v>
      </c>
      <c r="AY80" s="56">
        <v>123267</v>
      </c>
      <c r="AZ80" s="1">
        <v>9133965.0929548368</v>
      </c>
      <c r="BA80" s="1">
        <v>4658322</v>
      </c>
      <c r="BB80" s="1">
        <v>16003886.01</v>
      </c>
      <c r="BC80" s="15">
        <v>1044692</v>
      </c>
      <c r="BD80" s="15">
        <v>2048416</v>
      </c>
      <c r="BE80" s="20">
        <v>18042479</v>
      </c>
      <c r="BF80" s="20">
        <v>15312849</v>
      </c>
      <c r="BG80" s="20">
        <v>64455426</v>
      </c>
      <c r="BH80" s="20">
        <v>63277959</v>
      </c>
      <c r="BI80" s="63"/>
      <c r="BJ80" s="63">
        <v>3295738</v>
      </c>
      <c r="BK80" s="63"/>
      <c r="BL80" s="5">
        <v>2258232993</v>
      </c>
      <c r="BM80" s="5">
        <v>1908438105</v>
      </c>
      <c r="BN80" s="15">
        <v>2214905</v>
      </c>
      <c r="BO80" s="5"/>
      <c r="BP80" s="1"/>
      <c r="BQ80" s="1"/>
      <c r="BR80" s="5"/>
      <c r="BS80" s="5"/>
      <c r="BT80" s="5"/>
    </row>
    <row r="81" spans="1:72" x14ac:dyDescent="0.25">
      <c r="A81" s="6" t="s">
        <v>135</v>
      </c>
      <c r="B81" s="56">
        <v>97836284</v>
      </c>
      <c r="C81" s="56">
        <v>27924904</v>
      </c>
      <c r="D81" s="56">
        <v>79238470</v>
      </c>
      <c r="E81" s="56">
        <v>0</v>
      </c>
      <c r="F81" s="56">
        <v>18725925</v>
      </c>
      <c r="G81" s="56">
        <v>18815190</v>
      </c>
      <c r="H81" s="56">
        <v>8014750</v>
      </c>
      <c r="I81" s="56">
        <v>3560375</v>
      </c>
      <c r="J81" s="56">
        <v>108000</v>
      </c>
      <c r="K81" s="56">
        <v>0</v>
      </c>
      <c r="L81" s="56">
        <v>15879121</v>
      </c>
      <c r="M81" s="56">
        <v>13150</v>
      </c>
      <c r="N81" s="56">
        <v>948</v>
      </c>
      <c r="O81" s="56">
        <v>752</v>
      </c>
      <c r="P81" s="56">
        <v>2342209</v>
      </c>
      <c r="Q81" s="56">
        <v>50000</v>
      </c>
      <c r="R81" s="56">
        <v>3723000</v>
      </c>
      <c r="S81" s="56">
        <v>1987700</v>
      </c>
      <c r="T81" s="56">
        <v>54050</v>
      </c>
      <c r="U81" s="56">
        <v>104700</v>
      </c>
      <c r="V81" s="56">
        <v>2342209</v>
      </c>
      <c r="W81" s="56">
        <v>84600</v>
      </c>
      <c r="X81" s="56">
        <v>3723000</v>
      </c>
      <c r="Y81" s="56">
        <v>1987700</v>
      </c>
      <c r="Z81" s="56">
        <v>56950</v>
      </c>
      <c r="AA81" s="56">
        <v>104700</v>
      </c>
      <c r="AB81" s="56">
        <v>-7206254</v>
      </c>
      <c r="AC81" s="56">
        <v>0</v>
      </c>
      <c r="AD81" s="56">
        <v>0</v>
      </c>
      <c r="AE81" s="56">
        <v>0</v>
      </c>
      <c r="AF81" s="56">
        <v>0</v>
      </c>
      <c r="AG81" s="56">
        <v>0</v>
      </c>
      <c r="AH81" s="56">
        <v>1358336</v>
      </c>
      <c r="AI81" s="56">
        <v>79358393</v>
      </c>
      <c r="AJ81" s="64">
        <v>108891677</v>
      </c>
      <c r="AK81" s="1">
        <v>75484126</v>
      </c>
      <c r="AL81" s="1">
        <v>2761040</v>
      </c>
      <c r="AM81" s="56">
        <v>0</v>
      </c>
      <c r="AN81" s="56">
        <v>110486162</v>
      </c>
      <c r="AO81" s="56">
        <v>1312355</v>
      </c>
      <c r="AP81" s="56">
        <v>43016064</v>
      </c>
      <c r="AQ81" s="56">
        <v>11132886</v>
      </c>
      <c r="AR81" s="56">
        <v>3234996</v>
      </c>
      <c r="AS81" s="56">
        <v>5494014</v>
      </c>
      <c r="AT81" s="56">
        <v>260398</v>
      </c>
      <c r="AU81" s="56">
        <v>0</v>
      </c>
      <c r="AV81" s="56">
        <v>0</v>
      </c>
      <c r="AW81" s="56">
        <v>0</v>
      </c>
      <c r="AX81" s="56">
        <v>19534</v>
      </c>
      <c r="AY81" s="56">
        <v>14553500</v>
      </c>
      <c r="AZ81" s="1">
        <v>2897633.5165435122</v>
      </c>
      <c r="BA81" s="1">
        <v>1477793</v>
      </c>
      <c r="BB81" s="1"/>
      <c r="BC81" s="15">
        <v>3558648</v>
      </c>
      <c r="BD81" s="15">
        <v>6977742</v>
      </c>
      <c r="BE81" s="20">
        <v>26222929</v>
      </c>
      <c r="BF81" s="20">
        <v>26222929</v>
      </c>
      <c r="BG81" s="20">
        <v>44832412</v>
      </c>
      <c r="BH81" s="20">
        <v>39879141</v>
      </c>
      <c r="BI81" s="63"/>
      <c r="BJ81" s="63"/>
      <c r="BK81" s="63"/>
      <c r="BL81" s="5">
        <v>666923144</v>
      </c>
      <c r="BM81" s="5">
        <v>517539467</v>
      </c>
      <c r="BN81" s="15">
        <v>1288730</v>
      </c>
      <c r="BO81" s="5"/>
      <c r="BP81" s="1"/>
      <c r="BQ81" s="1"/>
      <c r="BR81" s="5"/>
      <c r="BS81" s="5"/>
      <c r="BT81" s="5"/>
    </row>
    <row r="82" spans="1:72" x14ac:dyDescent="0.25">
      <c r="A82" s="6" t="s">
        <v>136</v>
      </c>
      <c r="B82" s="56">
        <v>388403228</v>
      </c>
      <c r="C82" s="56">
        <v>104198609</v>
      </c>
      <c r="D82" s="56">
        <v>233060202</v>
      </c>
      <c r="E82" s="56">
        <v>24830700</v>
      </c>
      <c r="F82" s="56">
        <v>42851332</v>
      </c>
      <c r="G82" s="56">
        <v>6748784</v>
      </c>
      <c r="H82" s="56">
        <v>6968708</v>
      </c>
      <c r="I82" s="56">
        <v>763210</v>
      </c>
      <c r="J82" s="56">
        <v>72000</v>
      </c>
      <c r="K82" s="56">
        <v>0</v>
      </c>
      <c r="L82" s="56">
        <v>280756560</v>
      </c>
      <c r="M82" s="56">
        <v>67003656</v>
      </c>
      <c r="N82" s="56">
        <v>1467</v>
      </c>
      <c r="O82" s="56">
        <v>239</v>
      </c>
      <c r="P82" s="56">
        <v>2054664</v>
      </c>
      <c r="Q82" s="56">
        <v>1391905</v>
      </c>
      <c r="R82" s="56">
        <v>0</v>
      </c>
      <c r="S82" s="56">
        <v>3241448</v>
      </c>
      <c r="T82" s="56">
        <v>409500</v>
      </c>
      <c r="U82" s="56">
        <v>2581061</v>
      </c>
      <c r="V82" s="56">
        <v>2054664</v>
      </c>
      <c r="W82" s="56">
        <v>1157321</v>
      </c>
      <c r="X82" s="56">
        <v>0</v>
      </c>
      <c r="Y82" s="56">
        <v>3241448</v>
      </c>
      <c r="Z82" s="56">
        <v>1030189</v>
      </c>
      <c r="AA82" s="56">
        <v>2581061</v>
      </c>
      <c r="AB82" s="56">
        <v>-2078147</v>
      </c>
      <c r="AC82" s="56">
        <v>100590</v>
      </c>
      <c r="AD82" s="56">
        <v>745</v>
      </c>
      <c r="AE82" s="56">
        <v>0</v>
      </c>
      <c r="AF82" s="56">
        <v>0</v>
      </c>
      <c r="AG82" s="56">
        <v>374542</v>
      </c>
      <c r="AH82" s="56">
        <v>0</v>
      </c>
      <c r="AI82" s="56">
        <v>2101885</v>
      </c>
      <c r="AJ82" s="56">
        <v>0</v>
      </c>
      <c r="AK82" s="1">
        <v>100865389</v>
      </c>
      <c r="AL82" s="1">
        <v>1831157</v>
      </c>
      <c r="AM82" s="56">
        <v>0</v>
      </c>
      <c r="AN82" s="56">
        <v>68371445</v>
      </c>
      <c r="AO82" s="56">
        <v>10949245</v>
      </c>
      <c r="AP82" s="56">
        <v>181101151</v>
      </c>
      <c r="AQ82" s="56">
        <v>42555976</v>
      </c>
      <c r="AR82" s="56">
        <v>39403079</v>
      </c>
      <c r="AS82" s="56">
        <v>82901128</v>
      </c>
      <c r="AT82" s="56">
        <v>0</v>
      </c>
      <c r="AU82" s="56">
        <v>10003</v>
      </c>
      <c r="AV82" s="56">
        <v>0</v>
      </c>
      <c r="AW82" s="56">
        <v>30430226</v>
      </c>
      <c r="AX82" s="56">
        <v>38880</v>
      </c>
      <c r="AY82" s="56">
        <v>548150</v>
      </c>
      <c r="AZ82" s="1">
        <v>3871952.25424746</v>
      </c>
      <c r="BA82" s="1">
        <v>1974696</v>
      </c>
      <c r="BB82" s="1">
        <v>18044041.449999999</v>
      </c>
      <c r="BC82" s="15">
        <v>3036596</v>
      </c>
      <c r="BD82" s="15">
        <v>5954109</v>
      </c>
      <c r="BE82" s="20">
        <v>290856471</v>
      </c>
      <c r="BF82" s="20">
        <v>290856471</v>
      </c>
      <c r="BG82" s="20">
        <v>79088909</v>
      </c>
      <c r="BH82" s="20">
        <v>73981384</v>
      </c>
      <c r="BI82" s="63"/>
      <c r="BJ82" s="63"/>
      <c r="BK82" s="63"/>
      <c r="BL82" s="5">
        <v>1322186283</v>
      </c>
      <c r="BM82" s="5">
        <v>849640590</v>
      </c>
      <c r="BN82" s="15">
        <v>496424</v>
      </c>
      <c r="BO82" s="5"/>
      <c r="BP82" s="1"/>
      <c r="BQ82" s="1"/>
      <c r="BR82" s="5"/>
      <c r="BS82" s="5"/>
      <c r="BT82" s="5"/>
    </row>
    <row r="83" spans="1:72" x14ac:dyDescent="0.25">
      <c r="A83" s="6" t="s">
        <v>137</v>
      </c>
      <c r="B83" s="56">
        <v>836595528</v>
      </c>
      <c r="C83" s="56">
        <v>150679242</v>
      </c>
      <c r="D83" s="56">
        <v>98059600</v>
      </c>
      <c r="E83" s="56">
        <v>0</v>
      </c>
      <c r="F83" s="56">
        <v>55646237</v>
      </c>
      <c r="G83" s="56">
        <v>14432865</v>
      </c>
      <c r="H83" s="56">
        <v>15276545</v>
      </c>
      <c r="I83" s="56">
        <v>1318463</v>
      </c>
      <c r="J83" s="56">
        <v>108000</v>
      </c>
      <c r="K83" s="56">
        <v>22000</v>
      </c>
      <c r="L83" s="56">
        <v>351093150</v>
      </c>
      <c r="M83" s="56">
        <v>110055700</v>
      </c>
      <c r="N83" s="56">
        <v>2078</v>
      </c>
      <c r="O83" s="56">
        <v>490</v>
      </c>
      <c r="P83" s="56">
        <v>9518600</v>
      </c>
      <c r="Q83" s="56">
        <v>1350500</v>
      </c>
      <c r="R83" s="56">
        <v>2809600</v>
      </c>
      <c r="S83" s="56">
        <v>1204300</v>
      </c>
      <c r="T83" s="56">
        <v>127500</v>
      </c>
      <c r="U83" s="56">
        <v>6435300</v>
      </c>
      <c r="V83" s="56">
        <v>9518600</v>
      </c>
      <c r="W83" s="56">
        <v>1350500</v>
      </c>
      <c r="X83" s="56">
        <v>2809600</v>
      </c>
      <c r="Y83" s="56">
        <v>1204300</v>
      </c>
      <c r="Z83" s="56">
        <v>127500</v>
      </c>
      <c r="AA83" s="56">
        <v>6435300</v>
      </c>
      <c r="AB83" s="56">
        <v>-2292125</v>
      </c>
      <c r="AC83" s="56">
        <v>-2493142</v>
      </c>
      <c r="AD83" s="56">
        <v>57147</v>
      </c>
      <c r="AE83" s="56">
        <v>0</v>
      </c>
      <c r="AF83" s="56">
        <v>0</v>
      </c>
      <c r="AG83" s="56">
        <v>143734</v>
      </c>
      <c r="AH83" s="56">
        <v>0</v>
      </c>
      <c r="AI83" s="56">
        <v>11181075</v>
      </c>
      <c r="AJ83" s="56">
        <v>0</v>
      </c>
      <c r="AK83" s="1">
        <v>161096854</v>
      </c>
      <c r="AL83" s="1">
        <v>7874310</v>
      </c>
      <c r="AM83" s="56">
        <v>0</v>
      </c>
      <c r="AN83" s="56">
        <v>29552511</v>
      </c>
      <c r="AO83" s="56">
        <v>1491492</v>
      </c>
      <c r="AP83" s="56">
        <v>42738401</v>
      </c>
      <c r="AQ83" s="56">
        <v>16118547</v>
      </c>
      <c r="AR83" s="56">
        <v>24021204</v>
      </c>
      <c r="AS83" s="56">
        <v>21307737</v>
      </c>
      <c r="AT83" s="56">
        <v>0</v>
      </c>
      <c r="AU83" s="56">
        <v>0</v>
      </c>
      <c r="AV83" s="56">
        <v>0</v>
      </c>
      <c r="AW83" s="56">
        <v>346514</v>
      </c>
      <c r="AX83" s="56">
        <v>4696</v>
      </c>
      <c r="AY83" s="56">
        <v>0</v>
      </c>
      <c r="AZ83" s="1">
        <v>6184076.948312507</v>
      </c>
      <c r="BA83" s="1">
        <v>3153879</v>
      </c>
      <c r="BB83" s="1">
        <v>51683937.82</v>
      </c>
      <c r="BC83" s="15">
        <v>1615485</v>
      </c>
      <c r="BD83" s="15">
        <v>3167618</v>
      </c>
      <c r="BE83" s="20">
        <v>25744301</v>
      </c>
      <c r="BF83" s="20">
        <v>22004936</v>
      </c>
      <c r="BG83" s="20">
        <v>58916865</v>
      </c>
      <c r="BH83" s="20">
        <v>56935483</v>
      </c>
      <c r="BI83" s="63"/>
      <c r="BJ83" s="63"/>
      <c r="BK83" s="63"/>
      <c r="BL83" s="5">
        <v>1396358942</v>
      </c>
      <c r="BM83" s="5">
        <v>1143677995</v>
      </c>
      <c r="BN83" s="15">
        <v>3788250</v>
      </c>
      <c r="BO83" s="5"/>
      <c r="BP83" s="1"/>
      <c r="BQ83" s="1"/>
      <c r="BR83" s="5"/>
      <c r="BS83" s="5"/>
      <c r="BT83" s="5"/>
    </row>
    <row r="84" spans="1:72" x14ac:dyDescent="0.25">
      <c r="A84" s="6" t="s">
        <v>138</v>
      </c>
      <c r="B84" s="56">
        <v>91519402</v>
      </c>
      <c r="C84" s="56">
        <v>31267133</v>
      </c>
      <c r="D84" s="56">
        <v>8643623</v>
      </c>
      <c r="E84" s="56">
        <v>0</v>
      </c>
      <c r="F84" s="56">
        <v>10302821</v>
      </c>
      <c r="G84" s="56">
        <v>9200410</v>
      </c>
      <c r="H84" s="56">
        <v>5409185</v>
      </c>
      <c r="I84" s="56">
        <v>1695130</v>
      </c>
      <c r="J84" s="56">
        <v>0</v>
      </c>
      <c r="K84" s="56">
        <v>33700</v>
      </c>
      <c r="L84" s="56">
        <v>26985303</v>
      </c>
      <c r="M84" s="56">
        <v>0</v>
      </c>
      <c r="N84" s="56">
        <v>550</v>
      </c>
      <c r="O84" s="56">
        <v>409</v>
      </c>
      <c r="P84" s="56">
        <v>510450</v>
      </c>
      <c r="Q84" s="56">
        <v>122942</v>
      </c>
      <c r="R84" s="56">
        <v>0</v>
      </c>
      <c r="S84" s="56">
        <v>1109292</v>
      </c>
      <c r="T84" s="56">
        <v>362961</v>
      </c>
      <c r="U84" s="56">
        <v>37527</v>
      </c>
      <c r="V84" s="56">
        <v>510450</v>
      </c>
      <c r="W84" s="56">
        <v>353450</v>
      </c>
      <c r="X84" s="56">
        <v>0</v>
      </c>
      <c r="Y84" s="56">
        <v>1109292</v>
      </c>
      <c r="Z84" s="56">
        <v>533175</v>
      </c>
      <c r="AA84" s="56">
        <v>37527</v>
      </c>
      <c r="AB84" s="56">
        <v>-2062700</v>
      </c>
      <c r="AC84" s="56">
        <v>0</v>
      </c>
      <c r="AD84" s="56">
        <v>67137</v>
      </c>
      <c r="AE84" s="56">
        <v>0</v>
      </c>
      <c r="AF84" s="56">
        <v>3663645</v>
      </c>
      <c r="AG84" s="56">
        <v>77237</v>
      </c>
      <c r="AH84" s="56">
        <v>0</v>
      </c>
      <c r="AI84" s="56">
        <v>184508</v>
      </c>
      <c r="AJ84" s="56">
        <v>0</v>
      </c>
      <c r="AK84" s="1">
        <v>29848249</v>
      </c>
      <c r="AL84" s="1">
        <v>1213301</v>
      </c>
      <c r="AM84" s="56">
        <v>0</v>
      </c>
      <c r="AN84" s="56">
        <v>2487185</v>
      </c>
      <c r="AO84" s="56">
        <v>41332</v>
      </c>
      <c r="AP84" s="56">
        <v>3850711</v>
      </c>
      <c r="AQ84" s="56">
        <v>3220900</v>
      </c>
      <c r="AR84" s="56">
        <v>2472946</v>
      </c>
      <c r="AS84" s="56">
        <v>0</v>
      </c>
      <c r="AT84" s="56">
        <v>0</v>
      </c>
      <c r="AU84" s="56">
        <v>0</v>
      </c>
      <c r="AV84" s="56">
        <v>0</v>
      </c>
      <c r="AW84" s="56">
        <v>0</v>
      </c>
      <c r="AX84" s="56">
        <v>0</v>
      </c>
      <c r="AY84" s="56">
        <v>0</v>
      </c>
      <c r="AZ84" s="1">
        <v>1145794.3715548401</v>
      </c>
      <c r="BA84" s="1">
        <v>584355</v>
      </c>
      <c r="BB84" s="1"/>
      <c r="BC84" s="15">
        <v>0</v>
      </c>
      <c r="BD84" s="15">
        <v>0</v>
      </c>
      <c r="BE84" s="20">
        <v>2910934</v>
      </c>
      <c r="BF84" s="20">
        <v>2910934</v>
      </c>
      <c r="BG84" s="20">
        <v>18534480</v>
      </c>
      <c r="BH84" s="20">
        <v>18522503</v>
      </c>
      <c r="BI84" s="63"/>
      <c r="BJ84" s="63"/>
      <c r="BK84" s="63"/>
      <c r="BL84" s="5">
        <v>190443425</v>
      </c>
      <c r="BM84" s="5">
        <v>137364083</v>
      </c>
      <c r="BN84" s="15">
        <v>229530</v>
      </c>
      <c r="BO84" s="5"/>
      <c r="BP84" s="1"/>
      <c r="BQ84" s="1"/>
      <c r="BR84" s="5"/>
      <c r="BS84" s="5"/>
      <c r="BT84" s="5"/>
    </row>
    <row r="85" spans="1:72" x14ac:dyDescent="0.25">
      <c r="A85" s="6" t="s">
        <v>139</v>
      </c>
      <c r="B85" s="56">
        <v>729483855</v>
      </c>
      <c r="C85" s="56">
        <v>232799070</v>
      </c>
      <c r="D85" s="56">
        <v>230154047</v>
      </c>
      <c r="E85" s="56">
        <v>0</v>
      </c>
      <c r="F85" s="56">
        <v>65515841</v>
      </c>
      <c r="G85" s="56">
        <v>8912651</v>
      </c>
      <c r="H85" s="56">
        <v>17290529</v>
      </c>
      <c r="I85" s="56">
        <v>2221324</v>
      </c>
      <c r="J85" s="56">
        <v>36000</v>
      </c>
      <c r="K85" s="56">
        <v>0</v>
      </c>
      <c r="L85" s="56">
        <v>336084632</v>
      </c>
      <c r="M85" s="56">
        <v>183145817</v>
      </c>
      <c r="N85" s="56">
        <v>2341</v>
      </c>
      <c r="O85" s="56">
        <v>319</v>
      </c>
      <c r="P85" s="56">
        <v>4576156</v>
      </c>
      <c r="Q85" s="56">
        <v>2746620</v>
      </c>
      <c r="R85" s="56">
        <v>10242242</v>
      </c>
      <c r="S85" s="56">
        <v>4494275</v>
      </c>
      <c r="T85" s="56">
        <v>2252486</v>
      </c>
      <c r="U85" s="56">
        <v>2308874</v>
      </c>
      <c r="V85" s="56">
        <v>4576156</v>
      </c>
      <c r="W85" s="56">
        <v>2780795</v>
      </c>
      <c r="X85" s="56">
        <v>10242242</v>
      </c>
      <c r="Y85" s="56">
        <v>4494275</v>
      </c>
      <c r="Z85" s="56">
        <v>3541651</v>
      </c>
      <c r="AA85" s="56">
        <v>2308874</v>
      </c>
      <c r="AB85" s="56">
        <v>-1627956</v>
      </c>
      <c r="AC85" s="56">
        <v>-44388</v>
      </c>
      <c r="AD85" s="56">
        <v>3539</v>
      </c>
      <c r="AE85" s="56">
        <v>0</v>
      </c>
      <c r="AF85" s="56">
        <v>0</v>
      </c>
      <c r="AG85" s="56">
        <v>137957</v>
      </c>
      <c r="AH85" s="56">
        <v>0</v>
      </c>
      <c r="AI85" s="56">
        <v>145525</v>
      </c>
      <c r="AJ85" s="56">
        <v>0</v>
      </c>
      <c r="AK85" s="1">
        <v>134829538</v>
      </c>
      <c r="AL85" s="1">
        <v>6823927</v>
      </c>
      <c r="AM85" s="56">
        <v>547349</v>
      </c>
      <c r="AN85" s="56">
        <v>28426312</v>
      </c>
      <c r="AO85" s="56">
        <v>11744596</v>
      </c>
      <c r="AP85" s="56">
        <v>432197967</v>
      </c>
      <c r="AQ85" s="56">
        <v>26903605</v>
      </c>
      <c r="AR85" s="56">
        <v>18376267</v>
      </c>
      <c r="AS85" s="56">
        <v>4223449</v>
      </c>
      <c r="AT85" s="56">
        <v>251995189</v>
      </c>
      <c r="AU85" s="56">
        <v>0</v>
      </c>
      <c r="AV85" s="56">
        <v>0</v>
      </c>
      <c r="AW85" s="56">
        <v>12892</v>
      </c>
      <c r="AX85" s="56">
        <v>150482</v>
      </c>
      <c r="AY85" s="56">
        <v>22600</v>
      </c>
      <c r="AZ85" s="1">
        <v>5175745.0080150245</v>
      </c>
      <c r="BA85" s="1">
        <v>2639630</v>
      </c>
      <c r="BB85" s="1"/>
      <c r="BC85" s="15">
        <v>2019504</v>
      </c>
      <c r="BD85" s="15">
        <v>3959811</v>
      </c>
      <c r="BE85" s="20">
        <v>46294985</v>
      </c>
      <c r="BF85" s="20">
        <v>46294985</v>
      </c>
      <c r="BG85" s="20">
        <v>59367923</v>
      </c>
      <c r="BH85" s="20">
        <v>56394262</v>
      </c>
      <c r="BI85" s="63"/>
      <c r="BJ85" s="63"/>
      <c r="BK85" s="63"/>
      <c r="BL85" s="5">
        <v>1508658856</v>
      </c>
      <c r="BM85" s="5">
        <v>1259657010</v>
      </c>
      <c r="BN85" s="15">
        <v>823913</v>
      </c>
      <c r="BO85" s="5"/>
      <c r="BP85" s="1"/>
      <c r="BQ85" s="1"/>
      <c r="BR85" s="5"/>
      <c r="BS85" s="5"/>
      <c r="BT85" s="5"/>
    </row>
    <row r="86" spans="1:72" x14ac:dyDescent="0.25">
      <c r="A86" s="6" t="s">
        <v>140</v>
      </c>
      <c r="B86" s="56">
        <v>108988989</v>
      </c>
      <c r="C86" s="56">
        <v>110534047</v>
      </c>
      <c r="D86" s="56">
        <v>46755243</v>
      </c>
      <c r="E86" s="56">
        <v>0</v>
      </c>
      <c r="F86" s="56">
        <v>18824220</v>
      </c>
      <c r="G86" s="56">
        <v>6360061</v>
      </c>
      <c r="H86" s="56">
        <v>14648279</v>
      </c>
      <c r="I86" s="56">
        <v>1806029</v>
      </c>
      <c r="J86" s="56">
        <v>72000</v>
      </c>
      <c r="K86" s="56">
        <v>0</v>
      </c>
      <c r="L86" s="56">
        <v>167753836</v>
      </c>
      <c r="M86" s="56">
        <v>0</v>
      </c>
      <c r="N86" s="56">
        <v>1025</v>
      </c>
      <c r="O86" s="56">
        <v>292</v>
      </c>
      <c r="P86" s="56">
        <v>807333</v>
      </c>
      <c r="Q86" s="56">
        <v>2080421</v>
      </c>
      <c r="R86" s="56">
        <v>28000</v>
      </c>
      <c r="S86" s="56">
        <v>2391832</v>
      </c>
      <c r="T86" s="56">
        <v>2008889</v>
      </c>
      <c r="U86" s="56">
        <v>226000</v>
      </c>
      <c r="V86" s="56">
        <v>807333</v>
      </c>
      <c r="W86" s="56">
        <v>2887608</v>
      </c>
      <c r="X86" s="56">
        <v>28000</v>
      </c>
      <c r="Y86" s="56">
        <v>2391832</v>
      </c>
      <c r="Z86" s="56">
        <v>3363044</v>
      </c>
      <c r="AA86" s="56">
        <v>226000</v>
      </c>
      <c r="AB86" s="56">
        <v>-1688218</v>
      </c>
      <c r="AC86" s="56">
        <v>-4022</v>
      </c>
      <c r="AD86" s="56">
        <v>38</v>
      </c>
      <c r="AE86" s="56">
        <v>0</v>
      </c>
      <c r="AF86" s="56">
        <v>0</v>
      </c>
      <c r="AG86" s="56">
        <v>0</v>
      </c>
      <c r="AH86" s="56">
        <v>6554697</v>
      </c>
      <c r="AI86" s="56">
        <v>0</v>
      </c>
      <c r="AJ86" s="56">
        <v>0</v>
      </c>
      <c r="AK86" s="1">
        <v>48276450</v>
      </c>
      <c r="AL86" s="1">
        <v>1106296</v>
      </c>
      <c r="AM86" s="56">
        <v>0</v>
      </c>
      <c r="AN86" s="56">
        <v>8304147</v>
      </c>
      <c r="AO86" s="56">
        <v>2226107</v>
      </c>
      <c r="AP86" s="56">
        <v>60929179</v>
      </c>
      <c r="AQ86" s="56">
        <v>23716061</v>
      </c>
      <c r="AR86" s="56">
        <v>22891059</v>
      </c>
      <c r="AS86" s="56">
        <v>6198341</v>
      </c>
      <c r="AT86" s="56">
        <v>462277</v>
      </c>
      <c r="AU86" s="56">
        <v>0</v>
      </c>
      <c r="AV86" s="56">
        <v>0</v>
      </c>
      <c r="AW86" s="56">
        <v>0</v>
      </c>
      <c r="AX86" s="56">
        <v>0</v>
      </c>
      <c r="AY86" s="56">
        <v>0</v>
      </c>
      <c r="AZ86" s="1">
        <v>1853203.6733092337</v>
      </c>
      <c r="BA86" s="1">
        <v>945134</v>
      </c>
      <c r="BB86" s="1"/>
      <c r="BC86" s="15">
        <v>0</v>
      </c>
      <c r="BD86" s="15">
        <v>0</v>
      </c>
      <c r="BE86" s="20">
        <v>20829918</v>
      </c>
      <c r="BF86" s="20">
        <v>20829918</v>
      </c>
      <c r="BG86" s="20">
        <v>38292767</v>
      </c>
      <c r="BH86" s="20">
        <v>38279293</v>
      </c>
      <c r="BI86" s="63"/>
      <c r="BJ86" s="63"/>
      <c r="BK86" s="63"/>
      <c r="BL86" s="5">
        <v>416516382</v>
      </c>
      <c r="BM86" s="5">
        <v>307079291</v>
      </c>
      <c r="BN86" s="15">
        <v>590398</v>
      </c>
      <c r="BO86" s="5"/>
      <c r="BP86" s="1"/>
      <c r="BQ86" s="1"/>
      <c r="BR86" s="5"/>
      <c r="BS86" s="5"/>
      <c r="BT86" s="5"/>
    </row>
    <row r="87" spans="1:72" x14ac:dyDescent="0.25">
      <c r="A87" s="6" t="s">
        <v>141</v>
      </c>
      <c r="B87" s="56">
        <v>141808360</v>
      </c>
      <c r="C87" s="56">
        <v>94873350</v>
      </c>
      <c r="D87" s="56">
        <v>42556392</v>
      </c>
      <c r="E87" s="56">
        <v>0</v>
      </c>
      <c r="F87" s="56">
        <v>28694269</v>
      </c>
      <c r="G87" s="56">
        <v>7718350</v>
      </c>
      <c r="H87" s="56">
        <v>10183000</v>
      </c>
      <c r="I87" s="56">
        <v>742400</v>
      </c>
      <c r="J87" s="56">
        <v>0</v>
      </c>
      <c r="K87" s="56">
        <v>0</v>
      </c>
      <c r="L87" s="56">
        <v>239798084</v>
      </c>
      <c r="M87" s="56">
        <v>29928650</v>
      </c>
      <c r="N87" s="56">
        <v>1178</v>
      </c>
      <c r="O87" s="56">
        <v>302</v>
      </c>
      <c r="P87" s="56">
        <v>787250</v>
      </c>
      <c r="Q87" s="56">
        <v>1463750</v>
      </c>
      <c r="R87" s="56">
        <v>153000</v>
      </c>
      <c r="S87" s="56">
        <v>1080480</v>
      </c>
      <c r="T87" s="56">
        <v>363250</v>
      </c>
      <c r="U87" s="56">
        <v>117225</v>
      </c>
      <c r="V87" s="56">
        <v>787250</v>
      </c>
      <c r="W87" s="56">
        <v>2527700</v>
      </c>
      <c r="X87" s="56">
        <v>153000</v>
      </c>
      <c r="Y87" s="56">
        <v>1080480</v>
      </c>
      <c r="Z87" s="56">
        <v>1424950</v>
      </c>
      <c r="AA87" s="56">
        <v>117225</v>
      </c>
      <c r="AB87" s="56">
        <v>-705400</v>
      </c>
      <c r="AC87" s="56">
        <v>-293681</v>
      </c>
      <c r="AD87" s="56">
        <v>85229</v>
      </c>
      <c r="AE87" s="56">
        <v>0</v>
      </c>
      <c r="AF87" s="56">
        <v>0</v>
      </c>
      <c r="AG87" s="56">
        <v>199110</v>
      </c>
      <c r="AH87" s="56">
        <v>79885</v>
      </c>
      <c r="AI87" s="56">
        <v>94352</v>
      </c>
      <c r="AJ87" s="56">
        <v>0</v>
      </c>
      <c r="AK87" s="1">
        <v>53780376</v>
      </c>
      <c r="AL87" s="1">
        <v>1054215</v>
      </c>
      <c r="AM87" s="56">
        <v>0</v>
      </c>
      <c r="AN87" s="56">
        <v>14345424</v>
      </c>
      <c r="AO87" s="56">
        <v>116344</v>
      </c>
      <c r="AP87" s="56">
        <v>14431178</v>
      </c>
      <c r="AQ87" s="56">
        <v>22579027</v>
      </c>
      <c r="AR87" s="56">
        <v>17748651</v>
      </c>
      <c r="AS87" s="56">
        <v>0</v>
      </c>
      <c r="AT87" s="56">
        <v>306812</v>
      </c>
      <c r="AU87" s="56">
        <v>0</v>
      </c>
      <c r="AV87" s="56">
        <v>0</v>
      </c>
      <c r="AW87" s="56">
        <v>0</v>
      </c>
      <c r="AX87" s="56">
        <v>0</v>
      </c>
      <c r="AY87" s="56">
        <v>0</v>
      </c>
      <c r="AZ87" s="1">
        <v>2064484.6577399902</v>
      </c>
      <c r="BA87" s="1">
        <v>1052887</v>
      </c>
      <c r="BB87" s="1"/>
      <c r="BC87" s="15">
        <v>0</v>
      </c>
      <c r="BD87" s="15">
        <v>0</v>
      </c>
      <c r="BE87" s="20">
        <v>13251506</v>
      </c>
      <c r="BF87" s="20">
        <v>13251506</v>
      </c>
      <c r="BG87" s="20">
        <v>32020816</v>
      </c>
      <c r="BH87" s="20">
        <v>31865856</v>
      </c>
      <c r="BI87" s="63"/>
      <c r="BJ87" s="63"/>
      <c r="BK87" s="63"/>
      <c r="BL87" s="5">
        <v>417457974</v>
      </c>
      <c r="BM87" s="5">
        <v>316453134</v>
      </c>
      <c r="BN87" s="15">
        <v>255200</v>
      </c>
      <c r="BO87" s="5"/>
      <c r="BP87" s="1"/>
      <c r="BQ87" s="1"/>
      <c r="BR87" s="5"/>
      <c r="BS87" s="5"/>
      <c r="BT87" s="5"/>
    </row>
    <row r="88" spans="1:72" x14ac:dyDescent="0.25">
      <c r="A88" s="6" t="s">
        <v>142</v>
      </c>
      <c r="B88" s="56">
        <v>715313959</v>
      </c>
      <c r="C88" s="56">
        <v>113547328</v>
      </c>
      <c r="D88" s="56">
        <v>304851613</v>
      </c>
      <c r="E88" s="56">
        <v>19745313</v>
      </c>
      <c r="F88" s="56">
        <v>61575100</v>
      </c>
      <c r="G88" s="56">
        <v>17455900</v>
      </c>
      <c r="H88" s="56">
        <v>9601500</v>
      </c>
      <c r="I88" s="56">
        <v>2171600</v>
      </c>
      <c r="J88" s="56">
        <v>144000</v>
      </c>
      <c r="K88" s="56">
        <v>36000</v>
      </c>
      <c r="L88" s="56">
        <v>193191773</v>
      </c>
      <c r="M88" s="56">
        <v>86926000</v>
      </c>
      <c r="N88" s="56">
        <v>2067</v>
      </c>
      <c r="O88" s="56">
        <v>608</v>
      </c>
      <c r="P88" s="56">
        <v>5762050</v>
      </c>
      <c r="Q88" s="56">
        <v>1235500</v>
      </c>
      <c r="R88" s="56">
        <v>2204000</v>
      </c>
      <c r="S88" s="56">
        <v>7579150</v>
      </c>
      <c r="T88" s="56">
        <v>955600</v>
      </c>
      <c r="U88" s="56">
        <v>2928238</v>
      </c>
      <c r="V88" s="56">
        <v>5762050</v>
      </c>
      <c r="W88" s="56">
        <v>1332000</v>
      </c>
      <c r="X88" s="56">
        <v>2204000</v>
      </c>
      <c r="Y88" s="56">
        <v>7579150</v>
      </c>
      <c r="Z88" s="56">
        <v>2242250</v>
      </c>
      <c r="AA88" s="56">
        <v>2928238</v>
      </c>
      <c r="AB88" s="56">
        <v>-1635300</v>
      </c>
      <c r="AC88" s="56">
        <v>-51074</v>
      </c>
      <c r="AD88" s="56">
        <v>4895</v>
      </c>
      <c r="AE88" s="56">
        <v>0</v>
      </c>
      <c r="AF88" s="56">
        <v>0</v>
      </c>
      <c r="AG88" s="56">
        <v>108835</v>
      </c>
      <c r="AH88" s="56">
        <v>0</v>
      </c>
      <c r="AI88" s="56">
        <v>145508</v>
      </c>
      <c r="AJ88" s="56">
        <v>0</v>
      </c>
      <c r="AK88" s="1">
        <v>150052811</v>
      </c>
      <c r="AL88" s="1">
        <v>4201199</v>
      </c>
      <c r="AM88" s="56">
        <v>0</v>
      </c>
      <c r="AN88" s="56">
        <v>48323810</v>
      </c>
      <c r="AO88" s="56">
        <v>2514085</v>
      </c>
      <c r="AP88" s="56">
        <v>151164801</v>
      </c>
      <c r="AQ88" s="56">
        <v>44819012</v>
      </c>
      <c r="AR88" s="56">
        <v>72873268</v>
      </c>
      <c r="AS88" s="56">
        <v>22443734</v>
      </c>
      <c r="AT88" s="56">
        <v>397965</v>
      </c>
      <c r="AU88" s="56">
        <v>0</v>
      </c>
      <c r="AV88" s="56">
        <v>0</v>
      </c>
      <c r="AW88" s="56">
        <v>8421870</v>
      </c>
      <c r="AX88" s="56">
        <v>34046</v>
      </c>
      <c r="AY88" s="56">
        <v>4560603</v>
      </c>
      <c r="AZ88" s="1">
        <v>5760125.7038489003</v>
      </c>
      <c r="BA88" s="1">
        <v>2937664</v>
      </c>
      <c r="BB88" s="1"/>
      <c r="BC88" s="15">
        <v>0</v>
      </c>
      <c r="BD88" s="15">
        <v>0</v>
      </c>
      <c r="BE88" s="20">
        <v>27517137</v>
      </c>
      <c r="BF88" s="20">
        <v>27517137</v>
      </c>
      <c r="BG88" s="20">
        <v>40666798</v>
      </c>
      <c r="BH88" s="20">
        <v>39392307</v>
      </c>
      <c r="BI88" s="63"/>
      <c r="BJ88" s="63"/>
      <c r="BK88" s="63"/>
      <c r="BL88" s="5">
        <v>1453616433</v>
      </c>
      <c r="BM88" s="5">
        <v>1229515315</v>
      </c>
      <c r="BN88" s="15">
        <v>1307100</v>
      </c>
      <c r="BO88" s="5"/>
      <c r="BP88" s="1"/>
      <c r="BQ88" s="1"/>
      <c r="BR88" s="5"/>
      <c r="BS88" s="5"/>
      <c r="BT88" s="5"/>
    </row>
    <row r="89" spans="1:72" x14ac:dyDescent="0.25">
      <c r="A89" s="6" t="s">
        <v>143</v>
      </c>
      <c r="B89" s="56">
        <v>121209157</v>
      </c>
      <c r="C89" s="56">
        <v>89963350</v>
      </c>
      <c r="D89" s="56">
        <v>38402040</v>
      </c>
      <c r="E89" s="56">
        <v>0</v>
      </c>
      <c r="F89" s="56">
        <v>16983500</v>
      </c>
      <c r="G89" s="56">
        <v>13420200</v>
      </c>
      <c r="H89" s="56">
        <v>11956800</v>
      </c>
      <c r="I89" s="56">
        <v>5987600</v>
      </c>
      <c r="J89" s="56">
        <v>0</v>
      </c>
      <c r="K89" s="56">
        <v>0</v>
      </c>
      <c r="L89" s="56">
        <v>67169225</v>
      </c>
      <c r="M89" s="56">
        <v>0</v>
      </c>
      <c r="N89" s="56">
        <v>991</v>
      </c>
      <c r="O89" s="56">
        <v>691</v>
      </c>
      <c r="P89" s="56">
        <v>3436600</v>
      </c>
      <c r="Q89" s="56">
        <v>983100</v>
      </c>
      <c r="R89" s="56">
        <v>1515000</v>
      </c>
      <c r="S89" s="56">
        <v>5617800</v>
      </c>
      <c r="T89" s="56">
        <v>1908700</v>
      </c>
      <c r="U89" s="56">
        <v>5622000</v>
      </c>
      <c r="V89" s="56">
        <v>3436600</v>
      </c>
      <c r="W89" s="56">
        <v>1570500</v>
      </c>
      <c r="X89" s="56">
        <v>1515000</v>
      </c>
      <c r="Y89" s="56">
        <v>5617800</v>
      </c>
      <c r="Z89" s="56">
        <v>2079000</v>
      </c>
      <c r="AA89" s="56">
        <v>5622000</v>
      </c>
      <c r="AB89" s="56">
        <v>-1636300</v>
      </c>
      <c r="AC89" s="56">
        <v>40750</v>
      </c>
      <c r="AD89" s="56">
        <v>175624</v>
      </c>
      <c r="AE89" s="56">
        <v>0</v>
      </c>
      <c r="AF89" s="56">
        <v>0</v>
      </c>
      <c r="AG89" s="56">
        <v>0</v>
      </c>
      <c r="AH89" s="56">
        <v>1207607</v>
      </c>
      <c r="AI89" s="56">
        <v>1252797</v>
      </c>
      <c r="AJ89" s="64">
        <v>1197</v>
      </c>
      <c r="AK89" s="15">
        <v>69876672</v>
      </c>
      <c r="AL89" s="1">
        <v>1971426</v>
      </c>
      <c r="AM89" s="56">
        <v>0</v>
      </c>
      <c r="AN89" s="56">
        <v>15159238</v>
      </c>
      <c r="AO89" s="56">
        <v>100757</v>
      </c>
      <c r="AP89" s="56">
        <v>1165329</v>
      </c>
      <c r="AQ89" s="56">
        <v>5914687</v>
      </c>
      <c r="AR89" s="56">
        <v>9694157</v>
      </c>
      <c r="AS89" s="56">
        <v>0</v>
      </c>
      <c r="AT89" s="56">
        <v>736661</v>
      </c>
      <c r="AU89" s="56">
        <v>0</v>
      </c>
      <c r="AV89" s="56">
        <v>0</v>
      </c>
      <c r="AW89" s="56">
        <v>0</v>
      </c>
      <c r="AX89" s="56">
        <v>0</v>
      </c>
      <c r="AY89" s="56">
        <v>212380</v>
      </c>
      <c r="AZ89" s="1">
        <v>2682378.3693503663</v>
      </c>
      <c r="BA89" s="1">
        <v>1368013</v>
      </c>
      <c r="BB89" s="1"/>
      <c r="BC89" s="15">
        <v>0</v>
      </c>
      <c r="BD89" s="15">
        <v>0</v>
      </c>
      <c r="BE89" s="20">
        <v>716687</v>
      </c>
      <c r="BF89" s="20">
        <v>716687</v>
      </c>
      <c r="BG89" s="20">
        <v>43904544</v>
      </c>
      <c r="BH89" s="20">
        <v>43897059</v>
      </c>
      <c r="BI89" s="63"/>
      <c r="BJ89" s="63"/>
      <c r="BK89" s="63"/>
      <c r="BL89" s="5">
        <v>391040687</v>
      </c>
      <c r="BM89" s="5">
        <v>273210830</v>
      </c>
      <c r="BN89" s="15">
        <v>5803500</v>
      </c>
      <c r="BO89" s="5"/>
      <c r="BP89" s="1"/>
      <c r="BQ89" s="1"/>
      <c r="BR89" s="5"/>
      <c r="BS89" s="5"/>
      <c r="BT89" s="5"/>
    </row>
    <row r="90" spans="1:72" x14ac:dyDescent="0.25">
      <c r="A90" s="6" t="s">
        <v>144</v>
      </c>
      <c r="B90" s="56">
        <v>565128819</v>
      </c>
      <c r="C90" s="56">
        <v>157529485</v>
      </c>
      <c r="D90" s="56">
        <v>179173708</v>
      </c>
      <c r="E90" s="56">
        <v>0</v>
      </c>
      <c r="F90" s="56">
        <v>83551180</v>
      </c>
      <c r="G90" s="56">
        <v>37320840</v>
      </c>
      <c r="H90" s="56">
        <v>12962300</v>
      </c>
      <c r="I90" s="56">
        <v>3634800</v>
      </c>
      <c r="J90" s="56">
        <v>213000</v>
      </c>
      <c r="K90" s="56">
        <v>36000</v>
      </c>
      <c r="L90" s="56">
        <v>164694028</v>
      </c>
      <c r="M90" s="56">
        <v>69324950</v>
      </c>
      <c r="N90" s="56">
        <v>2870</v>
      </c>
      <c r="O90" s="56">
        <v>1288</v>
      </c>
      <c r="P90" s="56">
        <v>11987560</v>
      </c>
      <c r="Q90" s="56">
        <v>3857524</v>
      </c>
      <c r="R90" s="56">
        <v>1256600</v>
      </c>
      <c r="S90" s="56">
        <v>8898563</v>
      </c>
      <c r="T90" s="56">
        <v>2986760</v>
      </c>
      <c r="U90" s="56">
        <v>4108740</v>
      </c>
      <c r="V90" s="56">
        <v>11987560</v>
      </c>
      <c r="W90" s="56">
        <v>7072753</v>
      </c>
      <c r="X90" s="56">
        <v>1256600</v>
      </c>
      <c r="Y90" s="56">
        <v>8898563</v>
      </c>
      <c r="Z90" s="56">
        <v>5189790</v>
      </c>
      <c r="AA90" s="56">
        <v>4108740</v>
      </c>
      <c r="AB90" s="56">
        <v>-8415362</v>
      </c>
      <c r="AC90" s="56">
        <v>-224943</v>
      </c>
      <c r="AD90" s="56">
        <v>65955</v>
      </c>
      <c r="AE90" s="56">
        <v>126989</v>
      </c>
      <c r="AF90" s="56">
        <v>13938</v>
      </c>
      <c r="AG90" s="56">
        <v>189425</v>
      </c>
      <c r="AH90" s="56">
        <v>12058762</v>
      </c>
      <c r="AI90" s="56">
        <v>487565</v>
      </c>
      <c r="AJ90" s="64">
        <v>41187975</v>
      </c>
      <c r="AK90" s="1">
        <v>203257769</v>
      </c>
      <c r="AL90" s="1">
        <v>6166475</v>
      </c>
      <c r="AM90" s="56">
        <v>0</v>
      </c>
      <c r="AN90" s="56">
        <v>80669400</v>
      </c>
      <c r="AO90" s="56">
        <v>6832883</v>
      </c>
      <c r="AP90" s="56">
        <v>68489307</v>
      </c>
      <c r="AQ90" s="56">
        <v>36912443</v>
      </c>
      <c r="AR90" s="56">
        <v>30520484</v>
      </c>
      <c r="AS90" s="56">
        <v>18122379</v>
      </c>
      <c r="AT90" s="56">
        <v>13893932</v>
      </c>
      <c r="AU90" s="56">
        <v>0</v>
      </c>
      <c r="AV90" s="56">
        <v>0</v>
      </c>
      <c r="AW90" s="56">
        <v>1864963</v>
      </c>
      <c r="AX90" s="56">
        <v>6688</v>
      </c>
      <c r="AY90" s="56">
        <v>606540</v>
      </c>
      <c r="AZ90" s="1">
        <v>7802522.641493707</v>
      </c>
      <c r="BA90" s="1">
        <v>3979287</v>
      </c>
      <c r="BB90" s="1">
        <v>7231217.6200000001</v>
      </c>
      <c r="BC90" s="15">
        <v>3156392</v>
      </c>
      <c r="BD90" s="15">
        <v>6189004</v>
      </c>
      <c r="BE90" s="20">
        <v>75594318</v>
      </c>
      <c r="BF90" s="20">
        <v>73334564</v>
      </c>
      <c r="BG90" s="20">
        <v>163672130</v>
      </c>
      <c r="BH90" s="20">
        <v>161763379</v>
      </c>
      <c r="BI90" s="63"/>
      <c r="BJ90" s="63"/>
      <c r="BK90" s="63"/>
      <c r="BL90" s="5">
        <v>1531638906</v>
      </c>
      <c r="BM90" s="5">
        <v>1079981040</v>
      </c>
      <c r="BN90" s="15">
        <v>587700</v>
      </c>
      <c r="BO90" s="5"/>
      <c r="BP90" s="1"/>
      <c r="BQ90" s="1"/>
      <c r="BR90" s="5"/>
      <c r="BS90" s="5"/>
      <c r="BT90" s="5"/>
    </row>
    <row r="91" spans="1:72" x14ac:dyDescent="0.25">
      <c r="A91" s="6" t="s">
        <v>145</v>
      </c>
      <c r="B91" s="56">
        <v>1582710052</v>
      </c>
      <c r="C91" s="56">
        <v>316622748</v>
      </c>
      <c r="D91" s="56">
        <v>478911129</v>
      </c>
      <c r="E91" s="56">
        <v>2600000</v>
      </c>
      <c r="F91" s="56">
        <v>89277749</v>
      </c>
      <c r="G91" s="56">
        <v>19906512</v>
      </c>
      <c r="H91" s="56">
        <v>20940470</v>
      </c>
      <c r="I91" s="56">
        <v>2336565</v>
      </c>
      <c r="J91" s="56">
        <v>360000</v>
      </c>
      <c r="K91" s="56">
        <v>0</v>
      </c>
      <c r="L91" s="56">
        <v>610781025</v>
      </c>
      <c r="M91" s="56">
        <v>263396966</v>
      </c>
      <c r="N91" s="56">
        <v>3119</v>
      </c>
      <c r="O91" s="56">
        <v>649</v>
      </c>
      <c r="P91" s="56">
        <v>15423240</v>
      </c>
      <c r="Q91" s="56">
        <v>3490025</v>
      </c>
      <c r="R91" s="56">
        <v>8783500</v>
      </c>
      <c r="S91" s="56">
        <v>5353620</v>
      </c>
      <c r="T91" s="56">
        <v>547240</v>
      </c>
      <c r="U91" s="56">
        <v>10986222</v>
      </c>
      <c r="V91" s="56">
        <v>15423240</v>
      </c>
      <c r="W91" s="56">
        <v>3490025</v>
      </c>
      <c r="X91" s="56">
        <v>8783500</v>
      </c>
      <c r="Y91" s="56">
        <v>5353620</v>
      </c>
      <c r="Z91" s="56">
        <v>451760</v>
      </c>
      <c r="AA91" s="56">
        <v>10986222</v>
      </c>
      <c r="AB91" s="56">
        <v>-6785079</v>
      </c>
      <c r="AC91" s="56">
        <v>186145</v>
      </c>
      <c r="AD91" s="56">
        <v>28833</v>
      </c>
      <c r="AE91" s="56">
        <v>0</v>
      </c>
      <c r="AF91" s="56">
        <v>0</v>
      </c>
      <c r="AG91" s="56">
        <v>254257</v>
      </c>
      <c r="AH91" s="56">
        <v>0</v>
      </c>
      <c r="AI91" s="56">
        <v>772795</v>
      </c>
      <c r="AJ91" s="56">
        <v>0</v>
      </c>
      <c r="AK91" s="1">
        <v>285242305</v>
      </c>
      <c r="AL91" s="1">
        <v>7196398</v>
      </c>
      <c r="AM91" s="56">
        <v>0</v>
      </c>
      <c r="AN91" s="56">
        <v>70415842</v>
      </c>
      <c r="AO91" s="56">
        <v>5798100</v>
      </c>
      <c r="AP91" s="56">
        <v>325894998</v>
      </c>
      <c r="AQ91" s="56">
        <v>71434416</v>
      </c>
      <c r="AR91" s="56">
        <v>74927237</v>
      </c>
      <c r="AS91" s="15">
        <v>645860</v>
      </c>
      <c r="AT91" s="56">
        <v>2509550</v>
      </c>
      <c r="AU91" s="56">
        <v>1440885</v>
      </c>
      <c r="AV91" s="56">
        <v>0</v>
      </c>
      <c r="AW91" s="56">
        <v>2101286</v>
      </c>
      <c r="AX91" s="56">
        <v>84319</v>
      </c>
      <c r="AY91" s="56">
        <v>1269368</v>
      </c>
      <c r="AZ91" s="1">
        <v>10949688.459055975</v>
      </c>
      <c r="BA91" s="1">
        <v>5584341</v>
      </c>
      <c r="BB91" s="1"/>
      <c r="BC91" s="15">
        <v>754598</v>
      </c>
      <c r="BD91" s="15">
        <v>1479604</v>
      </c>
      <c r="BE91" s="20">
        <v>11811286</v>
      </c>
      <c r="BF91" s="20">
        <v>11422866</v>
      </c>
      <c r="BG91" s="20">
        <v>47584395</v>
      </c>
      <c r="BH91" s="20">
        <v>46867833</v>
      </c>
      <c r="BI91" s="63">
        <v>382408026</v>
      </c>
      <c r="BJ91" s="63"/>
      <c r="BK91" s="63"/>
      <c r="BL91" s="5">
        <v>3266141449</v>
      </c>
      <c r="BM91" s="5">
        <v>2526665082</v>
      </c>
      <c r="BN91" s="15">
        <v>2647168</v>
      </c>
      <c r="BO91" s="5"/>
      <c r="BP91" s="1"/>
      <c r="BQ91" s="1"/>
      <c r="BR91" s="5"/>
      <c r="BS91" s="5"/>
      <c r="BT91" s="5"/>
    </row>
    <row r="92" spans="1:72" x14ac:dyDescent="0.25">
      <c r="A92" s="6" t="s">
        <v>146</v>
      </c>
      <c r="B92" s="56">
        <v>106949556</v>
      </c>
      <c r="C92" s="56">
        <v>89550063</v>
      </c>
      <c r="D92" s="56">
        <v>14540971</v>
      </c>
      <c r="E92" s="56">
        <v>0</v>
      </c>
      <c r="F92" s="56">
        <v>19079100</v>
      </c>
      <c r="G92" s="56">
        <v>3900927</v>
      </c>
      <c r="H92" s="56">
        <v>7076000</v>
      </c>
      <c r="I92" s="56">
        <v>1119900</v>
      </c>
      <c r="J92" s="56">
        <v>144000</v>
      </c>
      <c r="K92" s="56">
        <v>0</v>
      </c>
      <c r="L92" s="56">
        <v>73009436</v>
      </c>
      <c r="M92" s="56">
        <v>43090985</v>
      </c>
      <c r="N92" s="56">
        <v>773</v>
      </c>
      <c r="O92" s="56">
        <v>161</v>
      </c>
      <c r="P92" s="56">
        <v>1160300</v>
      </c>
      <c r="Q92" s="56">
        <v>981735</v>
      </c>
      <c r="R92" s="56">
        <v>80030</v>
      </c>
      <c r="S92" s="56">
        <v>1274325</v>
      </c>
      <c r="T92" s="56">
        <v>1272988</v>
      </c>
      <c r="U92" s="56">
        <v>431505</v>
      </c>
      <c r="V92" s="56">
        <v>1160300</v>
      </c>
      <c r="W92" s="56">
        <v>1142635</v>
      </c>
      <c r="X92" s="56">
        <v>80030</v>
      </c>
      <c r="Y92" s="56">
        <v>1274325</v>
      </c>
      <c r="Z92" s="56">
        <v>2183382</v>
      </c>
      <c r="AA92" s="56">
        <v>431505</v>
      </c>
      <c r="AB92" s="56">
        <v>-648872</v>
      </c>
      <c r="AC92" s="56">
        <v>0</v>
      </c>
      <c r="AD92" s="56">
        <v>0</v>
      </c>
      <c r="AE92" s="56">
        <v>0</v>
      </c>
      <c r="AF92" s="56">
        <v>0</v>
      </c>
      <c r="AG92" s="56">
        <v>81</v>
      </c>
      <c r="AH92" s="56">
        <v>0</v>
      </c>
      <c r="AI92" s="56">
        <v>0</v>
      </c>
      <c r="AJ92" s="56">
        <v>0</v>
      </c>
      <c r="AK92" s="1">
        <v>40894283</v>
      </c>
      <c r="AL92" s="1">
        <v>777061</v>
      </c>
      <c r="AM92" s="56">
        <v>0</v>
      </c>
      <c r="AN92" s="56">
        <v>2553766</v>
      </c>
      <c r="AO92" s="56">
        <v>14466</v>
      </c>
      <c r="AP92" s="56">
        <v>995589</v>
      </c>
      <c r="AQ92" s="56">
        <v>1762204</v>
      </c>
      <c r="AR92" s="56">
        <v>189909</v>
      </c>
      <c r="AS92" s="56"/>
      <c r="AT92" s="56">
        <v>9157</v>
      </c>
      <c r="AU92" s="56"/>
      <c r="AV92" s="56"/>
      <c r="AW92" s="56">
        <v>65371</v>
      </c>
      <c r="AX92" s="56"/>
      <c r="AY92" s="56"/>
      <c r="AZ92" s="1">
        <v>1569822.0451782879</v>
      </c>
      <c r="BA92" s="1">
        <v>800609</v>
      </c>
      <c r="BB92" s="1"/>
      <c r="BC92" s="15">
        <v>924309</v>
      </c>
      <c r="BD92" s="15">
        <v>1812371</v>
      </c>
      <c r="BE92" s="20">
        <v>10147348</v>
      </c>
      <c r="BF92" s="20">
        <v>10147348</v>
      </c>
      <c r="BG92" s="20">
        <v>18329939</v>
      </c>
      <c r="BH92" s="20">
        <v>17800932</v>
      </c>
      <c r="BI92" s="63"/>
      <c r="BJ92" s="63"/>
      <c r="BK92" s="63"/>
      <c r="BL92" s="5">
        <v>286715568</v>
      </c>
      <c r="BM92" s="5">
        <v>215371026</v>
      </c>
      <c r="BN92" s="15">
        <v>241950</v>
      </c>
      <c r="BO92" s="5"/>
      <c r="BP92" s="1"/>
      <c r="BQ92" s="1"/>
      <c r="BR92" s="5"/>
      <c r="BS92" s="5"/>
      <c r="BT92" s="5"/>
    </row>
    <row r="93" spans="1:72" x14ac:dyDescent="0.25">
      <c r="A93" s="6" t="s">
        <v>147</v>
      </c>
      <c r="B93" s="56">
        <v>349858058</v>
      </c>
      <c r="C93" s="56">
        <v>202014207</v>
      </c>
      <c r="D93" s="56">
        <v>112915034</v>
      </c>
      <c r="E93" s="56">
        <v>0</v>
      </c>
      <c r="F93" s="56">
        <v>50797780</v>
      </c>
      <c r="G93" s="56">
        <v>15551908</v>
      </c>
      <c r="H93" s="56">
        <v>17669817</v>
      </c>
      <c r="I93" s="56">
        <v>3801120</v>
      </c>
      <c r="J93" s="56">
        <v>140670</v>
      </c>
      <c r="K93" s="56">
        <v>36000</v>
      </c>
      <c r="L93" s="56">
        <v>324574588</v>
      </c>
      <c r="M93" s="56">
        <v>13493388</v>
      </c>
      <c r="N93" s="56">
        <v>2119</v>
      </c>
      <c r="O93" s="56">
        <v>670</v>
      </c>
      <c r="P93" s="56">
        <v>4690000</v>
      </c>
      <c r="Q93" s="56">
        <v>2184300</v>
      </c>
      <c r="R93" s="56">
        <v>5137840</v>
      </c>
      <c r="S93" s="56">
        <v>4014517</v>
      </c>
      <c r="T93" s="56">
        <v>779820</v>
      </c>
      <c r="U93" s="56">
        <v>615499</v>
      </c>
      <c r="V93" s="56">
        <v>4690000</v>
      </c>
      <c r="W93" s="56">
        <v>0</v>
      </c>
      <c r="X93" s="56">
        <v>5137840</v>
      </c>
      <c r="Y93" s="56">
        <v>4014517</v>
      </c>
      <c r="Z93" s="56">
        <v>450660</v>
      </c>
      <c r="AA93" s="56">
        <v>615499</v>
      </c>
      <c r="AB93" s="56">
        <v>-3490605</v>
      </c>
      <c r="AC93" s="56">
        <v>-889446</v>
      </c>
      <c r="AD93" s="56">
        <v>339705</v>
      </c>
      <c r="AE93" s="56">
        <v>19293</v>
      </c>
      <c r="AF93" s="56">
        <v>21303072</v>
      </c>
      <c r="AG93" s="56">
        <v>339728</v>
      </c>
      <c r="AH93" s="56">
        <v>7784016</v>
      </c>
      <c r="AI93" s="56">
        <v>373500</v>
      </c>
      <c r="AJ93" s="64">
        <v>56235418</v>
      </c>
      <c r="AK93" s="1">
        <v>124148285</v>
      </c>
      <c r="AL93" s="1">
        <v>3384259</v>
      </c>
      <c r="AM93" s="56">
        <v>7800</v>
      </c>
      <c r="AN93" s="56">
        <v>164944075</v>
      </c>
      <c r="AO93" s="56">
        <v>11470741</v>
      </c>
      <c r="AP93" s="56">
        <v>136462246</v>
      </c>
      <c r="AQ93" s="56">
        <v>29155823</v>
      </c>
      <c r="AR93" s="56">
        <v>31487870</v>
      </c>
      <c r="AS93" s="56">
        <v>5774649</v>
      </c>
      <c r="AT93" s="56">
        <v>3716865</v>
      </c>
      <c r="AU93" s="56">
        <v>0</v>
      </c>
      <c r="AV93" s="56">
        <v>0</v>
      </c>
      <c r="AW93" s="56">
        <v>3484074</v>
      </c>
      <c r="AX93" s="56">
        <v>424080</v>
      </c>
      <c r="AY93" s="56">
        <v>167500</v>
      </c>
      <c r="AZ93" s="1">
        <v>4765720.3004164891</v>
      </c>
      <c r="BA93" s="1">
        <v>2430517</v>
      </c>
      <c r="BB93" s="1">
        <v>8523316.0600000005</v>
      </c>
      <c r="BC93" s="15">
        <v>1898533</v>
      </c>
      <c r="BD93" s="15">
        <v>3722614</v>
      </c>
      <c r="BE93" s="20">
        <v>52940568</v>
      </c>
      <c r="BF93" s="20">
        <v>49386048</v>
      </c>
      <c r="BG93" s="20">
        <v>64435819</v>
      </c>
      <c r="BH93" s="20">
        <v>62305381</v>
      </c>
      <c r="BI93" s="63"/>
      <c r="BJ93" s="63"/>
      <c r="BK93" s="63"/>
      <c r="BL93" s="5">
        <v>1178303895</v>
      </c>
      <c r="BM93" s="5">
        <v>934750872</v>
      </c>
      <c r="BN93" s="15">
        <v>646926</v>
      </c>
      <c r="BO93" s="5"/>
      <c r="BP93" s="1"/>
      <c r="BQ93" s="1"/>
      <c r="BR93" s="5"/>
      <c r="BS93" s="5"/>
      <c r="BT93" s="5"/>
    </row>
    <row r="94" spans="1:72" x14ac:dyDescent="0.25">
      <c r="A94" s="6" t="s">
        <v>148</v>
      </c>
      <c r="B94" s="56">
        <v>4648911380</v>
      </c>
      <c r="C94" s="56">
        <v>226669925</v>
      </c>
      <c r="D94" s="56">
        <v>402787670</v>
      </c>
      <c r="E94" s="56">
        <v>0</v>
      </c>
      <c r="F94" s="56">
        <v>122619700</v>
      </c>
      <c r="G94" s="56">
        <v>10673500</v>
      </c>
      <c r="H94" s="56">
        <v>6840000</v>
      </c>
      <c r="I94" s="56">
        <v>396000</v>
      </c>
      <c r="J94" s="56">
        <v>252000</v>
      </c>
      <c r="K94" s="56">
        <v>36000</v>
      </c>
      <c r="L94" s="56">
        <v>601104904</v>
      </c>
      <c r="M94" s="56">
        <v>190173450</v>
      </c>
      <c r="N94" s="56">
        <v>3620</v>
      </c>
      <c r="O94" s="56">
        <v>315</v>
      </c>
      <c r="P94" s="56">
        <v>43507550</v>
      </c>
      <c r="Q94" s="56">
        <v>5220500</v>
      </c>
      <c r="R94" s="56">
        <v>1180000</v>
      </c>
      <c r="S94" s="56">
        <v>12154906</v>
      </c>
      <c r="T94" s="56">
        <v>2911900</v>
      </c>
      <c r="U94" s="56">
        <v>600500</v>
      </c>
      <c r="V94" s="56">
        <v>43507550</v>
      </c>
      <c r="W94" s="56">
        <v>10658500</v>
      </c>
      <c r="X94" s="56">
        <v>1180000</v>
      </c>
      <c r="Y94" s="56">
        <v>12154906</v>
      </c>
      <c r="Z94" s="56">
        <v>7286000</v>
      </c>
      <c r="AA94" s="56">
        <v>600500</v>
      </c>
      <c r="AB94" s="56">
        <v>-7564048</v>
      </c>
      <c r="AC94" s="56">
        <v>-890245</v>
      </c>
      <c r="AD94" s="56">
        <v>0</v>
      </c>
      <c r="AE94" s="56">
        <v>0</v>
      </c>
      <c r="AF94" s="56">
        <v>0</v>
      </c>
      <c r="AG94" s="56">
        <v>64268</v>
      </c>
      <c r="AH94" s="56">
        <v>0</v>
      </c>
      <c r="AI94" s="56">
        <v>695967</v>
      </c>
      <c r="AJ94" s="56">
        <v>0</v>
      </c>
      <c r="AK94" s="1">
        <v>458214882</v>
      </c>
      <c r="AL94" s="1">
        <v>15514374</v>
      </c>
      <c r="AM94" s="56">
        <v>6733605</v>
      </c>
      <c r="AN94" s="56">
        <v>46964472</v>
      </c>
      <c r="AO94" s="56">
        <v>1211908</v>
      </c>
      <c r="AP94" s="56">
        <v>19898560</v>
      </c>
      <c r="AQ94" s="56">
        <v>30574955</v>
      </c>
      <c r="AR94" s="56">
        <v>25539449</v>
      </c>
      <c r="AS94" s="56">
        <v>0</v>
      </c>
      <c r="AT94" s="56">
        <v>9429736</v>
      </c>
      <c r="AU94" s="56">
        <v>0</v>
      </c>
      <c r="AV94" s="56">
        <v>0</v>
      </c>
      <c r="AW94" s="56">
        <v>5961</v>
      </c>
      <c r="AX94" s="56">
        <v>17162</v>
      </c>
      <c r="AY94" s="56">
        <v>93518</v>
      </c>
      <c r="AZ94" s="1">
        <v>17589642.620519053</v>
      </c>
      <c r="BA94" s="1">
        <v>8970718</v>
      </c>
      <c r="BB94" s="1">
        <v>14689119.17</v>
      </c>
      <c r="BC94" s="15">
        <v>874394</v>
      </c>
      <c r="BD94" s="15">
        <v>1714498</v>
      </c>
      <c r="BE94" s="20">
        <v>37987112</v>
      </c>
      <c r="BF94" s="20">
        <v>37987112</v>
      </c>
      <c r="BG94" s="20">
        <v>62963084</v>
      </c>
      <c r="BH94" s="20">
        <v>61469912</v>
      </c>
      <c r="BI94" s="63"/>
      <c r="BJ94" s="63"/>
      <c r="BK94" s="63"/>
      <c r="BL94" s="5">
        <v>5940847669</v>
      </c>
      <c r="BM94" s="5">
        <v>5357816277</v>
      </c>
      <c r="BN94" s="15">
        <v>1592670</v>
      </c>
      <c r="BO94" s="5"/>
      <c r="BP94" s="1"/>
      <c r="BQ94" s="1"/>
      <c r="BR94" s="5"/>
      <c r="BS94" s="5"/>
      <c r="BT94" s="5"/>
    </row>
    <row r="95" spans="1:72" x14ac:dyDescent="0.25">
      <c r="A95" s="6" t="s">
        <v>149</v>
      </c>
      <c r="B95" s="56">
        <v>265331360</v>
      </c>
      <c r="C95" s="56">
        <v>140904975</v>
      </c>
      <c r="D95" s="56">
        <v>41355000</v>
      </c>
      <c r="E95" s="56">
        <v>0</v>
      </c>
      <c r="F95" s="56">
        <v>21141400</v>
      </c>
      <c r="G95" s="56">
        <v>4565100</v>
      </c>
      <c r="H95" s="56">
        <v>11134300</v>
      </c>
      <c r="I95" s="56">
        <v>1128600</v>
      </c>
      <c r="J95" s="56">
        <v>0</v>
      </c>
      <c r="K95" s="56">
        <v>36000</v>
      </c>
      <c r="L95" s="56">
        <v>305785043</v>
      </c>
      <c r="M95" s="56">
        <v>102600</v>
      </c>
      <c r="N95" s="56">
        <v>937</v>
      </c>
      <c r="O95" s="56">
        <v>181</v>
      </c>
      <c r="P95" s="56">
        <v>2667800</v>
      </c>
      <c r="Q95" s="56">
        <v>2731000</v>
      </c>
      <c r="R95" s="56">
        <v>238300</v>
      </c>
      <c r="S95" s="56">
        <v>3066550</v>
      </c>
      <c r="T95" s="56">
        <v>1161600</v>
      </c>
      <c r="U95" s="56">
        <v>377700</v>
      </c>
      <c r="V95" s="56">
        <v>2667800</v>
      </c>
      <c r="W95" s="56">
        <v>2964500</v>
      </c>
      <c r="X95" s="56">
        <v>238300</v>
      </c>
      <c r="Y95" s="56">
        <v>3066550</v>
      </c>
      <c r="Z95" s="56">
        <v>2331450</v>
      </c>
      <c r="AA95" s="56">
        <v>377700</v>
      </c>
      <c r="AB95" s="56">
        <v>-1552100</v>
      </c>
      <c r="AC95" s="56">
        <v>-137318</v>
      </c>
      <c r="AD95" s="56">
        <v>71039</v>
      </c>
      <c r="AE95" s="56">
        <v>0</v>
      </c>
      <c r="AF95" s="56">
        <v>0</v>
      </c>
      <c r="AG95" s="56">
        <v>198900</v>
      </c>
      <c r="AH95" s="56">
        <v>0</v>
      </c>
      <c r="AI95" s="56">
        <v>0</v>
      </c>
      <c r="AJ95" s="56">
        <v>0</v>
      </c>
      <c r="AK95" s="1">
        <v>68486615</v>
      </c>
      <c r="AL95" s="1">
        <v>2835078</v>
      </c>
      <c r="AM95" s="56">
        <v>0</v>
      </c>
      <c r="AN95" s="56">
        <v>8797798</v>
      </c>
      <c r="AO95" s="56">
        <v>5645571</v>
      </c>
      <c r="AP95" s="56">
        <v>5540152</v>
      </c>
      <c r="AQ95" s="56">
        <v>4784909</v>
      </c>
      <c r="AR95" s="56">
        <v>7690387</v>
      </c>
      <c r="AS95" s="56">
        <v>238674</v>
      </c>
      <c r="AT95" s="56">
        <v>609391</v>
      </c>
      <c r="AU95" s="56">
        <v>0</v>
      </c>
      <c r="AV95" s="56">
        <v>34368</v>
      </c>
      <c r="AW95" s="56">
        <v>0</v>
      </c>
      <c r="AX95" s="56">
        <v>0</v>
      </c>
      <c r="AY95" s="56">
        <v>137500</v>
      </c>
      <c r="AZ95" s="1">
        <v>2629017.8024795786</v>
      </c>
      <c r="BA95" s="1">
        <v>1340799</v>
      </c>
      <c r="BB95" s="1">
        <v>4488341.97</v>
      </c>
      <c r="BC95" s="15">
        <v>0</v>
      </c>
      <c r="BD95" s="15">
        <v>0</v>
      </c>
      <c r="BE95" s="20">
        <v>70844088</v>
      </c>
      <c r="BF95" s="20">
        <v>70844088</v>
      </c>
      <c r="BG95" s="20">
        <v>46354118</v>
      </c>
      <c r="BH95" s="20">
        <v>46336153</v>
      </c>
      <c r="BI95" s="63"/>
      <c r="BJ95" s="63"/>
      <c r="BK95" s="63"/>
      <c r="BL95" s="5">
        <v>656662346</v>
      </c>
      <c r="BM95" s="5">
        <v>466819613</v>
      </c>
      <c r="BN95" s="15">
        <v>246300</v>
      </c>
      <c r="BO95" s="5"/>
      <c r="BP95" s="1"/>
      <c r="BQ95" s="1"/>
      <c r="BR95" s="5"/>
      <c r="BS95" s="5"/>
      <c r="BT95" s="5"/>
    </row>
    <row r="96" spans="1:72" x14ac:dyDescent="0.25">
      <c r="A96" s="6" t="s">
        <v>150</v>
      </c>
      <c r="B96" s="56">
        <v>33446630</v>
      </c>
      <c r="C96" s="56">
        <v>33916166</v>
      </c>
      <c r="D96" s="56">
        <v>10425430</v>
      </c>
      <c r="E96" s="56">
        <v>0</v>
      </c>
      <c r="F96" s="56">
        <v>7410700</v>
      </c>
      <c r="G96" s="56">
        <v>8186900</v>
      </c>
      <c r="H96" s="56">
        <v>5484600</v>
      </c>
      <c r="I96" s="56">
        <v>3180100</v>
      </c>
      <c r="J96" s="56">
        <v>26000</v>
      </c>
      <c r="K96" s="56">
        <v>0</v>
      </c>
      <c r="L96" s="56">
        <v>20580462</v>
      </c>
      <c r="M96" s="56">
        <v>21475236</v>
      </c>
      <c r="N96" s="56">
        <v>394</v>
      </c>
      <c r="O96" s="56">
        <v>365</v>
      </c>
      <c r="P96" s="56">
        <v>1357000</v>
      </c>
      <c r="Q96" s="56">
        <v>504000</v>
      </c>
      <c r="R96" s="56">
        <v>0</v>
      </c>
      <c r="S96" s="56">
        <v>397485</v>
      </c>
      <c r="T96" s="56">
        <v>301800</v>
      </c>
      <c r="U96" s="56">
        <v>20000</v>
      </c>
      <c r="V96" s="56">
        <v>1357000</v>
      </c>
      <c r="W96" s="56">
        <v>504000</v>
      </c>
      <c r="X96" s="56">
        <v>0</v>
      </c>
      <c r="Y96" s="56">
        <v>397485</v>
      </c>
      <c r="Z96" s="56">
        <v>301800</v>
      </c>
      <c r="AA96" s="56">
        <v>20000</v>
      </c>
      <c r="AB96" s="56">
        <v>-941600</v>
      </c>
      <c r="AC96" s="56">
        <v>0</v>
      </c>
      <c r="AD96" s="56">
        <v>50281</v>
      </c>
      <c r="AE96" s="56">
        <v>0</v>
      </c>
      <c r="AF96" s="56">
        <v>0</v>
      </c>
      <c r="AG96" s="56">
        <v>105922</v>
      </c>
      <c r="AH96" s="56">
        <v>0</v>
      </c>
      <c r="AI96" s="56">
        <v>186226</v>
      </c>
      <c r="AJ96" s="64">
        <v>2372689</v>
      </c>
      <c r="AK96" s="1">
        <v>17458797</v>
      </c>
      <c r="AL96" s="1">
        <v>477659</v>
      </c>
      <c r="AM96" s="56">
        <v>0</v>
      </c>
      <c r="AN96" s="56">
        <v>2048878</v>
      </c>
      <c r="AO96" s="56">
        <v>5236</v>
      </c>
      <c r="AP96" s="56">
        <v>857114</v>
      </c>
      <c r="AQ96" s="56">
        <v>1473991</v>
      </c>
      <c r="AR96" s="56">
        <v>28256</v>
      </c>
      <c r="AS96" s="56">
        <v>0</v>
      </c>
      <c r="AT96" s="56">
        <v>0</v>
      </c>
      <c r="AU96" s="56">
        <v>0</v>
      </c>
      <c r="AV96" s="56">
        <v>0</v>
      </c>
      <c r="AW96" s="56">
        <v>0</v>
      </c>
      <c r="AX96" s="56">
        <v>0</v>
      </c>
      <c r="AY96" s="56">
        <v>0</v>
      </c>
      <c r="AZ96" s="1">
        <v>670196.4774120762</v>
      </c>
      <c r="BA96" s="1">
        <v>341800</v>
      </c>
      <c r="BB96" s="1"/>
      <c r="BC96" s="15">
        <v>0</v>
      </c>
      <c r="BD96" s="15">
        <v>0</v>
      </c>
      <c r="BE96" s="20">
        <v>1045926</v>
      </c>
      <c r="BF96" s="20">
        <v>1045926</v>
      </c>
      <c r="BG96" s="20">
        <v>18929335</v>
      </c>
      <c r="BH96" s="20">
        <v>18890410</v>
      </c>
      <c r="BI96" s="63"/>
      <c r="BJ96" s="63"/>
      <c r="BK96" s="63"/>
      <c r="BL96" s="5">
        <v>122089838</v>
      </c>
      <c r="BM96" s="5">
        <v>83875246</v>
      </c>
      <c r="BN96" s="15">
        <v>270800</v>
      </c>
      <c r="BO96" s="5"/>
      <c r="BP96" s="1"/>
      <c r="BQ96" s="1"/>
      <c r="BR96" s="5"/>
      <c r="BS96" s="5"/>
      <c r="BT96" s="5"/>
    </row>
    <row r="97" spans="1:72" x14ac:dyDescent="0.25">
      <c r="A97" s="6" t="s">
        <v>151</v>
      </c>
      <c r="B97" s="56">
        <v>286366956</v>
      </c>
      <c r="C97" s="56">
        <v>163603709</v>
      </c>
      <c r="D97" s="56">
        <v>61152923</v>
      </c>
      <c r="E97" s="56">
        <v>14000</v>
      </c>
      <c r="F97" s="56">
        <v>25206801</v>
      </c>
      <c r="G97" s="56">
        <v>6631500</v>
      </c>
      <c r="H97" s="56">
        <v>15431100</v>
      </c>
      <c r="I97" s="56">
        <v>1958500</v>
      </c>
      <c r="J97" s="56">
        <v>98000</v>
      </c>
      <c r="K97" s="56">
        <v>36000</v>
      </c>
      <c r="L97" s="56">
        <v>252798896</v>
      </c>
      <c r="M97" s="56">
        <v>127829200</v>
      </c>
      <c r="N97" s="56">
        <v>1178</v>
      </c>
      <c r="O97" s="56">
        <v>258</v>
      </c>
      <c r="P97" s="56">
        <v>3808700</v>
      </c>
      <c r="Q97" s="56">
        <v>4249100</v>
      </c>
      <c r="R97" s="56">
        <v>2581000</v>
      </c>
      <c r="S97" s="56">
        <v>10557277</v>
      </c>
      <c r="T97" s="56">
        <v>4375747</v>
      </c>
      <c r="U97" s="56">
        <v>679239</v>
      </c>
      <c r="V97" s="56">
        <v>3808700</v>
      </c>
      <c r="W97" s="56">
        <v>5555970</v>
      </c>
      <c r="X97" s="56">
        <v>2581000</v>
      </c>
      <c r="Y97" s="56">
        <v>10557277</v>
      </c>
      <c r="Z97" s="56">
        <v>9162231</v>
      </c>
      <c r="AA97" s="56">
        <v>679239</v>
      </c>
      <c r="AB97" s="56">
        <v>-1309878</v>
      </c>
      <c r="AC97" s="56">
        <v>0</v>
      </c>
      <c r="AD97" s="56">
        <v>62</v>
      </c>
      <c r="AE97" s="56">
        <v>0</v>
      </c>
      <c r="AF97" s="56">
        <v>0</v>
      </c>
      <c r="AG97" s="56">
        <v>157645</v>
      </c>
      <c r="AH97" s="56">
        <v>0</v>
      </c>
      <c r="AI97" s="56">
        <v>2227033</v>
      </c>
      <c r="AJ97" s="56">
        <v>0</v>
      </c>
      <c r="AK97" s="1">
        <v>87405778</v>
      </c>
      <c r="AL97" s="1">
        <v>2023825</v>
      </c>
      <c r="AM97" s="56">
        <v>0</v>
      </c>
      <c r="AN97" s="56">
        <v>19891157</v>
      </c>
      <c r="AO97" s="56">
        <v>3732375</v>
      </c>
      <c r="AP97" s="56">
        <v>68511789</v>
      </c>
      <c r="AQ97" s="56">
        <v>6746754</v>
      </c>
      <c r="AR97" s="56">
        <v>6664185</v>
      </c>
      <c r="AS97" s="56">
        <v>2048761</v>
      </c>
      <c r="AT97" s="56">
        <v>339622</v>
      </c>
      <c r="AU97" s="56">
        <v>0</v>
      </c>
      <c r="AV97" s="56">
        <v>0</v>
      </c>
      <c r="AW97" s="56">
        <v>0</v>
      </c>
      <c r="AX97" s="56">
        <v>423235</v>
      </c>
      <c r="AY97" s="56">
        <v>397354</v>
      </c>
      <c r="AZ97" s="1">
        <v>3355273.8210463156</v>
      </c>
      <c r="BA97" s="1">
        <v>1711190</v>
      </c>
      <c r="BB97" s="1">
        <v>3082901.55</v>
      </c>
      <c r="BC97" s="15">
        <v>2442900</v>
      </c>
      <c r="BD97" s="15">
        <v>4790001</v>
      </c>
      <c r="BE97" s="20">
        <v>23892311</v>
      </c>
      <c r="BF97" s="20">
        <v>23892311</v>
      </c>
      <c r="BG97" s="20">
        <v>51767762</v>
      </c>
      <c r="BH97" s="20">
        <v>46281498</v>
      </c>
      <c r="BI97" s="63"/>
      <c r="BJ97" s="63"/>
      <c r="BK97" s="63"/>
      <c r="BL97" s="5">
        <v>707478409</v>
      </c>
      <c r="BM97" s="5">
        <v>543720907</v>
      </c>
      <c r="BN97" s="15">
        <v>455525</v>
      </c>
      <c r="BO97" s="5"/>
      <c r="BP97" s="1"/>
      <c r="BQ97" s="1"/>
      <c r="BR97" s="5"/>
      <c r="BS97" s="5"/>
      <c r="BT97" s="5"/>
    </row>
    <row r="98" spans="1:72" x14ac:dyDescent="0.25">
      <c r="A98" s="6" t="s">
        <v>152</v>
      </c>
      <c r="B98" s="56">
        <v>449339385</v>
      </c>
      <c r="C98" s="56">
        <v>58138686</v>
      </c>
      <c r="D98" s="56">
        <v>279270738</v>
      </c>
      <c r="E98" s="56">
        <v>0</v>
      </c>
      <c r="F98" s="56">
        <v>65347400</v>
      </c>
      <c r="G98" s="56">
        <v>42926063</v>
      </c>
      <c r="H98" s="56">
        <v>12241325</v>
      </c>
      <c r="I98" s="56">
        <v>4364200</v>
      </c>
      <c r="J98" s="56">
        <v>526800</v>
      </c>
      <c r="K98" s="56">
        <v>144000</v>
      </c>
      <c r="L98" s="56">
        <v>61015133</v>
      </c>
      <c r="M98" s="56">
        <v>42322159</v>
      </c>
      <c r="N98" s="56">
        <v>2464</v>
      </c>
      <c r="O98" s="56">
        <v>1656</v>
      </c>
      <c r="P98" s="56">
        <v>1761400</v>
      </c>
      <c r="Q98" s="56">
        <v>0</v>
      </c>
      <c r="R98" s="56">
        <v>290000</v>
      </c>
      <c r="S98" s="56">
        <v>1613991</v>
      </c>
      <c r="T98" s="56">
        <v>154300</v>
      </c>
      <c r="U98" s="56">
        <v>35000</v>
      </c>
      <c r="V98" s="56">
        <v>1761400</v>
      </c>
      <c r="W98" s="56">
        <v>0</v>
      </c>
      <c r="X98" s="56">
        <v>290000</v>
      </c>
      <c r="Y98" s="56">
        <v>1613991</v>
      </c>
      <c r="Z98" s="56">
        <v>25000</v>
      </c>
      <c r="AA98" s="56">
        <v>35000</v>
      </c>
      <c r="AB98" s="56">
        <v>-6435994</v>
      </c>
      <c r="AC98" s="56">
        <v>-569140</v>
      </c>
      <c r="AD98" s="56">
        <v>143751</v>
      </c>
      <c r="AE98" s="56">
        <v>35</v>
      </c>
      <c r="AF98" s="56">
        <v>0</v>
      </c>
      <c r="AG98" s="56">
        <v>170258</v>
      </c>
      <c r="AH98" s="56">
        <v>21007426</v>
      </c>
      <c r="AI98" s="56">
        <v>95191436</v>
      </c>
      <c r="AJ98" s="64">
        <v>288618024</v>
      </c>
      <c r="AK98" s="1">
        <v>189883980</v>
      </c>
      <c r="AL98" s="1">
        <v>4869958</v>
      </c>
      <c r="AM98" s="56">
        <v>48000</v>
      </c>
      <c r="AN98" s="56">
        <v>235288130</v>
      </c>
      <c r="AO98" s="56">
        <v>14761565</v>
      </c>
      <c r="AP98" s="56">
        <v>65401074</v>
      </c>
      <c r="AQ98" s="56">
        <v>72881343</v>
      </c>
      <c r="AR98" s="56">
        <v>53178140</v>
      </c>
      <c r="AS98" s="56">
        <v>462814</v>
      </c>
      <c r="AT98" s="56">
        <v>147721</v>
      </c>
      <c r="AU98" s="56">
        <v>0</v>
      </c>
      <c r="AV98" s="56">
        <v>0</v>
      </c>
      <c r="AW98" s="56">
        <v>0</v>
      </c>
      <c r="AX98" s="56">
        <v>120193</v>
      </c>
      <c r="AY98" s="56">
        <v>16298818</v>
      </c>
      <c r="AZ98" s="1">
        <v>7289137.648658447</v>
      </c>
      <c r="BA98" s="1">
        <v>3717460</v>
      </c>
      <c r="BB98" s="1"/>
      <c r="BC98" s="15">
        <v>6209430</v>
      </c>
      <c r="BD98" s="15">
        <v>12175353</v>
      </c>
      <c r="BE98" s="20">
        <v>26800583</v>
      </c>
      <c r="BF98" s="20">
        <v>26800583</v>
      </c>
      <c r="BG98" s="20">
        <v>76973188</v>
      </c>
      <c r="BH98" s="20">
        <v>67733792</v>
      </c>
      <c r="BI98" s="63"/>
      <c r="BJ98" s="63"/>
      <c r="BK98" s="63"/>
      <c r="BL98" s="5">
        <v>1813711936</v>
      </c>
      <c r="BM98" s="5">
        <v>1514496733</v>
      </c>
      <c r="BN98" s="15">
        <v>1160600</v>
      </c>
      <c r="BO98" s="5"/>
      <c r="BP98" s="1"/>
      <c r="BQ98" s="1"/>
      <c r="BR98" s="5"/>
      <c r="BS98" s="5"/>
      <c r="BT98" s="5"/>
    </row>
    <row r="99" spans="1:72" x14ac:dyDescent="0.25">
      <c r="A99" s="6" t="s">
        <v>153</v>
      </c>
      <c r="B99" s="40">
        <v>974426623</v>
      </c>
      <c r="C99" s="40">
        <v>148334267</v>
      </c>
      <c r="D99" s="40">
        <v>383430307</v>
      </c>
      <c r="E99" s="40">
        <v>0</v>
      </c>
      <c r="F99" s="40">
        <v>141914000</v>
      </c>
      <c r="G99" s="40">
        <v>128318500</v>
      </c>
      <c r="H99" s="40">
        <v>31434150</v>
      </c>
      <c r="I99" s="40">
        <v>18832050</v>
      </c>
      <c r="J99" s="40">
        <v>609000</v>
      </c>
      <c r="K99" s="40">
        <v>282000</v>
      </c>
      <c r="L99" s="40">
        <v>154533222</v>
      </c>
      <c r="M99" s="40">
        <v>153161221</v>
      </c>
      <c r="N99" s="40">
        <v>5691</v>
      </c>
      <c r="O99" s="40">
        <v>5312</v>
      </c>
      <c r="P99" s="40">
        <v>8404300</v>
      </c>
      <c r="Q99" s="40">
        <v>534900</v>
      </c>
      <c r="R99" s="40">
        <v>2136000</v>
      </c>
      <c r="S99" s="40">
        <v>5360280</v>
      </c>
      <c r="T99" s="40">
        <v>610613</v>
      </c>
      <c r="U99" s="40">
        <v>1023200</v>
      </c>
      <c r="V99" s="40">
        <v>8404300</v>
      </c>
      <c r="W99" s="40">
        <v>900925</v>
      </c>
      <c r="X99" s="40">
        <v>2136000</v>
      </c>
      <c r="Y99" s="40">
        <v>5360280</v>
      </c>
      <c r="Z99" s="40">
        <v>826887</v>
      </c>
      <c r="AA99" s="40">
        <v>1023200</v>
      </c>
      <c r="AB99" s="40">
        <v>-5379233</v>
      </c>
      <c r="AC99" s="40">
        <v>-6750007</v>
      </c>
      <c r="AD99" s="40">
        <v>373737</v>
      </c>
      <c r="AE99" s="40">
        <v>0</v>
      </c>
      <c r="AF99" s="40">
        <v>0</v>
      </c>
      <c r="AG99" s="40">
        <v>533663</v>
      </c>
      <c r="AH99" s="40">
        <v>14446795</v>
      </c>
      <c r="AI99" s="40">
        <v>375749232</v>
      </c>
      <c r="AJ99" s="46">
        <v>459998456</v>
      </c>
      <c r="AK99" s="1">
        <v>468655738</v>
      </c>
      <c r="AL99" s="1">
        <v>9439579</v>
      </c>
      <c r="AM99" s="40">
        <v>0</v>
      </c>
      <c r="AN99" s="40">
        <v>487969656</v>
      </c>
      <c r="AO99" s="40">
        <v>16922609</v>
      </c>
      <c r="AP99" s="40">
        <v>243742504</v>
      </c>
      <c r="AQ99" s="40">
        <v>112370040</v>
      </c>
      <c r="AR99" s="40">
        <v>75800731</v>
      </c>
      <c r="AS99" s="40">
        <v>4591869</v>
      </c>
      <c r="AT99" s="40">
        <v>5637</v>
      </c>
      <c r="AU99" s="40">
        <v>0</v>
      </c>
      <c r="AV99" s="40">
        <v>0</v>
      </c>
      <c r="AW99" s="40">
        <v>0</v>
      </c>
      <c r="AX99" s="40">
        <v>227028</v>
      </c>
      <c r="AY99" s="40">
        <v>1236800</v>
      </c>
      <c r="AZ99" s="1">
        <v>17990439.130860902</v>
      </c>
      <c r="BA99" s="1">
        <v>9175124</v>
      </c>
      <c r="BB99" s="1"/>
      <c r="BC99" s="15">
        <v>6975773</v>
      </c>
      <c r="BD99" s="15">
        <v>13677986</v>
      </c>
      <c r="BE99" s="20">
        <v>72694465</v>
      </c>
      <c r="BF99" s="20">
        <v>72694465</v>
      </c>
      <c r="BG99" s="20">
        <v>175781318</v>
      </c>
      <c r="BH99" s="20">
        <v>166263009</v>
      </c>
      <c r="BI99" s="63"/>
      <c r="BJ99" s="44"/>
      <c r="BK99" s="44"/>
      <c r="BL99" s="5">
        <v>3706851673</v>
      </c>
      <c r="BM99" s="5">
        <v>2973647985</v>
      </c>
      <c r="BN99" s="15">
        <v>12697469</v>
      </c>
      <c r="BO99" s="5"/>
      <c r="BP99" s="1"/>
      <c r="BQ99" s="1"/>
      <c r="BR99" s="5"/>
      <c r="BS99" s="5"/>
      <c r="BT99" s="5"/>
    </row>
    <row r="100" spans="1:72" x14ac:dyDescent="0.25">
      <c r="A100" s="6" t="s">
        <v>154</v>
      </c>
      <c r="B100" s="56">
        <v>239734440</v>
      </c>
      <c r="C100" s="56">
        <v>52783164</v>
      </c>
      <c r="D100" s="56">
        <v>77977026</v>
      </c>
      <c r="E100" s="56">
        <v>0</v>
      </c>
      <c r="F100" s="56">
        <v>25441501</v>
      </c>
      <c r="G100" s="56">
        <v>12536747</v>
      </c>
      <c r="H100" s="56">
        <v>4852197</v>
      </c>
      <c r="I100" s="56">
        <v>1280735</v>
      </c>
      <c r="J100" s="56">
        <v>68000</v>
      </c>
      <c r="K100" s="56">
        <v>22500</v>
      </c>
      <c r="L100" s="56">
        <v>26924266</v>
      </c>
      <c r="M100" s="56">
        <v>0</v>
      </c>
      <c r="N100" s="56">
        <v>1010</v>
      </c>
      <c r="O100" s="56">
        <v>485</v>
      </c>
      <c r="P100" s="56">
        <v>2474405</v>
      </c>
      <c r="Q100" s="56">
        <v>368142</v>
      </c>
      <c r="R100" s="56">
        <v>2079129</v>
      </c>
      <c r="S100" s="56">
        <v>3763914</v>
      </c>
      <c r="T100" s="56">
        <v>715153</v>
      </c>
      <c r="U100" s="56">
        <v>3305905</v>
      </c>
      <c r="V100" s="56">
        <v>2474405</v>
      </c>
      <c r="W100" s="56">
        <v>327860</v>
      </c>
      <c r="X100" s="56">
        <v>2079129</v>
      </c>
      <c r="Y100" s="56">
        <v>3763914</v>
      </c>
      <c r="Z100" s="56">
        <v>1129016</v>
      </c>
      <c r="AA100" s="56">
        <v>3305905</v>
      </c>
      <c r="AB100" s="56">
        <v>-1790108</v>
      </c>
      <c r="AC100" s="56">
        <v>-44117</v>
      </c>
      <c r="AD100" s="56">
        <v>63496</v>
      </c>
      <c r="AE100" s="56">
        <v>0</v>
      </c>
      <c r="AF100" s="56">
        <v>0</v>
      </c>
      <c r="AG100" s="56">
        <v>77881</v>
      </c>
      <c r="AH100" s="56">
        <v>534361</v>
      </c>
      <c r="AI100" s="56">
        <v>391557</v>
      </c>
      <c r="AJ100" s="56">
        <v>0</v>
      </c>
      <c r="AK100" s="1">
        <v>70741612</v>
      </c>
      <c r="AL100" s="1">
        <v>1458464</v>
      </c>
      <c r="AM100" s="56">
        <v>0</v>
      </c>
      <c r="AN100" s="56">
        <v>7597333</v>
      </c>
      <c r="AO100" s="56">
        <v>57002</v>
      </c>
      <c r="AP100" s="56">
        <v>4570735</v>
      </c>
      <c r="AQ100" s="56">
        <v>9855464</v>
      </c>
      <c r="AR100" s="56">
        <v>3694026</v>
      </c>
      <c r="AS100" s="56">
        <v>0</v>
      </c>
      <c r="AT100" s="56">
        <v>0</v>
      </c>
      <c r="AU100" s="56">
        <v>0</v>
      </c>
      <c r="AV100" s="56">
        <v>0</v>
      </c>
      <c r="AW100" s="56">
        <v>0</v>
      </c>
      <c r="AX100" s="56">
        <v>5144557</v>
      </c>
      <c r="AY100" s="56">
        <v>170500</v>
      </c>
      <c r="AZ100" s="1">
        <v>2715581.1003960846</v>
      </c>
      <c r="BA100" s="1">
        <v>1384946</v>
      </c>
      <c r="BB100" s="1"/>
      <c r="BC100" s="15">
        <v>0</v>
      </c>
      <c r="BD100" s="15">
        <v>0</v>
      </c>
      <c r="BE100" s="20">
        <v>9643723</v>
      </c>
      <c r="BF100" s="20">
        <v>9643723</v>
      </c>
      <c r="BG100" s="20">
        <v>43880859</v>
      </c>
      <c r="BH100" s="20">
        <v>43837443</v>
      </c>
      <c r="BI100" s="63"/>
      <c r="BJ100" s="63"/>
      <c r="BK100" s="63"/>
      <c r="BL100" s="5">
        <v>515996535</v>
      </c>
      <c r="BM100" s="5">
        <v>388930347</v>
      </c>
      <c r="BN100" s="15">
        <v>834551</v>
      </c>
      <c r="BO100" s="5"/>
      <c r="BP100" s="1"/>
      <c r="BQ100" s="1"/>
      <c r="BR100" s="5"/>
      <c r="BS100" s="5"/>
      <c r="BT100" s="5"/>
    </row>
    <row r="101" spans="1:72" x14ac:dyDescent="0.25">
      <c r="A101" s="6" t="s">
        <v>155</v>
      </c>
      <c r="B101" s="56">
        <v>2041481208</v>
      </c>
      <c r="C101" s="56">
        <v>324973572</v>
      </c>
      <c r="D101" s="56">
        <v>730486916</v>
      </c>
      <c r="E101" s="56">
        <v>0</v>
      </c>
      <c r="F101" s="56">
        <v>174879224</v>
      </c>
      <c r="G101" s="56">
        <v>37897752</v>
      </c>
      <c r="H101" s="56">
        <v>34945595</v>
      </c>
      <c r="I101" s="56">
        <v>3962300</v>
      </c>
      <c r="J101" s="56">
        <v>324000</v>
      </c>
      <c r="K101" s="56">
        <v>108000</v>
      </c>
      <c r="L101" s="56">
        <v>632547402</v>
      </c>
      <c r="M101" s="56">
        <v>212384686</v>
      </c>
      <c r="N101" s="56">
        <v>6164</v>
      </c>
      <c r="O101" s="56">
        <v>1332</v>
      </c>
      <c r="P101" s="56">
        <v>14643400</v>
      </c>
      <c r="Q101" s="56">
        <v>2950350</v>
      </c>
      <c r="R101" s="56">
        <v>6340920</v>
      </c>
      <c r="S101" s="56">
        <v>2572838</v>
      </c>
      <c r="T101" s="56">
        <v>234620</v>
      </c>
      <c r="U101" s="56">
        <v>0</v>
      </c>
      <c r="V101" s="56">
        <v>14643400</v>
      </c>
      <c r="W101" s="56">
        <v>2950350</v>
      </c>
      <c r="X101" s="56">
        <v>6340920</v>
      </c>
      <c r="Y101" s="56">
        <v>2572838</v>
      </c>
      <c r="Z101" s="56">
        <v>234620</v>
      </c>
      <c r="AA101" s="56">
        <v>0</v>
      </c>
      <c r="AB101" s="56">
        <v>-22980317</v>
      </c>
      <c r="AC101" s="56">
        <v>-1912061</v>
      </c>
      <c r="AD101" s="56">
        <v>43996</v>
      </c>
      <c r="AE101" s="56">
        <v>0</v>
      </c>
      <c r="AF101" s="56">
        <v>0</v>
      </c>
      <c r="AG101" s="56">
        <v>307444.25</v>
      </c>
      <c r="AH101" s="56">
        <v>45057</v>
      </c>
      <c r="AI101" s="56">
        <v>776590</v>
      </c>
      <c r="AJ101" s="64">
        <v>41361</v>
      </c>
      <c r="AK101" s="1">
        <v>388122756</v>
      </c>
      <c r="AL101" s="1">
        <v>26846806</v>
      </c>
      <c r="AM101" s="56">
        <v>14117780</v>
      </c>
      <c r="AN101" s="56">
        <v>137900823</v>
      </c>
      <c r="AO101" s="56">
        <v>13399010</v>
      </c>
      <c r="AP101" s="56">
        <v>263848763</v>
      </c>
      <c r="AQ101" s="56">
        <v>119768387</v>
      </c>
      <c r="AR101" s="56">
        <v>120090228</v>
      </c>
      <c r="AS101" s="56">
        <v>23238308</v>
      </c>
      <c r="AT101" s="56">
        <v>7462087</v>
      </c>
      <c r="AU101" s="56">
        <v>0</v>
      </c>
      <c r="AV101" s="56">
        <v>24265</v>
      </c>
      <c r="AW101" s="56">
        <v>0</v>
      </c>
      <c r="AX101" s="56">
        <v>2296082</v>
      </c>
      <c r="AY101" s="56">
        <v>2770445</v>
      </c>
      <c r="AZ101" s="1">
        <v>14898993.548906421</v>
      </c>
      <c r="BA101" s="1">
        <v>7598487</v>
      </c>
      <c r="BB101" s="1"/>
      <c r="BC101" s="15">
        <v>4444200</v>
      </c>
      <c r="BD101" s="15">
        <v>8714117</v>
      </c>
      <c r="BE101" s="20">
        <v>55787270</v>
      </c>
      <c r="BF101" s="20">
        <v>55787270</v>
      </c>
      <c r="BG101" s="20">
        <v>138107171</v>
      </c>
      <c r="BH101" s="20">
        <v>128198304</v>
      </c>
      <c r="BI101" s="63"/>
      <c r="BJ101" s="63"/>
      <c r="BK101" s="63"/>
      <c r="BL101" s="5">
        <v>3979870747</v>
      </c>
      <c r="BM101" s="5">
        <v>3368872924</v>
      </c>
      <c r="BN101" s="15">
        <v>4697500</v>
      </c>
      <c r="BO101" s="5"/>
      <c r="BP101" s="1"/>
      <c r="BQ101" s="1"/>
      <c r="BR101" s="5"/>
      <c r="BS101" s="5"/>
      <c r="BT101" s="5"/>
    </row>
    <row r="102" spans="1:72" x14ac:dyDescent="0.25">
      <c r="A102" s="6" t="s">
        <v>156</v>
      </c>
      <c r="B102" s="56">
        <v>20833396</v>
      </c>
      <c r="C102" s="56">
        <v>35479174</v>
      </c>
      <c r="D102" s="56">
        <v>3313301</v>
      </c>
      <c r="E102" s="56">
        <v>0</v>
      </c>
      <c r="F102" s="56">
        <v>4060222</v>
      </c>
      <c r="G102" s="56">
        <v>883700</v>
      </c>
      <c r="H102" s="56">
        <v>3268516</v>
      </c>
      <c r="I102" s="56">
        <v>849076</v>
      </c>
      <c r="J102" s="56">
        <v>0</v>
      </c>
      <c r="K102" s="56">
        <v>0</v>
      </c>
      <c r="L102" s="56">
        <v>53039466</v>
      </c>
      <c r="M102" s="56">
        <v>20561331</v>
      </c>
      <c r="N102" s="56">
        <v>216</v>
      </c>
      <c r="O102" s="56">
        <v>54</v>
      </c>
      <c r="P102" s="56">
        <v>465100</v>
      </c>
      <c r="Q102" s="56">
        <v>359247</v>
      </c>
      <c r="R102" s="56">
        <v>0</v>
      </c>
      <c r="S102" s="56">
        <v>34350</v>
      </c>
      <c r="T102" s="56">
        <v>37500</v>
      </c>
      <c r="U102" s="56">
        <v>8000</v>
      </c>
      <c r="V102" s="56">
        <v>465100</v>
      </c>
      <c r="W102" s="56">
        <v>359247</v>
      </c>
      <c r="X102" s="56">
        <v>0</v>
      </c>
      <c r="Y102" s="56">
        <v>34350</v>
      </c>
      <c r="Z102" s="56">
        <v>91000</v>
      </c>
      <c r="AA102" s="56">
        <v>8000</v>
      </c>
      <c r="AB102" s="56">
        <v>-236338</v>
      </c>
      <c r="AC102" s="56">
        <v>5793</v>
      </c>
      <c r="AD102" s="56">
        <v>0</v>
      </c>
      <c r="AE102" s="56">
        <v>0</v>
      </c>
      <c r="AF102" s="56">
        <v>0</v>
      </c>
      <c r="AG102" s="56">
        <v>0</v>
      </c>
      <c r="AH102" s="56">
        <v>0</v>
      </c>
      <c r="AI102" s="56">
        <v>1601</v>
      </c>
      <c r="AJ102" s="65">
        <v>0</v>
      </c>
      <c r="AK102" s="1">
        <v>12530025</v>
      </c>
      <c r="AL102" s="1">
        <v>285521</v>
      </c>
      <c r="AM102" s="56">
        <v>0</v>
      </c>
      <c r="AN102" s="56">
        <v>726317</v>
      </c>
      <c r="AO102" s="56">
        <v>22082</v>
      </c>
      <c r="AP102" s="56">
        <v>1215</v>
      </c>
      <c r="AQ102" s="56">
        <v>277263</v>
      </c>
      <c r="AR102" s="56">
        <v>0</v>
      </c>
      <c r="AS102" s="56">
        <v>0</v>
      </c>
      <c r="AT102" s="56">
        <v>0</v>
      </c>
      <c r="AU102" s="56">
        <v>0</v>
      </c>
      <c r="AV102" s="56">
        <v>0</v>
      </c>
      <c r="AW102" s="56">
        <v>0</v>
      </c>
      <c r="AX102" s="56">
        <v>0</v>
      </c>
      <c r="AY102" s="56">
        <v>0</v>
      </c>
      <c r="AZ102" s="1">
        <v>480994.11528098135</v>
      </c>
      <c r="BA102" s="1">
        <v>245307</v>
      </c>
      <c r="BB102" s="1"/>
      <c r="BC102" s="15">
        <v>0</v>
      </c>
      <c r="BD102" s="15">
        <v>0</v>
      </c>
      <c r="BE102" s="20">
        <v>3670086</v>
      </c>
      <c r="BF102" s="20">
        <v>3670086</v>
      </c>
      <c r="BG102" s="20">
        <v>9475107</v>
      </c>
      <c r="BH102" s="20">
        <v>9472113</v>
      </c>
      <c r="BI102" s="63"/>
      <c r="BJ102" s="63"/>
      <c r="BK102" s="63"/>
      <c r="BL102" s="5">
        <v>86856186</v>
      </c>
      <c r="BM102" s="5">
        <v>60653134</v>
      </c>
      <c r="BN102" s="15">
        <v>71800</v>
      </c>
      <c r="BO102" s="5"/>
      <c r="BP102" s="1"/>
      <c r="BQ102" s="1"/>
      <c r="BR102" s="5"/>
      <c r="BS102" s="5"/>
      <c r="BT102" s="5"/>
    </row>
    <row r="103" spans="1:72" x14ac:dyDescent="0.25">
      <c r="A103" s="6" t="s">
        <v>157</v>
      </c>
      <c r="B103" s="56">
        <v>227038717</v>
      </c>
      <c r="C103" s="56">
        <v>79669760</v>
      </c>
      <c r="D103" s="56">
        <v>64992506</v>
      </c>
      <c r="E103" s="56">
        <v>0</v>
      </c>
      <c r="F103" s="56">
        <v>37744900</v>
      </c>
      <c r="G103" s="56">
        <v>17259400</v>
      </c>
      <c r="H103" s="56">
        <v>13110000</v>
      </c>
      <c r="I103" s="56">
        <v>2107000</v>
      </c>
      <c r="J103" s="56">
        <v>72000</v>
      </c>
      <c r="K103" s="56">
        <v>0</v>
      </c>
      <c r="L103" s="56">
        <v>88751459</v>
      </c>
      <c r="M103" s="56">
        <v>56330200</v>
      </c>
      <c r="N103" s="56">
        <v>1474</v>
      </c>
      <c r="O103" s="56">
        <v>597</v>
      </c>
      <c r="P103" s="56">
        <v>1763250</v>
      </c>
      <c r="Q103" s="56">
        <v>187000</v>
      </c>
      <c r="R103" s="56">
        <v>645000</v>
      </c>
      <c r="S103" s="56">
        <v>3337800</v>
      </c>
      <c r="T103" s="56">
        <v>79500</v>
      </c>
      <c r="U103" s="56">
        <v>2442350</v>
      </c>
      <c r="V103" s="56">
        <v>1763250</v>
      </c>
      <c r="W103" s="56">
        <v>206000</v>
      </c>
      <c r="X103" s="56">
        <v>645000</v>
      </c>
      <c r="Y103" s="56">
        <v>3337800</v>
      </c>
      <c r="Z103" s="56">
        <v>294700</v>
      </c>
      <c r="AA103" s="56">
        <v>2442350</v>
      </c>
      <c r="AB103" s="56">
        <v>-3933700</v>
      </c>
      <c r="AC103" s="56">
        <v>-190903</v>
      </c>
      <c r="AD103" s="56">
        <v>79000</v>
      </c>
      <c r="AE103" s="56">
        <v>0</v>
      </c>
      <c r="AF103" s="56">
        <v>0</v>
      </c>
      <c r="AG103" s="56">
        <v>0</v>
      </c>
      <c r="AH103" s="56">
        <v>0</v>
      </c>
      <c r="AI103" s="56">
        <v>242336</v>
      </c>
      <c r="AJ103" s="64">
        <v>38393</v>
      </c>
      <c r="AK103" s="1">
        <v>77320473</v>
      </c>
      <c r="AL103" s="1">
        <v>2099236</v>
      </c>
      <c r="AM103" s="56">
        <v>20849</v>
      </c>
      <c r="AN103" s="56">
        <v>11194174</v>
      </c>
      <c r="AO103" s="56">
        <v>162820</v>
      </c>
      <c r="AP103" s="56">
        <v>10104909</v>
      </c>
      <c r="AQ103" s="56">
        <v>7310004</v>
      </c>
      <c r="AR103" s="56">
        <v>2941841</v>
      </c>
      <c r="AS103" s="56">
        <v>0</v>
      </c>
      <c r="AT103" s="56">
        <v>0</v>
      </c>
      <c r="AU103" s="56">
        <v>0</v>
      </c>
      <c r="AV103" s="56">
        <v>0</v>
      </c>
      <c r="AW103" s="56">
        <v>0</v>
      </c>
      <c r="AX103" s="56">
        <v>139477</v>
      </c>
      <c r="AY103" s="56">
        <v>1500</v>
      </c>
      <c r="AZ103" s="1">
        <v>2968125.961739263</v>
      </c>
      <c r="BA103" s="1">
        <v>1513744</v>
      </c>
      <c r="BB103" s="1"/>
      <c r="BC103" s="15">
        <v>2367734</v>
      </c>
      <c r="BD103" s="15">
        <v>4642616</v>
      </c>
      <c r="BE103" s="20">
        <v>7451175</v>
      </c>
      <c r="BF103" s="20">
        <v>7451175</v>
      </c>
      <c r="BG103" s="20">
        <v>36767904</v>
      </c>
      <c r="BH103" s="20">
        <v>33239690</v>
      </c>
      <c r="BI103" s="63"/>
      <c r="BJ103" s="63"/>
      <c r="BK103" s="63"/>
      <c r="BL103" s="5">
        <v>514640762</v>
      </c>
      <c r="BM103" s="5">
        <v>390648710</v>
      </c>
      <c r="BN103" s="15">
        <v>1154306</v>
      </c>
      <c r="BO103" s="5"/>
      <c r="BP103" s="1"/>
      <c r="BQ103" s="1"/>
      <c r="BR103" s="5"/>
      <c r="BS103" s="5"/>
      <c r="BT103" s="5"/>
    </row>
    <row r="104" spans="1:72" x14ac:dyDescent="0.25">
      <c r="A104" s="6" t="s">
        <v>158</v>
      </c>
      <c r="B104" s="56">
        <v>512144892</v>
      </c>
      <c r="C104" s="56">
        <v>95656499</v>
      </c>
      <c r="D104" s="56">
        <v>272918397</v>
      </c>
      <c r="E104" s="56">
        <v>0</v>
      </c>
      <c r="F104" s="56">
        <v>45596775</v>
      </c>
      <c r="G104" s="56">
        <v>10826511</v>
      </c>
      <c r="H104" s="56">
        <v>12973549</v>
      </c>
      <c r="I104" s="56">
        <v>1657200</v>
      </c>
      <c r="J104" s="56">
        <v>72000</v>
      </c>
      <c r="K104" s="56">
        <v>0</v>
      </c>
      <c r="L104" s="56">
        <v>86036006</v>
      </c>
      <c r="M104" s="56">
        <v>1950</v>
      </c>
      <c r="N104" s="56">
        <v>1780</v>
      </c>
      <c r="O104" s="56">
        <v>421</v>
      </c>
      <c r="P104" s="56">
        <v>12241951</v>
      </c>
      <c r="Q104" s="56">
        <v>1944595</v>
      </c>
      <c r="R104" s="56">
        <v>1528766</v>
      </c>
      <c r="S104" s="56">
        <v>5441276</v>
      </c>
      <c r="T104" s="56">
        <v>1031189</v>
      </c>
      <c r="U104" s="56">
        <v>441102</v>
      </c>
      <c r="V104" s="56">
        <v>12241951</v>
      </c>
      <c r="W104" s="56">
        <v>1902352</v>
      </c>
      <c r="X104" s="56">
        <v>1528766</v>
      </c>
      <c r="Y104" s="56">
        <v>5441276</v>
      </c>
      <c r="Z104" s="56">
        <v>1292981</v>
      </c>
      <c r="AA104" s="56">
        <v>441102</v>
      </c>
      <c r="AB104" s="56">
        <v>-2985524</v>
      </c>
      <c r="AC104" s="56">
        <v>-17766</v>
      </c>
      <c r="AD104" s="56">
        <v>0</v>
      </c>
      <c r="AE104" s="56">
        <v>0</v>
      </c>
      <c r="AF104" s="56">
        <v>0</v>
      </c>
      <c r="AG104" s="56">
        <v>0</v>
      </c>
      <c r="AH104" s="56">
        <v>0</v>
      </c>
      <c r="AI104" s="56">
        <v>70803</v>
      </c>
      <c r="AJ104" s="56">
        <v>0</v>
      </c>
      <c r="AK104" s="1">
        <v>115223666</v>
      </c>
      <c r="AL104" s="1">
        <v>5562824</v>
      </c>
      <c r="AM104" s="56">
        <v>1683781</v>
      </c>
      <c r="AN104" s="56">
        <v>42987402</v>
      </c>
      <c r="AO104" s="56">
        <v>5584741</v>
      </c>
      <c r="AP104" s="56">
        <v>57528893</v>
      </c>
      <c r="AQ104" s="56">
        <v>36759706</v>
      </c>
      <c r="AR104" s="56">
        <v>27491487</v>
      </c>
      <c r="AS104" s="56">
        <v>30768205</v>
      </c>
      <c r="AT104" s="56">
        <v>164394</v>
      </c>
      <c r="AU104" s="56">
        <v>54861</v>
      </c>
      <c r="AV104" s="56">
        <v>0</v>
      </c>
      <c r="AW104" s="56">
        <v>4708</v>
      </c>
      <c r="AX104" s="56">
        <v>27438</v>
      </c>
      <c r="AY104" s="56">
        <v>141000</v>
      </c>
      <c r="AZ104" s="1">
        <v>4423128.0693455348</v>
      </c>
      <c r="BA104" s="1">
        <v>2255795</v>
      </c>
      <c r="BB104" s="1"/>
      <c r="BC104" s="15">
        <v>0</v>
      </c>
      <c r="BD104" s="15">
        <v>0</v>
      </c>
      <c r="BE104" s="20">
        <v>21486874</v>
      </c>
      <c r="BF104" s="20">
        <v>21486874</v>
      </c>
      <c r="BG104" s="20">
        <v>50632002</v>
      </c>
      <c r="BH104" s="20">
        <v>50609333</v>
      </c>
      <c r="BI104" s="63"/>
      <c r="BJ104" s="63"/>
      <c r="BK104" s="63"/>
      <c r="BL104" s="5">
        <v>1161260932</v>
      </c>
      <c r="BM104" s="5">
        <v>966122440</v>
      </c>
      <c r="BN104" s="15">
        <v>3817662</v>
      </c>
      <c r="BO104" s="5"/>
      <c r="BP104" s="1"/>
      <c r="BQ104" s="1"/>
      <c r="BR104" s="5"/>
      <c r="BS104" s="5"/>
      <c r="BT104" s="5"/>
    </row>
    <row r="105" spans="1:72" x14ac:dyDescent="0.25">
      <c r="A105" s="6" t="s">
        <v>159</v>
      </c>
      <c r="B105" s="56">
        <v>521449790</v>
      </c>
      <c r="C105" s="56">
        <v>120556157</v>
      </c>
      <c r="D105" s="56">
        <v>150386781</v>
      </c>
      <c r="E105" s="56">
        <v>10000000</v>
      </c>
      <c r="F105" s="56">
        <v>51839100</v>
      </c>
      <c r="G105" s="56">
        <v>14868450</v>
      </c>
      <c r="H105" s="56">
        <v>16186500</v>
      </c>
      <c r="I105" s="56">
        <v>1605300</v>
      </c>
      <c r="J105" s="56">
        <v>105700</v>
      </c>
      <c r="K105" s="56">
        <v>36000</v>
      </c>
      <c r="L105" s="56">
        <v>263029978</v>
      </c>
      <c r="M105" s="56">
        <v>0</v>
      </c>
      <c r="N105" s="56">
        <v>2084</v>
      </c>
      <c r="O105" s="56">
        <v>552</v>
      </c>
      <c r="P105" s="56">
        <v>6265800</v>
      </c>
      <c r="Q105" s="56">
        <v>2347155</v>
      </c>
      <c r="R105" s="56">
        <v>3203100</v>
      </c>
      <c r="S105" s="56">
        <v>9545585</v>
      </c>
      <c r="T105" s="56">
        <v>1199350</v>
      </c>
      <c r="U105" s="56">
        <v>706812</v>
      </c>
      <c r="V105" s="56">
        <v>6265800</v>
      </c>
      <c r="W105" s="56">
        <v>2139375</v>
      </c>
      <c r="X105" s="56">
        <v>3203100</v>
      </c>
      <c r="Y105" s="56">
        <v>9545585</v>
      </c>
      <c r="Z105" s="56">
        <v>3134475</v>
      </c>
      <c r="AA105" s="56">
        <v>706812</v>
      </c>
      <c r="AB105" s="56">
        <v>-2895470</v>
      </c>
      <c r="AC105" s="56">
        <v>-103909</v>
      </c>
      <c r="AD105" s="56">
        <v>48505</v>
      </c>
      <c r="AE105" s="56">
        <v>0</v>
      </c>
      <c r="AF105" s="56">
        <v>0</v>
      </c>
      <c r="AG105" s="56">
        <v>92993</v>
      </c>
      <c r="AH105" s="56">
        <v>389770</v>
      </c>
      <c r="AI105" s="56">
        <v>0</v>
      </c>
      <c r="AJ105" s="56">
        <v>0</v>
      </c>
      <c r="AK105" s="1">
        <v>95402910</v>
      </c>
      <c r="AL105" s="1">
        <v>19499508</v>
      </c>
      <c r="AM105" s="56">
        <v>30281356</v>
      </c>
      <c r="AN105" s="56">
        <v>49990525</v>
      </c>
      <c r="AO105" s="56">
        <v>7430390</v>
      </c>
      <c r="AP105" s="56">
        <v>80930641</v>
      </c>
      <c r="AQ105" s="56">
        <v>23721671</v>
      </c>
      <c r="AR105" s="56">
        <v>68114101</v>
      </c>
      <c r="AS105" s="56">
        <v>7654335</v>
      </c>
      <c r="AT105" s="56">
        <v>0</v>
      </c>
      <c r="AU105" s="56">
        <v>0</v>
      </c>
      <c r="AV105" s="56">
        <v>0</v>
      </c>
      <c r="AW105" s="56">
        <v>0</v>
      </c>
      <c r="AX105" s="56">
        <v>6000</v>
      </c>
      <c r="AY105" s="56">
        <v>3342000</v>
      </c>
      <c r="AZ105" s="1">
        <v>3662262.3091878179</v>
      </c>
      <c r="BA105" s="1">
        <v>1867754</v>
      </c>
      <c r="BB105" s="1"/>
      <c r="BC105" s="15">
        <v>0</v>
      </c>
      <c r="BD105" s="15">
        <v>0</v>
      </c>
      <c r="BE105" s="20">
        <v>2954635</v>
      </c>
      <c r="BF105" s="20">
        <v>2954635</v>
      </c>
      <c r="BG105" s="20">
        <v>66676287</v>
      </c>
      <c r="BH105" s="20">
        <v>66519751</v>
      </c>
      <c r="BI105" s="63"/>
      <c r="BJ105" s="63"/>
      <c r="BK105" s="63"/>
      <c r="BL105" s="5">
        <v>1060169642</v>
      </c>
      <c r="BM105" s="5">
        <v>873925084</v>
      </c>
      <c r="BN105" s="15">
        <v>4898500</v>
      </c>
      <c r="BO105" s="5"/>
      <c r="BP105" s="1"/>
      <c r="BQ105" s="1"/>
      <c r="BR105" s="5"/>
      <c r="BS105" s="5"/>
      <c r="BT105" s="5"/>
    </row>
    <row r="106" spans="1:72" x14ac:dyDescent="0.25">
      <c r="A106" s="6" t="s">
        <v>160</v>
      </c>
      <c r="B106" s="56">
        <v>2251398897</v>
      </c>
      <c r="C106" s="56">
        <v>292307715</v>
      </c>
      <c r="D106" s="56">
        <v>890195091</v>
      </c>
      <c r="E106" s="56">
        <v>0</v>
      </c>
      <c r="F106" s="56">
        <v>78732467</v>
      </c>
      <c r="G106" s="56">
        <v>9294871</v>
      </c>
      <c r="H106" s="56">
        <v>13948446</v>
      </c>
      <c r="I106" s="56">
        <v>1002930</v>
      </c>
      <c r="J106" s="56">
        <v>0</v>
      </c>
      <c r="K106" s="56">
        <v>0</v>
      </c>
      <c r="L106" s="56">
        <v>584325444</v>
      </c>
      <c r="M106" s="56">
        <v>227686656</v>
      </c>
      <c r="N106" s="56">
        <v>2612</v>
      </c>
      <c r="O106" s="56">
        <v>293</v>
      </c>
      <c r="P106" s="56">
        <v>32711285</v>
      </c>
      <c r="Q106" s="56">
        <v>4576670</v>
      </c>
      <c r="R106" s="56">
        <v>73350031</v>
      </c>
      <c r="S106" s="56">
        <v>2603398</v>
      </c>
      <c r="T106" s="56">
        <v>1146071</v>
      </c>
      <c r="U106" s="56">
        <v>37110673</v>
      </c>
      <c r="V106" s="56">
        <v>32711285</v>
      </c>
      <c r="W106" s="56">
        <v>4791000</v>
      </c>
      <c r="X106" s="56">
        <v>73350031</v>
      </c>
      <c r="Y106" s="56">
        <v>2603398</v>
      </c>
      <c r="Z106" s="56">
        <v>1416910</v>
      </c>
      <c r="AA106" s="56">
        <v>37110673</v>
      </c>
      <c r="AB106" s="56">
        <v>2229974</v>
      </c>
      <c r="AC106" s="56">
        <v>-391643</v>
      </c>
      <c r="AD106" s="56">
        <v>0</v>
      </c>
      <c r="AE106" s="56">
        <v>0</v>
      </c>
      <c r="AF106" s="56">
        <v>0</v>
      </c>
      <c r="AG106" s="56">
        <v>149484</v>
      </c>
      <c r="AH106" s="56">
        <v>0</v>
      </c>
      <c r="AI106" s="56">
        <v>305566</v>
      </c>
      <c r="AJ106" s="56">
        <v>0</v>
      </c>
      <c r="AK106" s="1">
        <v>354165675</v>
      </c>
      <c r="AL106" s="1">
        <v>6178777</v>
      </c>
      <c r="AM106" s="56">
        <v>0</v>
      </c>
      <c r="AN106" s="56">
        <v>88537106</v>
      </c>
      <c r="AO106" s="56">
        <v>11831861</v>
      </c>
      <c r="AP106" s="56">
        <v>224483159</v>
      </c>
      <c r="AQ106" s="56">
        <v>112329961</v>
      </c>
      <c r="AR106" s="56">
        <v>88335969</v>
      </c>
      <c r="AS106" s="56">
        <v>45524430</v>
      </c>
      <c r="AT106" s="56">
        <v>1174333105</v>
      </c>
      <c r="AU106" s="56">
        <v>0</v>
      </c>
      <c r="AV106" s="56">
        <v>20026</v>
      </c>
      <c r="AW106" s="56">
        <v>819286</v>
      </c>
      <c r="AX106" s="56">
        <v>5088439</v>
      </c>
      <c r="AY106" s="56">
        <v>2990920</v>
      </c>
      <c r="AZ106" s="1">
        <v>13595472.116736924</v>
      </c>
      <c r="BA106" s="1">
        <v>6933691</v>
      </c>
      <c r="BB106" s="1"/>
      <c r="BC106" s="15">
        <v>3756547</v>
      </c>
      <c r="BD106" s="15">
        <v>7365778</v>
      </c>
      <c r="BE106" s="20">
        <v>83766535</v>
      </c>
      <c r="BF106" s="20">
        <v>83636539</v>
      </c>
      <c r="BG106" s="20">
        <v>63086416</v>
      </c>
      <c r="BH106" s="20">
        <v>58273093</v>
      </c>
      <c r="BI106" s="63"/>
      <c r="BJ106" s="63"/>
      <c r="BK106" s="63"/>
      <c r="BL106" s="5">
        <v>4159850519</v>
      </c>
      <c r="BM106" s="5">
        <v>3646906197</v>
      </c>
      <c r="BN106" s="15">
        <v>2882255</v>
      </c>
      <c r="BO106" s="5"/>
      <c r="BP106" s="1"/>
      <c r="BQ106" s="1"/>
      <c r="BR106" s="5"/>
      <c r="BS106" s="5"/>
      <c r="BT106" s="5"/>
    </row>
    <row r="107" spans="1:72" x14ac:dyDescent="0.25">
      <c r="A107" s="6" t="s">
        <v>161</v>
      </c>
      <c r="B107" s="56">
        <v>1735326605</v>
      </c>
      <c r="C107" s="56">
        <v>442107218</v>
      </c>
      <c r="D107" s="56">
        <v>440099135</v>
      </c>
      <c r="E107" s="56">
        <v>0</v>
      </c>
      <c r="F107" s="56">
        <v>84673861</v>
      </c>
      <c r="G107" s="56">
        <v>10176100</v>
      </c>
      <c r="H107" s="56">
        <v>21051200</v>
      </c>
      <c r="I107" s="56">
        <v>1428500</v>
      </c>
      <c r="J107" s="56">
        <v>72000</v>
      </c>
      <c r="K107" s="56">
        <v>0</v>
      </c>
      <c r="L107" s="56">
        <v>767216192</v>
      </c>
      <c r="M107" s="56">
        <v>296840225</v>
      </c>
      <c r="N107" s="56">
        <v>2962</v>
      </c>
      <c r="O107" s="56">
        <v>326</v>
      </c>
      <c r="P107" s="56">
        <v>12875968</v>
      </c>
      <c r="Q107" s="56">
        <v>2550225</v>
      </c>
      <c r="R107" s="56">
        <v>295000</v>
      </c>
      <c r="S107" s="56">
        <v>21591728</v>
      </c>
      <c r="T107" s="56">
        <v>2933947</v>
      </c>
      <c r="U107" s="56">
        <v>14263544</v>
      </c>
      <c r="V107" s="56">
        <v>12875968</v>
      </c>
      <c r="W107" s="56">
        <v>2781751</v>
      </c>
      <c r="X107" s="56">
        <v>295000</v>
      </c>
      <c r="Y107" s="56">
        <v>21591728</v>
      </c>
      <c r="Z107" s="56">
        <v>6060546</v>
      </c>
      <c r="AA107" s="56">
        <v>14263544</v>
      </c>
      <c r="AB107" s="56">
        <v>-9709274</v>
      </c>
      <c r="AC107" s="56">
        <v>-7219072</v>
      </c>
      <c r="AD107" s="56">
        <v>0</v>
      </c>
      <c r="AE107" s="56">
        <v>0</v>
      </c>
      <c r="AF107" s="56">
        <v>58239630</v>
      </c>
      <c r="AG107" s="56">
        <v>234770</v>
      </c>
      <c r="AH107" s="56">
        <v>0</v>
      </c>
      <c r="AI107" s="56">
        <v>0</v>
      </c>
      <c r="AJ107" s="56">
        <v>0</v>
      </c>
      <c r="AK107" s="1">
        <v>287679728</v>
      </c>
      <c r="AL107" s="1">
        <v>5849247</v>
      </c>
      <c r="AM107" s="56">
        <v>34430</v>
      </c>
      <c r="AN107" s="56">
        <v>112033809</v>
      </c>
      <c r="AO107" s="56">
        <v>9843972</v>
      </c>
      <c r="AP107" s="56">
        <v>324643610</v>
      </c>
      <c r="AQ107" s="56">
        <v>110246237</v>
      </c>
      <c r="AR107" s="56">
        <v>106525630</v>
      </c>
      <c r="AS107" s="56">
        <v>27270840</v>
      </c>
      <c r="AT107" s="56">
        <v>2995669</v>
      </c>
      <c r="AU107" s="56">
        <v>0</v>
      </c>
      <c r="AV107" s="56">
        <v>0</v>
      </c>
      <c r="AW107" s="56">
        <v>12863929</v>
      </c>
      <c r="AX107" s="56">
        <v>907342</v>
      </c>
      <c r="AY107" s="56">
        <v>618160</v>
      </c>
      <c r="AZ107" s="1">
        <v>11043254.602734899</v>
      </c>
      <c r="BA107" s="1">
        <v>5632060</v>
      </c>
      <c r="BB107" s="1"/>
      <c r="BC107" s="15">
        <v>4393110</v>
      </c>
      <c r="BD107" s="15">
        <v>8613941</v>
      </c>
      <c r="BE107" s="20">
        <v>52711343</v>
      </c>
      <c r="BF107" s="20">
        <v>50577097</v>
      </c>
      <c r="BG107" s="20">
        <v>135542076</v>
      </c>
      <c r="BH107" s="20">
        <v>132647995</v>
      </c>
      <c r="BI107" s="63"/>
      <c r="BJ107" s="63"/>
      <c r="BK107" s="63"/>
      <c r="BL107" s="5">
        <v>3336436213</v>
      </c>
      <c r="BM107" s="5">
        <v>2849656976</v>
      </c>
      <c r="BN107" s="15">
        <v>1940564</v>
      </c>
      <c r="BO107" s="5"/>
      <c r="BP107" s="1"/>
      <c r="BQ107" s="1"/>
      <c r="BR107" s="5"/>
      <c r="BS107" s="5"/>
      <c r="BT107" s="5"/>
    </row>
    <row r="108" spans="1:72" x14ac:dyDescent="0.25">
      <c r="A108" s="6" t="s">
        <v>162</v>
      </c>
      <c r="B108" s="56">
        <v>514877345</v>
      </c>
      <c r="C108" s="56">
        <v>175765650</v>
      </c>
      <c r="D108" s="56">
        <v>299807082</v>
      </c>
      <c r="E108" s="56">
        <v>2073902</v>
      </c>
      <c r="F108" s="56">
        <v>45028215</v>
      </c>
      <c r="G108" s="56">
        <v>5299900</v>
      </c>
      <c r="H108" s="56">
        <v>7465000</v>
      </c>
      <c r="I108" s="56">
        <v>576000</v>
      </c>
      <c r="J108" s="56">
        <v>36000</v>
      </c>
      <c r="K108" s="56">
        <v>0</v>
      </c>
      <c r="L108" s="56">
        <v>365670573</v>
      </c>
      <c r="M108" s="56">
        <v>89792225</v>
      </c>
      <c r="N108" s="56">
        <v>1499</v>
      </c>
      <c r="O108" s="56">
        <v>171</v>
      </c>
      <c r="P108" s="56">
        <v>13215831</v>
      </c>
      <c r="Q108" s="56">
        <v>2655000</v>
      </c>
      <c r="R108" s="56">
        <v>3421043</v>
      </c>
      <c r="S108" s="56">
        <v>5151717</v>
      </c>
      <c r="T108" s="56">
        <v>2521500</v>
      </c>
      <c r="U108" s="56">
        <v>7408031</v>
      </c>
      <c r="V108" s="56">
        <v>13215831</v>
      </c>
      <c r="W108" s="56">
        <v>3196650</v>
      </c>
      <c r="X108" s="56">
        <v>3421043</v>
      </c>
      <c r="Y108" s="56">
        <v>5151717</v>
      </c>
      <c r="Z108" s="56">
        <v>2489685</v>
      </c>
      <c r="AA108" s="56">
        <v>7408031</v>
      </c>
      <c r="AB108" s="56">
        <v>-4007957</v>
      </c>
      <c r="AC108" s="56">
        <v>-35465331</v>
      </c>
      <c r="AD108" s="56">
        <v>0</v>
      </c>
      <c r="AE108" s="56">
        <v>0</v>
      </c>
      <c r="AF108" s="56">
        <v>0</v>
      </c>
      <c r="AG108" s="56">
        <v>0</v>
      </c>
      <c r="AH108" s="56">
        <v>115525</v>
      </c>
      <c r="AI108" s="56">
        <v>170443</v>
      </c>
      <c r="AJ108" s="56">
        <v>0</v>
      </c>
      <c r="AK108" s="1">
        <v>105102853</v>
      </c>
      <c r="AL108" s="1">
        <v>2359232</v>
      </c>
      <c r="AM108" s="56">
        <v>0</v>
      </c>
      <c r="AN108" s="56">
        <v>46510644</v>
      </c>
      <c r="AO108" s="56">
        <v>5180630</v>
      </c>
      <c r="AP108" s="56">
        <v>240838966</v>
      </c>
      <c r="AQ108" s="56">
        <v>75683865</v>
      </c>
      <c r="AR108" s="56">
        <v>102576313</v>
      </c>
      <c r="AS108" s="56">
        <v>29633314</v>
      </c>
      <c r="AT108" s="56">
        <v>25302237</v>
      </c>
      <c r="AU108" s="56">
        <v>0</v>
      </c>
      <c r="AV108" s="56">
        <v>8625300</v>
      </c>
      <c r="AW108" s="56">
        <v>5291822</v>
      </c>
      <c r="AX108" s="56">
        <v>1093462</v>
      </c>
      <c r="AY108" s="56">
        <v>89500</v>
      </c>
      <c r="AZ108" s="1">
        <v>4034617.1529779104</v>
      </c>
      <c r="BA108" s="1">
        <v>2057655</v>
      </c>
      <c r="BB108" s="1"/>
      <c r="BC108" s="15">
        <v>850317</v>
      </c>
      <c r="BD108" s="15">
        <v>1667289</v>
      </c>
      <c r="BE108" s="20">
        <v>11967322</v>
      </c>
      <c r="BF108" s="20">
        <v>11967322</v>
      </c>
      <c r="BG108" s="20">
        <v>22395541</v>
      </c>
      <c r="BH108" s="20">
        <v>20368918</v>
      </c>
      <c r="BI108" s="63"/>
      <c r="BJ108" s="63">
        <v>4464253</v>
      </c>
      <c r="BK108" s="63"/>
      <c r="BL108" s="5">
        <v>1265281734</v>
      </c>
      <c r="BM108" s="5">
        <v>1118111184</v>
      </c>
      <c r="BN108" s="15">
        <v>1753478</v>
      </c>
      <c r="BO108" s="5"/>
      <c r="BP108" s="1"/>
      <c r="BQ108" s="1"/>
      <c r="BR108" s="5"/>
      <c r="BS108" s="5"/>
      <c r="BT108" s="5"/>
    </row>
    <row r="109" spans="1:72" x14ac:dyDescent="0.25">
      <c r="A109" s="6" t="s">
        <v>163</v>
      </c>
      <c r="B109" s="56">
        <v>797523159</v>
      </c>
      <c r="C109" s="56">
        <v>162769187</v>
      </c>
      <c r="D109" s="56">
        <v>52536877</v>
      </c>
      <c r="E109" s="56">
        <v>0</v>
      </c>
      <c r="F109" s="56">
        <v>32269825</v>
      </c>
      <c r="G109" s="56">
        <v>5998150</v>
      </c>
      <c r="H109" s="56">
        <v>8811644</v>
      </c>
      <c r="I109" s="56">
        <v>1339500</v>
      </c>
      <c r="J109" s="56">
        <v>61000</v>
      </c>
      <c r="K109" s="56">
        <v>0</v>
      </c>
      <c r="L109" s="56">
        <v>185506248</v>
      </c>
      <c r="M109" s="56">
        <v>117004776</v>
      </c>
      <c r="N109" s="56">
        <v>1163</v>
      </c>
      <c r="O109" s="56">
        <v>216</v>
      </c>
      <c r="P109" s="56">
        <v>8885506</v>
      </c>
      <c r="Q109" s="56">
        <v>3529765</v>
      </c>
      <c r="R109" s="56">
        <v>222700</v>
      </c>
      <c r="S109" s="56">
        <v>6792986</v>
      </c>
      <c r="T109" s="56">
        <v>1676736</v>
      </c>
      <c r="U109" s="56">
        <v>4322700</v>
      </c>
      <c r="V109" s="56">
        <v>8885506</v>
      </c>
      <c r="W109" s="56">
        <v>4038980</v>
      </c>
      <c r="X109" s="56">
        <v>222700</v>
      </c>
      <c r="Y109" s="56">
        <v>6792986</v>
      </c>
      <c r="Z109" s="56">
        <v>1922373</v>
      </c>
      <c r="AA109" s="56">
        <v>4322700</v>
      </c>
      <c r="AB109" s="56">
        <v>-5247829</v>
      </c>
      <c r="AC109" s="56">
        <v>-69640</v>
      </c>
      <c r="AD109" s="56">
        <v>21186</v>
      </c>
      <c r="AE109" s="56">
        <v>0</v>
      </c>
      <c r="AF109" s="56">
        <v>176527280</v>
      </c>
      <c r="AG109" s="56">
        <v>93357</v>
      </c>
      <c r="AH109" s="56">
        <v>0</v>
      </c>
      <c r="AI109" s="56">
        <v>0</v>
      </c>
      <c r="AJ109" s="56">
        <v>0</v>
      </c>
      <c r="AK109" s="1">
        <v>120988896</v>
      </c>
      <c r="AL109" s="1">
        <v>7681288</v>
      </c>
      <c r="AM109" s="56">
        <v>796491</v>
      </c>
      <c r="AN109" s="56">
        <v>6902144</v>
      </c>
      <c r="AO109" s="56">
        <v>92448</v>
      </c>
      <c r="AP109" s="56">
        <v>143293</v>
      </c>
      <c r="AQ109" s="56">
        <v>2905346</v>
      </c>
      <c r="AR109" s="56">
        <v>261577</v>
      </c>
      <c r="AS109" s="56">
        <v>0</v>
      </c>
      <c r="AT109" s="56">
        <v>996739</v>
      </c>
      <c r="AU109" s="56">
        <v>0</v>
      </c>
      <c r="AV109" s="56">
        <v>0</v>
      </c>
      <c r="AW109" s="56">
        <v>0</v>
      </c>
      <c r="AX109" s="56">
        <v>6771</v>
      </c>
      <c r="AY109" s="56">
        <v>120500</v>
      </c>
      <c r="AZ109" s="1">
        <v>4644439.8147922819</v>
      </c>
      <c r="BA109" s="1">
        <v>2368664</v>
      </c>
      <c r="BB109" s="1"/>
      <c r="BC109" s="15">
        <v>0</v>
      </c>
      <c r="BD109" s="15">
        <v>0</v>
      </c>
      <c r="BE109" s="20">
        <v>2804680</v>
      </c>
      <c r="BF109" s="20">
        <v>2804680</v>
      </c>
      <c r="BG109" s="20">
        <v>18618549</v>
      </c>
      <c r="BH109" s="20">
        <v>18608069</v>
      </c>
      <c r="BI109" s="63"/>
      <c r="BJ109" s="63"/>
      <c r="BK109" s="63"/>
      <c r="BL109" s="5">
        <v>1175180758</v>
      </c>
      <c r="BM109" s="5">
        <v>1022729161</v>
      </c>
      <c r="BN109" s="15">
        <v>158413</v>
      </c>
      <c r="BO109" s="5"/>
      <c r="BP109" s="1"/>
      <c r="BQ109" s="1"/>
      <c r="BR109" s="5"/>
      <c r="BS109" s="5"/>
      <c r="BT109" s="5"/>
    </row>
    <row r="110" spans="1:72" x14ac:dyDescent="0.25">
      <c r="A110" s="6" t="s">
        <v>164</v>
      </c>
      <c r="B110" s="56">
        <v>578497949</v>
      </c>
      <c r="C110" s="56">
        <v>126328963</v>
      </c>
      <c r="D110" s="56">
        <v>264880439</v>
      </c>
      <c r="E110" s="56">
        <v>0</v>
      </c>
      <c r="F110" s="56">
        <v>66460575</v>
      </c>
      <c r="G110" s="56">
        <v>15551871</v>
      </c>
      <c r="H110" s="56">
        <v>13631850</v>
      </c>
      <c r="I110" s="56">
        <v>1564728</v>
      </c>
      <c r="J110" s="56">
        <v>169000</v>
      </c>
      <c r="K110" s="56">
        <v>72000</v>
      </c>
      <c r="L110" s="56">
        <v>264337109</v>
      </c>
      <c r="M110" s="56">
        <v>90622805</v>
      </c>
      <c r="N110" s="56">
        <v>2323</v>
      </c>
      <c r="O110" s="56">
        <v>521</v>
      </c>
      <c r="P110" s="56">
        <v>2768074</v>
      </c>
      <c r="Q110" s="56">
        <v>1424175</v>
      </c>
      <c r="R110" s="56">
        <v>3812962</v>
      </c>
      <c r="S110" s="56">
        <v>3398941</v>
      </c>
      <c r="T110" s="56">
        <v>204297</v>
      </c>
      <c r="U110" s="56">
        <v>2413661</v>
      </c>
      <c r="V110" s="56">
        <v>2768074</v>
      </c>
      <c r="W110" s="56">
        <v>1572994</v>
      </c>
      <c r="X110" s="56">
        <v>3812962</v>
      </c>
      <c r="Y110" s="56">
        <v>3398941</v>
      </c>
      <c r="Z110" s="56">
        <v>2300553</v>
      </c>
      <c r="AA110" s="56">
        <v>2413661</v>
      </c>
      <c r="AB110" s="56">
        <v>-5292371</v>
      </c>
      <c r="AC110" s="56">
        <v>-2471</v>
      </c>
      <c r="AD110" s="56">
        <v>49634</v>
      </c>
      <c r="AE110" s="56">
        <v>0</v>
      </c>
      <c r="AF110" s="56">
        <v>0</v>
      </c>
      <c r="AG110" s="56">
        <v>181276</v>
      </c>
      <c r="AH110" s="56">
        <v>0</v>
      </c>
      <c r="AI110" s="56">
        <v>3607</v>
      </c>
      <c r="AJ110" s="56">
        <v>0</v>
      </c>
      <c r="AK110" s="1">
        <v>132046451</v>
      </c>
      <c r="AL110" s="1">
        <v>6090166</v>
      </c>
      <c r="AM110" s="56">
        <v>9055944</v>
      </c>
      <c r="AN110" s="56">
        <v>53741245</v>
      </c>
      <c r="AO110" s="56">
        <v>1140879</v>
      </c>
      <c r="AP110" s="56">
        <v>37290006</v>
      </c>
      <c r="AQ110" s="56">
        <v>37294044</v>
      </c>
      <c r="AR110" s="56">
        <v>24985855</v>
      </c>
      <c r="AS110" s="56">
        <v>28460194</v>
      </c>
      <c r="AT110" s="56">
        <v>396250</v>
      </c>
      <c r="AU110" s="56">
        <v>0</v>
      </c>
      <c r="AV110" s="56">
        <v>0</v>
      </c>
      <c r="AW110" s="56">
        <v>7727</v>
      </c>
      <c r="AX110" s="56">
        <v>13858</v>
      </c>
      <c r="AY110" s="56">
        <v>603000</v>
      </c>
      <c r="AZ110" s="1">
        <v>5068909.7487625489</v>
      </c>
      <c r="BA110" s="1">
        <v>2585144</v>
      </c>
      <c r="BB110" s="1"/>
      <c r="BC110" s="15">
        <v>0</v>
      </c>
      <c r="BD110" s="15">
        <v>0</v>
      </c>
      <c r="BE110" s="20">
        <v>15780877</v>
      </c>
      <c r="BF110" s="20">
        <v>15780877</v>
      </c>
      <c r="BG110" s="20">
        <v>52212432</v>
      </c>
      <c r="BH110" s="20">
        <v>51568838</v>
      </c>
      <c r="BI110" s="63"/>
      <c r="BJ110" s="63"/>
      <c r="BK110" s="63"/>
      <c r="BL110" s="5">
        <v>1269958602</v>
      </c>
      <c r="BM110" s="5">
        <v>1061887126</v>
      </c>
      <c r="BN110" s="15">
        <v>1441000</v>
      </c>
      <c r="BO110" s="5"/>
      <c r="BP110" s="1"/>
      <c r="BQ110" s="1"/>
      <c r="BR110" s="5"/>
      <c r="BS110" s="5"/>
      <c r="BT110" s="5"/>
    </row>
    <row r="111" spans="1:72" x14ac:dyDescent="0.25">
      <c r="A111" s="6" t="s">
        <v>165</v>
      </c>
      <c r="B111" s="56">
        <v>205399654</v>
      </c>
      <c r="C111" s="56">
        <v>158033160</v>
      </c>
      <c r="D111" s="56">
        <v>64934747</v>
      </c>
      <c r="E111" s="56">
        <v>0</v>
      </c>
      <c r="F111" s="56">
        <v>28485880</v>
      </c>
      <c r="G111" s="56">
        <v>4767469</v>
      </c>
      <c r="H111" s="56">
        <v>9193148</v>
      </c>
      <c r="I111" s="56">
        <v>317841</v>
      </c>
      <c r="J111" s="56">
        <v>0</v>
      </c>
      <c r="K111" s="56">
        <v>0</v>
      </c>
      <c r="L111" s="56">
        <v>543199909</v>
      </c>
      <c r="M111" s="56">
        <v>61442453</v>
      </c>
      <c r="N111" s="56">
        <v>1122</v>
      </c>
      <c r="O111" s="56">
        <v>169</v>
      </c>
      <c r="P111" s="56">
        <v>2786055</v>
      </c>
      <c r="Q111" s="56">
        <v>525835</v>
      </c>
      <c r="R111" s="56">
        <v>222000</v>
      </c>
      <c r="S111" s="56">
        <v>1296557</v>
      </c>
      <c r="T111" s="56">
        <v>0</v>
      </c>
      <c r="U111" s="56">
        <v>3430</v>
      </c>
      <c r="V111" s="56">
        <v>2786055</v>
      </c>
      <c r="W111" s="56">
        <v>0</v>
      </c>
      <c r="X111" s="56">
        <v>222000</v>
      </c>
      <c r="Y111" s="56">
        <v>1296557</v>
      </c>
      <c r="Z111" s="56">
        <v>147151</v>
      </c>
      <c r="AA111" s="56">
        <v>3430</v>
      </c>
      <c r="AB111" s="56">
        <v>-1012292</v>
      </c>
      <c r="AC111" s="56">
        <v>-9498</v>
      </c>
      <c r="AD111" s="56">
        <v>70234</v>
      </c>
      <c r="AE111" s="56">
        <v>105176</v>
      </c>
      <c r="AF111" s="56">
        <v>88657623</v>
      </c>
      <c r="AG111" s="56">
        <v>227171</v>
      </c>
      <c r="AH111" s="56">
        <v>256672</v>
      </c>
      <c r="AI111" s="56">
        <v>268320</v>
      </c>
      <c r="AJ111" s="56">
        <v>0</v>
      </c>
      <c r="AK111" s="1">
        <v>66958400</v>
      </c>
      <c r="AL111" s="1">
        <v>1163433</v>
      </c>
      <c r="AM111" s="56">
        <v>0</v>
      </c>
      <c r="AN111" s="56">
        <v>15608472</v>
      </c>
      <c r="AO111" s="56">
        <v>819837</v>
      </c>
      <c r="AP111" s="56">
        <v>11366032</v>
      </c>
      <c r="AQ111" s="56">
        <v>15397764</v>
      </c>
      <c r="AR111" s="56">
        <v>10249200</v>
      </c>
      <c r="AS111" s="56">
        <v>10442</v>
      </c>
      <c r="AT111" s="56">
        <v>1018444</v>
      </c>
      <c r="AU111" s="56">
        <v>0</v>
      </c>
      <c r="AV111" s="56">
        <v>12108915</v>
      </c>
      <c r="AW111" s="56">
        <v>5235738</v>
      </c>
      <c r="AX111" s="56">
        <v>38690</v>
      </c>
      <c r="AY111" s="56">
        <v>249500</v>
      </c>
      <c r="AZ111" s="1">
        <v>2570353.7198553123</v>
      </c>
      <c r="BA111" s="1">
        <v>1310880</v>
      </c>
      <c r="BB111" s="1"/>
      <c r="BC111" s="15">
        <v>1305425</v>
      </c>
      <c r="BD111" s="15">
        <v>2559657</v>
      </c>
      <c r="BE111" s="20">
        <v>9788039</v>
      </c>
      <c r="BF111" s="20">
        <v>9788039</v>
      </c>
      <c r="BG111" s="20">
        <v>44948142</v>
      </c>
      <c r="BH111" s="20">
        <v>34411470</v>
      </c>
      <c r="BI111" s="63"/>
      <c r="BJ111" s="63"/>
      <c r="BK111" s="63"/>
      <c r="BL111" s="5">
        <v>575656273</v>
      </c>
      <c r="BM111" s="5">
        <v>460718626</v>
      </c>
      <c r="BN111" s="15">
        <v>900372</v>
      </c>
      <c r="BO111" s="5"/>
      <c r="BP111" s="1"/>
      <c r="BQ111" s="1"/>
      <c r="BR111" s="5"/>
      <c r="BS111" s="5"/>
      <c r="BT111" s="5"/>
    </row>
    <row r="112" spans="1:72" x14ac:dyDescent="0.25">
      <c r="A112" s="6" t="s">
        <v>166</v>
      </c>
      <c r="B112" s="56">
        <v>599657875</v>
      </c>
      <c r="C112" s="56">
        <v>93002772</v>
      </c>
      <c r="D112" s="56">
        <v>78987813</v>
      </c>
      <c r="E112" s="56">
        <v>0</v>
      </c>
      <c r="F112" s="56">
        <v>46913125</v>
      </c>
      <c r="G112" s="56">
        <v>8093575</v>
      </c>
      <c r="H112" s="56">
        <v>5648914</v>
      </c>
      <c r="I112" s="56">
        <v>499000</v>
      </c>
      <c r="J112" s="56">
        <v>105000</v>
      </c>
      <c r="K112" s="56">
        <v>72000</v>
      </c>
      <c r="L112" s="56">
        <v>493666080</v>
      </c>
      <c r="M112" s="56">
        <v>55433422</v>
      </c>
      <c r="N112" s="56">
        <v>1571</v>
      </c>
      <c r="O112" s="56">
        <v>282</v>
      </c>
      <c r="P112" s="56">
        <v>6205207</v>
      </c>
      <c r="Q112" s="56">
        <v>1859200</v>
      </c>
      <c r="R112" s="56">
        <v>585000</v>
      </c>
      <c r="S112" s="56">
        <v>2493844</v>
      </c>
      <c r="T112" s="56">
        <v>0</v>
      </c>
      <c r="U112" s="56">
        <v>535500</v>
      </c>
      <c r="V112" s="56">
        <v>6205207</v>
      </c>
      <c r="W112" s="56">
        <v>0</v>
      </c>
      <c r="X112" s="56">
        <v>585000</v>
      </c>
      <c r="Y112" s="56">
        <v>2493844</v>
      </c>
      <c r="Z112" s="56">
        <v>1469244</v>
      </c>
      <c r="AA112" s="56">
        <v>535500</v>
      </c>
      <c r="AB112" s="56">
        <v>-2550586</v>
      </c>
      <c r="AC112" s="56">
        <v>-74241</v>
      </c>
      <c r="AD112" s="56">
        <v>67712</v>
      </c>
      <c r="AE112" s="56">
        <v>0</v>
      </c>
      <c r="AF112" s="56">
        <v>0</v>
      </c>
      <c r="AG112" s="56">
        <v>347</v>
      </c>
      <c r="AH112" s="56">
        <v>0</v>
      </c>
      <c r="AI112" s="56">
        <v>144984</v>
      </c>
      <c r="AJ112" s="56">
        <v>0</v>
      </c>
      <c r="AK112" s="1">
        <v>90990927</v>
      </c>
      <c r="AL112" s="1">
        <v>14666893</v>
      </c>
      <c r="AM112" s="56">
        <v>3246982</v>
      </c>
      <c r="AN112" s="56">
        <v>13032010</v>
      </c>
      <c r="AO112" s="56">
        <v>1003883</v>
      </c>
      <c r="AP112" s="56">
        <v>17239116</v>
      </c>
      <c r="AQ112" s="56">
        <v>14223515</v>
      </c>
      <c r="AR112" s="56">
        <v>8698314</v>
      </c>
      <c r="AS112" s="56">
        <v>0</v>
      </c>
      <c r="AT112" s="56">
        <v>1435885</v>
      </c>
      <c r="AU112" s="56">
        <v>0</v>
      </c>
      <c r="AV112" s="56">
        <v>6002</v>
      </c>
      <c r="AW112" s="56">
        <v>145958286</v>
      </c>
      <c r="AX112" s="56">
        <v>6000</v>
      </c>
      <c r="AY112" s="56">
        <v>103000</v>
      </c>
      <c r="AZ112" s="1">
        <v>3492898.0932569057</v>
      </c>
      <c r="BA112" s="1">
        <v>1781378</v>
      </c>
      <c r="BB112" s="1">
        <v>24617875.649999999</v>
      </c>
      <c r="BC112" s="15">
        <v>0</v>
      </c>
      <c r="BD112" s="15">
        <v>0</v>
      </c>
      <c r="BE112" s="20">
        <v>3480223</v>
      </c>
      <c r="BF112" s="20">
        <v>3480223</v>
      </c>
      <c r="BG112" s="20">
        <v>23021354</v>
      </c>
      <c r="BH112" s="20">
        <v>22886190</v>
      </c>
      <c r="BI112" s="63"/>
      <c r="BJ112" s="63"/>
      <c r="BK112" s="63"/>
      <c r="BL112" s="5">
        <v>933858463</v>
      </c>
      <c r="BM112" s="5">
        <v>800052852</v>
      </c>
      <c r="BN112" s="15">
        <v>674237</v>
      </c>
      <c r="BO112" s="5"/>
      <c r="BP112" s="1"/>
      <c r="BQ112" s="1"/>
      <c r="BR112" s="5"/>
      <c r="BS112" s="5"/>
      <c r="BT112" s="5"/>
    </row>
    <row r="113" spans="1:72" x14ac:dyDescent="0.25">
      <c r="A113" s="6" t="s">
        <v>167</v>
      </c>
      <c r="B113" s="56">
        <v>191492200</v>
      </c>
      <c r="C113" s="56">
        <v>83281600</v>
      </c>
      <c r="D113" s="56">
        <v>19955300</v>
      </c>
      <c r="E113" s="56">
        <v>0</v>
      </c>
      <c r="F113" s="56">
        <v>18099200</v>
      </c>
      <c r="G113" s="56">
        <v>4596100</v>
      </c>
      <c r="H113" s="56">
        <v>7027100</v>
      </c>
      <c r="I113" s="56">
        <v>624300</v>
      </c>
      <c r="J113" s="56">
        <v>36000</v>
      </c>
      <c r="K113" s="56">
        <v>0</v>
      </c>
      <c r="L113" s="56">
        <v>155132900</v>
      </c>
      <c r="M113" s="56">
        <v>63748700</v>
      </c>
      <c r="N113" s="56">
        <v>733</v>
      </c>
      <c r="O113" s="56">
        <v>165</v>
      </c>
      <c r="P113" s="56">
        <v>2088000</v>
      </c>
      <c r="Q113" s="56">
        <v>887700</v>
      </c>
      <c r="R113" s="56">
        <v>138500</v>
      </c>
      <c r="S113" s="56">
        <v>2459100</v>
      </c>
      <c r="T113" s="56">
        <v>3221300</v>
      </c>
      <c r="U113" s="56">
        <v>29800</v>
      </c>
      <c r="V113" s="56">
        <v>2088000</v>
      </c>
      <c r="W113" s="56">
        <v>824400</v>
      </c>
      <c r="X113" s="56">
        <v>138500</v>
      </c>
      <c r="Y113" s="56">
        <v>2459100</v>
      </c>
      <c r="Z113" s="56">
        <v>853600</v>
      </c>
      <c r="AA113" s="56">
        <v>29800</v>
      </c>
      <c r="AB113" s="56">
        <v>-862600</v>
      </c>
      <c r="AC113" s="56">
        <v>43868</v>
      </c>
      <c r="AD113" s="56">
        <v>50271</v>
      </c>
      <c r="AE113" s="56">
        <v>8860</v>
      </c>
      <c r="AF113" s="56">
        <v>40688700</v>
      </c>
      <c r="AG113" s="56">
        <v>83019</v>
      </c>
      <c r="AH113" s="56">
        <v>0</v>
      </c>
      <c r="AI113" s="56">
        <v>6385</v>
      </c>
      <c r="AJ113" s="56">
        <v>0</v>
      </c>
      <c r="AK113" s="1">
        <v>54214548</v>
      </c>
      <c r="AL113" s="1">
        <v>1561492</v>
      </c>
      <c r="AM113" s="56">
        <v>72000</v>
      </c>
      <c r="AN113" s="56">
        <v>5046123</v>
      </c>
      <c r="AO113" s="56">
        <v>49617</v>
      </c>
      <c r="AP113" s="56">
        <v>1633792</v>
      </c>
      <c r="AQ113" s="56">
        <v>1859865</v>
      </c>
      <c r="AR113" s="56">
        <v>265478</v>
      </c>
      <c r="AS113" s="56">
        <v>0</v>
      </c>
      <c r="AT113" s="56">
        <v>21535</v>
      </c>
      <c r="AU113" s="56">
        <v>0</v>
      </c>
      <c r="AV113" s="56">
        <v>0</v>
      </c>
      <c r="AW113" s="56">
        <v>0</v>
      </c>
      <c r="AX113" s="56">
        <v>4073</v>
      </c>
      <c r="AY113" s="56">
        <v>0</v>
      </c>
      <c r="AZ113" s="1">
        <v>2081151.3584863795</v>
      </c>
      <c r="BA113" s="1">
        <v>1061387</v>
      </c>
      <c r="BB113" s="1">
        <v>19041450.780000001</v>
      </c>
      <c r="BC113" s="15">
        <v>0</v>
      </c>
      <c r="BD113" s="15">
        <v>0</v>
      </c>
      <c r="BE113" s="20">
        <v>133577753</v>
      </c>
      <c r="BF113" s="20">
        <v>133577753</v>
      </c>
      <c r="BG113" s="20">
        <v>57499413</v>
      </c>
      <c r="BH113" s="20">
        <v>57486236</v>
      </c>
      <c r="BI113" s="63"/>
      <c r="BJ113" s="63"/>
      <c r="BK113" s="63"/>
      <c r="BL113" s="5">
        <v>549592506</v>
      </c>
      <c r="BM113" s="5">
        <v>301691090</v>
      </c>
      <c r="BN113" s="15">
        <v>296600</v>
      </c>
      <c r="BO113" s="5"/>
      <c r="BP113" s="1"/>
      <c r="BQ113" s="1"/>
      <c r="BR113" s="5"/>
      <c r="BS113" s="5"/>
      <c r="BT113" s="5"/>
    </row>
    <row r="114" spans="1:72" x14ac:dyDescent="0.25">
      <c r="A114" s="6" t="s">
        <v>168</v>
      </c>
      <c r="B114" s="56">
        <v>264548460</v>
      </c>
      <c r="C114" s="56">
        <v>145092344</v>
      </c>
      <c r="D114" s="56">
        <v>96089885</v>
      </c>
      <c r="E114" s="56">
        <v>2332500</v>
      </c>
      <c r="F114" s="56">
        <v>36254838</v>
      </c>
      <c r="G114" s="56">
        <v>7072775</v>
      </c>
      <c r="H114" s="56">
        <v>5147665</v>
      </c>
      <c r="I114" s="56">
        <v>452544</v>
      </c>
      <c r="J114" s="56">
        <v>108000</v>
      </c>
      <c r="K114" s="56">
        <v>0</v>
      </c>
      <c r="L114" s="56">
        <v>469133960</v>
      </c>
      <c r="M114" s="56">
        <v>30906603</v>
      </c>
      <c r="N114" s="56">
        <v>1241</v>
      </c>
      <c r="O114" s="56">
        <v>244</v>
      </c>
      <c r="P114" s="56">
        <v>3666409</v>
      </c>
      <c r="Q114" s="56">
        <v>2122842</v>
      </c>
      <c r="R114" s="56">
        <v>4442519</v>
      </c>
      <c r="S114" s="56">
        <v>1286939</v>
      </c>
      <c r="T114" s="56">
        <v>131274</v>
      </c>
      <c r="U114" s="56">
        <v>1113770</v>
      </c>
      <c r="V114" s="56">
        <v>3666409</v>
      </c>
      <c r="W114" s="56">
        <v>2122842</v>
      </c>
      <c r="X114" s="56">
        <v>4442519</v>
      </c>
      <c r="Y114" s="56">
        <v>1286939</v>
      </c>
      <c r="Z114" s="56">
        <v>170880</v>
      </c>
      <c r="AA114" s="56">
        <v>1113770</v>
      </c>
      <c r="AB114" s="56">
        <v>-198170</v>
      </c>
      <c r="AC114" s="56">
        <v>0</v>
      </c>
      <c r="AD114" s="56">
        <v>7908</v>
      </c>
      <c r="AE114" s="56">
        <v>13377</v>
      </c>
      <c r="AF114" s="56">
        <v>37091984</v>
      </c>
      <c r="AG114" s="56">
        <v>300013</v>
      </c>
      <c r="AH114" s="56">
        <v>31782516</v>
      </c>
      <c r="AI114" s="56">
        <v>0</v>
      </c>
      <c r="AJ114" s="64">
        <v>82187432</v>
      </c>
      <c r="AK114" s="1">
        <v>112241550</v>
      </c>
      <c r="AL114" s="1">
        <v>4471174</v>
      </c>
      <c r="AM114" s="56">
        <v>2635111</v>
      </c>
      <c r="AN114" s="56">
        <v>164927619</v>
      </c>
      <c r="AO114" s="56">
        <v>10158710</v>
      </c>
      <c r="AP114" s="56">
        <v>111732860</v>
      </c>
      <c r="AQ114" s="56">
        <v>40639235</v>
      </c>
      <c r="AR114" s="56">
        <v>12467355</v>
      </c>
      <c r="AS114" s="56">
        <v>19103268</v>
      </c>
      <c r="AT114" s="56">
        <v>2600058</v>
      </c>
      <c r="AU114" s="56">
        <v>0</v>
      </c>
      <c r="AV114" s="56">
        <v>25808</v>
      </c>
      <c r="AW114" s="56">
        <v>17840123</v>
      </c>
      <c r="AX114" s="56">
        <v>1240438</v>
      </c>
      <c r="AY114" s="56">
        <v>1714938</v>
      </c>
      <c r="AZ114" s="1">
        <v>4308652.6196089815</v>
      </c>
      <c r="BA114" s="1">
        <v>2197413</v>
      </c>
      <c r="BB114" s="1">
        <v>37810880.829999998</v>
      </c>
      <c r="BC114" s="15">
        <v>0</v>
      </c>
      <c r="BD114" s="15">
        <v>0</v>
      </c>
      <c r="BE114" s="20">
        <v>5255517</v>
      </c>
      <c r="BF114" s="20">
        <v>5255517</v>
      </c>
      <c r="BG114" s="20">
        <v>27965403</v>
      </c>
      <c r="BH114" s="20">
        <v>27951679</v>
      </c>
      <c r="BI114" s="63"/>
      <c r="BJ114" s="63"/>
      <c r="BK114" s="63"/>
      <c r="BL114" s="5">
        <v>987543534</v>
      </c>
      <c r="BM114" s="5">
        <v>835426201</v>
      </c>
      <c r="BN114" s="15">
        <v>888975</v>
      </c>
      <c r="BO114" s="5"/>
      <c r="BP114" s="1"/>
      <c r="BQ114" s="1"/>
      <c r="BR114" s="5"/>
      <c r="BS114" s="5"/>
      <c r="BT114" s="5"/>
    </row>
    <row r="115" spans="1:72" x14ac:dyDescent="0.25">
      <c r="A115" s="6" t="s">
        <v>169</v>
      </c>
      <c r="B115" s="56">
        <v>4224923060</v>
      </c>
      <c r="C115" s="56">
        <v>404346930</v>
      </c>
      <c r="D115" s="56">
        <v>2212093500</v>
      </c>
      <c r="E115" s="56">
        <v>72877900</v>
      </c>
      <c r="F115" s="56">
        <v>210414260</v>
      </c>
      <c r="G115" s="56">
        <v>23238450</v>
      </c>
      <c r="H115" s="56">
        <v>26827390</v>
      </c>
      <c r="I115" s="56">
        <v>1966490</v>
      </c>
      <c r="J115" s="56">
        <v>540000</v>
      </c>
      <c r="K115" s="56">
        <v>0</v>
      </c>
      <c r="L115" s="56">
        <v>842771880</v>
      </c>
      <c r="M115" s="56"/>
      <c r="N115" s="56">
        <v>6721</v>
      </c>
      <c r="O115" s="56">
        <v>758</v>
      </c>
      <c r="P115" s="56">
        <v>76624880</v>
      </c>
      <c r="Q115" s="56">
        <v>3902010</v>
      </c>
      <c r="R115" s="56">
        <v>89057630</v>
      </c>
      <c r="S115" s="56">
        <v>1825990</v>
      </c>
      <c r="T115" s="56">
        <v>838250</v>
      </c>
      <c r="U115" s="56">
        <v>2576350</v>
      </c>
      <c r="V115" s="56">
        <v>76624880</v>
      </c>
      <c r="W115" s="56">
        <v>3902010</v>
      </c>
      <c r="X115" s="56">
        <v>89057630</v>
      </c>
      <c r="Y115" s="56">
        <v>1825990</v>
      </c>
      <c r="Z115" s="56">
        <v>838250</v>
      </c>
      <c r="AA115" s="56">
        <v>2576350</v>
      </c>
      <c r="AB115" s="56">
        <v>-13458930</v>
      </c>
      <c r="AC115" s="56">
        <v>-18422787</v>
      </c>
      <c r="AD115" s="56">
        <v>71892</v>
      </c>
      <c r="AE115" s="56">
        <v>0</v>
      </c>
      <c r="AF115" s="56">
        <v>0</v>
      </c>
      <c r="AG115" s="56">
        <v>0</v>
      </c>
      <c r="AH115" s="56">
        <v>8606197</v>
      </c>
      <c r="AI115" s="56">
        <v>945918</v>
      </c>
      <c r="AJ115" s="56">
        <v>0</v>
      </c>
      <c r="AK115" s="1">
        <v>655439243</v>
      </c>
      <c r="AL115" s="1">
        <v>15305950</v>
      </c>
      <c r="AM115" s="56">
        <v>87000</v>
      </c>
      <c r="AN115" s="56">
        <v>344423872</v>
      </c>
      <c r="AO115" s="56">
        <v>56911054</v>
      </c>
      <c r="AP115" s="56">
        <v>783387274</v>
      </c>
      <c r="AQ115" s="56">
        <v>370579190</v>
      </c>
      <c r="AR115" s="56">
        <v>254478340</v>
      </c>
      <c r="AS115" s="56">
        <v>94585375</v>
      </c>
      <c r="AT115" s="56">
        <v>2127605</v>
      </c>
      <c r="AU115" s="56">
        <v>0</v>
      </c>
      <c r="AV115" s="56">
        <v>107555</v>
      </c>
      <c r="AW115" s="56">
        <v>94788779</v>
      </c>
      <c r="AX115" s="56">
        <v>3189582</v>
      </c>
      <c r="AY115" s="56">
        <v>20781964</v>
      </c>
      <c r="AZ115" s="1">
        <v>25160557.844634879</v>
      </c>
      <c r="BA115" s="1">
        <v>12831885</v>
      </c>
      <c r="BB115" s="1"/>
      <c r="BC115" s="15">
        <v>2715965</v>
      </c>
      <c r="BD115" s="15">
        <v>5325422</v>
      </c>
      <c r="BE115" s="20">
        <v>44348248</v>
      </c>
      <c r="BF115" s="20">
        <v>44348248</v>
      </c>
      <c r="BG115" s="20">
        <v>138573611</v>
      </c>
      <c r="BH115" s="20">
        <v>131851300</v>
      </c>
      <c r="BI115" s="63">
        <v>218350</v>
      </c>
      <c r="BJ115" s="63">
        <v>24749592</v>
      </c>
      <c r="BK115" s="63"/>
      <c r="BL115" s="5">
        <v>8510290254</v>
      </c>
      <c r="BM115" s="5">
        <v>7622829721</v>
      </c>
      <c r="BN115" s="15">
        <v>3569070</v>
      </c>
      <c r="BO115" s="5"/>
      <c r="BP115" s="1"/>
      <c r="BQ115" s="1"/>
      <c r="BR115" s="5"/>
      <c r="BS115" s="5"/>
      <c r="BT115" s="5"/>
    </row>
    <row r="116" spans="1:72" x14ac:dyDescent="0.25">
      <c r="A116" s="6" t="s">
        <v>170</v>
      </c>
      <c r="B116" s="56">
        <v>242216080</v>
      </c>
      <c r="C116" s="56">
        <v>152519050</v>
      </c>
      <c r="D116" s="56">
        <v>75655577</v>
      </c>
      <c r="E116" s="56">
        <v>0</v>
      </c>
      <c r="F116" s="56">
        <v>27406400</v>
      </c>
      <c r="G116" s="56">
        <v>5200000</v>
      </c>
      <c r="H116" s="56">
        <v>14032000</v>
      </c>
      <c r="I116" s="56">
        <v>2095000</v>
      </c>
      <c r="J116" s="56">
        <v>28000</v>
      </c>
      <c r="K116" s="56">
        <v>0</v>
      </c>
      <c r="L116" s="56">
        <v>283550758</v>
      </c>
      <c r="M116" s="56">
        <v>107798800</v>
      </c>
      <c r="N116" s="56">
        <v>1193</v>
      </c>
      <c r="O116" s="56">
        <v>223</v>
      </c>
      <c r="P116" s="56">
        <v>4564520</v>
      </c>
      <c r="Q116" s="56">
        <v>2322450</v>
      </c>
      <c r="R116" s="56">
        <v>2468000</v>
      </c>
      <c r="S116" s="56">
        <v>1772374</v>
      </c>
      <c r="T116" s="56">
        <v>1414700</v>
      </c>
      <c r="U116" s="56">
        <v>2083100</v>
      </c>
      <c r="V116" s="56">
        <v>4564520</v>
      </c>
      <c r="W116" s="56">
        <v>2346650</v>
      </c>
      <c r="X116" s="56">
        <v>2468000</v>
      </c>
      <c r="Y116" s="56">
        <v>1772374</v>
      </c>
      <c r="Z116" s="56">
        <v>1278100</v>
      </c>
      <c r="AA116" s="56">
        <v>2083100</v>
      </c>
      <c r="AB116" s="56">
        <v>-540900</v>
      </c>
      <c r="AC116" s="56">
        <v>-4890917</v>
      </c>
      <c r="AD116" s="56">
        <v>45148</v>
      </c>
      <c r="AE116" s="56">
        <v>0</v>
      </c>
      <c r="AF116" s="56">
        <v>0</v>
      </c>
      <c r="AG116" s="56">
        <v>179667</v>
      </c>
      <c r="AH116" s="56">
        <v>0</v>
      </c>
      <c r="AI116" s="56">
        <v>0</v>
      </c>
      <c r="AJ116" s="56">
        <v>0</v>
      </c>
      <c r="AK116" s="1">
        <v>68744660</v>
      </c>
      <c r="AL116" s="1">
        <v>1285792</v>
      </c>
      <c r="AM116" s="56">
        <v>0</v>
      </c>
      <c r="AN116" s="56">
        <v>16409887</v>
      </c>
      <c r="AO116" s="56">
        <v>7482866</v>
      </c>
      <c r="AP116" s="56">
        <v>65111881</v>
      </c>
      <c r="AQ116" s="56">
        <v>23818831</v>
      </c>
      <c r="AR116" s="56">
        <v>17788972</v>
      </c>
      <c r="AS116" s="56">
        <v>343559</v>
      </c>
      <c r="AT116" s="56">
        <v>39030</v>
      </c>
      <c r="AU116" s="56">
        <v>0</v>
      </c>
      <c r="AV116" s="56">
        <v>0</v>
      </c>
      <c r="AW116" s="56">
        <v>20709</v>
      </c>
      <c r="AX116" s="56">
        <v>11308</v>
      </c>
      <c r="AY116" s="56">
        <v>796250</v>
      </c>
      <c r="AZ116" s="1">
        <v>2638923.459210326</v>
      </c>
      <c r="BA116" s="1">
        <v>1345851</v>
      </c>
      <c r="BB116" s="1"/>
      <c r="BC116" s="15">
        <v>0</v>
      </c>
      <c r="BD116" s="15">
        <v>0</v>
      </c>
      <c r="BE116" s="20">
        <v>1442264</v>
      </c>
      <c r="BF116" s="20">
        <v>1442264</v>
      </c>
      <c r="BG116" s="20">
        <v>22546803</v>
      </c>
      <c r="BH116" s="20">
        <v>22545652</v>
      </c>
      <c r="BI116" s="63"/>
      <c r="BJ116" s="63"/>
      <c r="BK116" s="63"/>
      <c r="BL116" s="5">
        <v>613466510</v>
      </c>
      <c r="BM116" s="5">
        <v>518102291</v>
      </c>
      <c r="BN116" s="15">
        <v>359500</v>
      </c>
      <c r="BO116" s="5"/>
      <c r="BP116" s="1"/>
      <c r="BQ116" s="1"/>
      <c r="BR116" s="5"/>
      <c r="BS116" s="5"/>
      <c r="BT116" s="5"/>
    </row>
    <row r="117" spans="1:72" x14ac:dyDescent="0.25">
      <c r="A117" s="6" t="s">
        <v>171</v>
      </c>
      <c r="B117" s="56">
        <v>447122350</v>
      </c>
      <c r="C117" s="56">
        <v>125894746</v>
      </c>
      <c r="D117" s="56">
        <v>103514007</v>
      </c>
      <c r="E117" s="56">
        <v>0</v>
      </c>
      <c r="F117" s="56">
        <v>52499315</v>
      </c>
      <c r="G117" s="56">
        <v>17389294</v>
      </c>
      <c r="H117" s="56">
        <v>15872075</v>
      </c>
      <c r="I117" s="56">
        <v>2151320</v>
      </c>
      <c r="J117" s="56">
        <v>185260</v>
      </c>
      <c r="K117" s="56">
        <v>36000</v>
      </c>
      <c r="L117" s="56">
        <v>277560581</v>
      </c>
      <c r="M117" s="56">
        <v>80741470</v>
      </c>
      <c r="N117" s="56">
        <v>2150</v>
      </c>
      <c r="O117" s="56">
        <v>681</v>
      </c>
      <c r="P117" s="56">
        <v>6707197</v>
      </c>
      <c r="Q117" s="56">
        <v>962200</v>
      </c>
      <c r="R117" s="56">
        <v>1704737</v>
      </c>
      <c r="S117" s="56">
        <v>4084213</v>
      </c>
      <c r="T117" s="56">
        <v>450852</v>
      </c>
      <c r="U117" s="56">
        <v>2494114</v>
      </c>
      <c r="V117" s="56">
        <v>6707197</v>
      </c>
      <c r="W117" s="56">
        <v>962200</v>
      </c>
      <c r="X117" s="56">
        <v>1704737</v>
      </c>
      <c r="Y117" s="56">
        <v>4084213</v>
      </c>
      <c r="Z117" s="56">
        <v>576632</v>
      </c>
      <c r="AA117" s="56">
        <v>2494114</v>
      </c>
      <c r="AB117" s="56">
        <v>-1788112</v>
      </c>
      <c r="AC117" s="56">
        <v>-34687</v>
      </c>
      <c r="AD117" s="56">
        <v>175871</v>
      </c>
      <c r="AE117" s="56">
        <v>8145</v>
      </c>
      <c r="AF117" s="56">
        <v>9964837</v>
      </c>
      <c r="AG117" s="56">
        <v>243884</v>
      </c>
      <c r="AH117" s="56">
        <v>763762</v>
      </c>
      <c r="AI117" s="56">
        <v>75959</v>
      </c>
      <c r="AJ117" s="56">
        <v>0</v>
      </c>
      <c r="AK117" s="1">
        <v>92462522</v>
      </c>
      <c r="AL117" s="1">
        <v>12885197</v>
      </c>
      <c r="AM117" s="56">
        <v>14006488</v>
      </c>
      <c r="AN117" s="56">
        <v>18564999</v>
      </c>
      <c r="AO117" s="56">
        <v>1434745</v>
      </c>
      <c r="AP117" s="56">
        <v>34584166</v>
      </c>
      <c r="AQ117" s="56">
        <v>15100209</v>
      </c>
      <c r="AR117" s="56">
        <v>18946529</v>
      </c>
      <c r="AS117" s="56">
        <v>2251278</v>
      </c>
      <c r="AT117" s="56">
        <v>6010313</v>
      </c>
      <c r="AU117" s="56">
        <v>0</v>
      </c>
      <c r="AV117" s="56">
        <v>0</v>
      </c>
      <c r="AW117" s="56">
        <v>0</v>
      </c>
      <c r="AX117" s="56">
        <v>0</v>
      </c>
      <c r="AY117" s="56">
        <v>100000</v>
      </c>
      <c r="AZ117" s="1">
        <v>3549388.6856601066</v>
      </c>
      <c r="BA117" s="1">
        <v>1810188</v>
      </c>
      <c r="BB117" s="1"/>
      <c r="BC117" s="15">
        <v>0</v>
      </c>
      <c r="BD117" s="15">
        <v>0</v>
      </c>
      <c r="BE117" s="20">
        <v>676053</v>
      </c>
      <c r="BF117" s="20">
        <v>676053</v>
      </c>
      <c r="BG117" s="20">
        <v>30258273</v>
      </c>
      <c r="BH117" s="20">
        <v>30038935</v>
      </c>
      <c r="BI117" s="63"/>
      <c r="BJ117" s="63"/>
      <c r="BK117" s="63"/>
      <c r="BL117" s="5">
        <v>850343672</v>
      </c>
      <c r="BM117" s="5">
        <v>712470777</v>
      </c>
      <c r="BN117" s="15">
        <v>798000</v>
      </c>
      <c r="BO117" s="5"/>
      <c r="BP117" s="1"/>
      <c r="BQ117" s="1"/>
      <c r="BR117" s="5"/>
      <c r="BS117" s="5"/>
      <c r="BT117" s="5"/>
    </row>
    <row r="118" spans="1:72" x14ac:dyDescent="0.25">
      <c r="A118" s="6" t="s">
        <v>172</v>
      </c>
      <c r="B118" s="56">
        <v>197306828</v>
      </c>
      <c r="C118" s="56">
        <v>138572682</v>
      </c>
      <c r="D118" s="56">
        <v>52024768</v>
      </c>
      <c r="E118" s="56">
        <v>12240000</v>
      </c>
      <c r="F118" s="56">
        <v>32137767</v>
      </c>
      <c r="G118" s="56">
        <v>6343800</v>
      </c>
      <c r="H118" s="56">
        <v>7760413</v>
      </c>
      <c r="I118" s="56">
        <v>903850</v>
      </c>
      <c r="J118" s="56">
        <v>5000</v>
      </c>
      <c r="K118" s="56">
        <v>0</v>
      </c>
      <c r="L118" s="56">
        <v>236360195</v>
      </c>
      <c r="M118" s="56">
        <v>54153750</v>
      </c>
      <c r="N118" s="56">
        <v>1269</v>
      </c>
      <c r="O118" s="56">
        <v>264</v>
      </c>
      <c r="P118" s="56">
        <v>1890700</v>
      </c>
      <c r="Q118" s="56">
        <v>1205200</v>
      </c>
      <c r="R118" s="56">
        <v>721800</v>
      </c>
      <c r="S118" s="56">
        <v>144800</v>
      </c>
      <c r="T118" s="56">
        <v>43200</v>
      </c>
      <c r="U118" s="56">
        <v>36500</v>
      </c>
      <c r="V118" s="56">
        <v>1890700</v>
      </c>
      <c r="W118" s="56">
        <v>1205200</v>
      </c>
      <c r="X118" s="56">
        <v>721800</v>
      </c>
      <c r="Y118" s="56">
        <v>144800</v>
      </c>
      <c r="Z118" s="56">
        <v>43200</v>
      </c>
      <c r="AA118" s="56">
        <v>36500</v>
      </c>
      <c r="AB118" s="56">
        <v>-2620200</v>
      </c>
      <c r="AC118" s="56">
        <v>0</v>
      </c>
      <c r="AD118" s="56">
        <v>61347</v>
      </c>
      <c r="AE118" s="56">
        <v>12229</v>
      </c>
      <c r="AF118" s="56">
        <v>4317012</v>
      </c>
      <c r="AG118" s="56">
        <v>198824</v>
      </c>
      <c r="AH118" s="56">
        <v>13829631</v>
      </c>
      <c r="AI118" s="56">
        <v>0</v>
      </c>
      <c r="AJ118" s="64">
        <v>37427820</v>
      </c>
      <c r="AK118" s="1">
        <v>96324530</v>
      </c>
      <c r="AL118" s="1">
        <v>3025212</v>
      </c>
      <c r="AM118" s="56">
        <v>0</v>
      </c>
      <c r="AN118" s="56">
        <v>110069977</v>
      </c>
      <c r="AO118" s="56">
        <v>4485042</v>
      </c>
      <c r="AP118" s="56">
        <v>64916553</v>
      </c>
      <c r="AQ118" s="56">
        <v>13630385</v>
      </c>
      <c r="AR118" s="56">
        <v>14329637</v>
      </c>
      <c r="AS118" s="56">
        <v>49483</v>
      </c>
      <c r="AT118" s="56">
        <v>1188222</v>
      </c>
      <c r="AU118" s="56"/>
      <c r="AV118" s="56"/>
      <c r="AW118" s="56">
        <v>3997793</v>
      </c>
      <c r="AX118" s="56">
        <v>1759205</v>
      </c>
      <c r="AY118" s="56">
        <v>235000</v>
      </c>
      <c r="AZ118" s="1">
        <v>3697640.8336939747</v>
      </c>
      <c r="BA118" s="1">
        <v>1885797</v>
      </c>
      <c r="BB118" s="1">
        <v>2334844.56</v>
      </c>
      <c r="BC118" s="15">
        <v>1202659</v>
      </c>
      <c r="BD118" s="15">
        <v>2358154</v>
      </c>
      <c r="BE118" s="20">
        <v>25913168</v>
      </c>
      <c r="BF118" s="20">
        <v>25744339</v>
      </c>
      <c r="BG118" s="20">
        <v>62854579</v>
      </c>
      <c r="BH118" s="20">
        <v>60906987</v>
      </c>
      <c r="BI118" s="63"/>
      <c r="BJ118" s="63"/>
      <c r="BK118" s="63"/>
      <c r="BL118" s="5">
        <v>756436657</v>
      </c>
      <c r="BM118" s="5">
        <v>567347133</v>
      </c>
      <c r="BN118" s="15">
        <v>720003</v>
      </c>
      <c r="BO118" s="5"/>
      <c r="BP118" s="1"/>
      <c r="BQ118" s="1"/>
      <c r="BR118" s="5"/>
      <c r="BS118" s="5"/>
      <c r="BT118" s="5"/>
    </row>
    <row r="119" spans="1:72" x14ac:dyDescent="0.25">
      <c r="A119" s="6" t="s">
        <v>173</v>
      </c>
      <c r="B119" s="56">
        <v>644278484</v>
      </c>
      <c r="C119" s="56">
        <v>129882443</v>
      </c>
      <c r="D119" s="56">
        <v>209183427</v>
      </c>
      <c r="E119" s="56">
        <v>2100000</v>
      </c>
      <c r="F119" s="56">
        <v>87874635</v>
      </c>
      <c r="G119" s="56">
        <v>25082795</v>
      </c>
      <c r="H119" s="56">
        <v>15837760</v>
      </c>
      <c r="I119" s="56">
        <v>2338065</v>
      </c>
      <c r="J119" s="56">
        <v>36000</v>
      </c>
      <c r="K119" s="56">
        <v>0</v>
      </c>
      <c r="L119" s="56">
        <v>424136482</v>
      </c>
      <c r="M119" s="56">
        <v>42406225</v>
      </c>
      <c r="N119" s="56">
        <v>3393</v>
      </c>
      <c r="O119" s="56">
        <v>946</v>
      </c>
      <c r="P119" s="56">
        <v>1431600</v>
      </c>
      <c r="Q119" s="56">
        <v>165000</v>
      </c>
      <c r="R119" s="56">
        <v>1057500</v>
      </c>
      <c r="S119" s="56">
        <v>6387793</v>
      </c>
      <c r="T119" s="56">
        <v>2056240</v>
      </c>
      <c r="U119" s="56">
        <v>1151200</v>
      </c>
      <c r="V119" s="56">
        <v>1431600</v>
      </c>
      <c r="W119" s="56">
        <v>222500</v>
      </c>
      <c r="X119" s="56">
        <v>1057500</v>
      </c>
      <c r="Y119" s="56">
        <v>6387793</v>
      </c>
      <c r="Z119" s="56">
        <v>3808900</v>
      </c>
      <c r="AA119" s="56">
        <v>1151200</v>
      </c>
      <c r="AB119" s="56">
        <v>-8440788</v>
      </c>
      <c r="AC119" s="56">
        <v>2189373</v>
      </c>
      <c r="AD119" s="56">
        <v>5520</v>
      </c>
      <c r="AE119" s="56">
        <v>0</v>
      </c>
      <c r="AF119" s="56">
        <v>0</v>
      </c>
      <c r="AG119" s="56">
        <v>5578</v>
      </c>
      <c r="AH119" s="56">
        <v>1490311</v>
      </c>
      <c r="AI119" s="56">
        <v>14400605</v>
      </c>
      <c r="AJ119" s="64">
        <v>6175008</v>
      </c>
      <c r="AK119" s="1">
        <v>182517452</v>
      </c>
      <c r="AL119" s="1">
        <v>6701393</v>
      </c>
      <c r="AM119" s="56">
        <v>2706444</v>
      </c>
      <c r="AN119" s="56">
        <v>54350785</v>
      </c>
      <c r="AO119" s="56">
        <v>2790118</v>
      </c>
      <c r="AP119" s="56">
        <v>60355760</v>
      </c>
      <c r="AQ119" s="56">
        <v>84944621</v>
      </c>
      <c r="AR119" s="56">
        <v>16072700</v>
      </c>
      <c r="AS119" s="56">
        <v>5169552</v>
      </c>
      <c r="AT119" s="56">
        <v>177053</v>
      </c>
      <c r="AU119" s="56">
        <v>0</v>
      </c>
      <c r="AV119" s="56">
        <v>0</v>
      </c>
      <c r="AW119" s="56">
        <v>0</v>
      </c>
      <c r="AX119" s="56">
        <v>72143</v>
      </c>
      <c r="AY119" s="56">
        <v>170500</v>
      </c>
      <c r="AZ119" s="1">
        <v>7006356.3598699104</v>
      </c>
      <c r="BA119" s="1">
        <v>3573242</v>
      </c>
      <c r="BB119" s="1"/>
      <c r="BC119" s="15">
        <v>11745888</v>
      </c>
      <c r="BD119" s="15">
        <v>23031153</v>
      </c>
      <c r="BE119" s="20">
        <v>51732122</v>
      </c>
      <c r="BF119" s="20">
        <v>51732122</v>
      </c>
      <c r="BG119" s="20">
        <v>67296807</v>
      </c>
      <c r="BH119" s="20">
        <v>55891339</v>
      </c>
      <c r="BI119" s="63"/>
      <c r="BJ119" s="63"/>
      <c r="BK119" s="63"/>
      <c r="BL119" s="5">
        <v>1459657238</v>
      </c>
      <c r="BM119" s="5">
        <v>1147495802</v>
      </c>
      <c r="BN119" s="15">
        <v>1445926</v>
      </c>
      <c r="BO119" s="5"/>
      <c r="BP119" s="1"/>
      <c r="BQ119" s="1"/>
      <c r="BR119" s="5"/>
      <c r="BS119" s="5"/>
      <c r="BT119" s="5"/>
    </row>
    <row r="120" spans="1:72" x14ac:dyDescent="0.25">
      <c r="A120" s="6" t="s">
        <v>174</v>
      </c>
      <c r="B120" s="56">
        <v>54358725</v>
      </c>
      <c r="C120" s="56">
        <v>61589750</v>
      </c>
      <c r="D120" s="56">
        <v>33550000</v>
      </c>
      <c r="E120" s="56">
        <v>0</v>
      </c>
      <c r="F120" s="56">
        <v>10335000</v>
      </c>
      <c r="G120" s="56">
        <v>8881300</v>
      </c>
      <c r="H120" s="56">
        <v>9214900</v>
      </c>
      <c r="I120" s="56">
        <v>4132300</v>
      </c>
      <c r="J120" s="56">
        <v>0</v>
      </c>
      <c r="K120" s="56">
        <v>0</v>
      </c>
      <c r="L120" s="56">
        <v>64887701</v>
      </c>
      <c r="M120" s="56">
        <v>0</v>
      </c>
      <c r="N120" s="56">
        <v>633</v>
      </c>
      <c r="O120" s="56">
        <v>496</v>
      </c>
      <c r="P120" s="56">
        <v>808300</v>
      </c>
      <c r="Q120" s="56">
        <v>685500</v>
      </c>
      <c r="R120" s="56">
        <v>90000</v>
      </c>
      <c r="S120" s="56">
        <v>686500</v>
      </c>
      <c r="T120" s="56">
        <v>467400</v>
      </c>
      <c r="U120" s="56">
        <v>135000</v>
      </c>
      <c r="V120" s="56">
        <v>808300</v>
      </c>
      <c r="W120" s="56">
        <v>971900</v>
      </c>
      <c r="X120" s="56">
        <v>90000</v>
      </c>
      <c r="Y120" s="56">
        <v>686500</v>
      </c>
      <c r="Z120" s="56">
        <v>605000</v>
      </c>
      <c r="AA120" s="56">
        <v>135000</v>
      </c>
      <c r="AB120" s="56">
        <v>-881500</v>
      </c>
      <c r="AC120" s="56">
        <v>-7900</v>
      </c>
      <c r="AD120" s="56">
        <v>87550</v>
      </c>
      <c r="AE120" s="56">
        <v>0</v>
      </c>
      <c r="AF120" s="56">
        <v>0</v>
      </c>
      <c r="AG120" s="56">
        <v>115971</v>
      </c>
      <c r="AH120" s="56">
        <v>9310098</v>
      </c>
      <c r="AI120" s="56">
        <v>0</v>
      </c>
      <c r="AJ120" s="64">
        <v>548656</v>
      </c>
      <c r="AK120" s="1">
        <v>40721377</v>
      </c>
      <c r="AL120" s="1">
        <v>531026</v>
      </c>
      <c r="AM120" s="56">
        <v>0</v>
      </c>
      <c r="AN120" s="56">
        <v>4886316</v>
      </c>
      <c r="AO120" s="56">
        <v>42129</v>
      </c>
      <c r="AP120" s="56">
        <v>148346</v>
      </c>
      <c r="AQ120" s="56">
        <v>11971334</v>
      </c>
      <c r="AR120" s="56">
        <v>3109078</v>
      </c>
      <c r="AS120" s="56">
        <v>0</v>
      </c>
      <c r="AT120" s="56">
        <v>0</v>
      </c>
      <c r="AU120" s="56">
        <v>0</v>
      </c>
      <c r="AV120" s="56">
        <v>0</v>
      </c>
      <c r="AW120" s="56">
        <v>0</v>
      </c>
      <c r="AX120" s="56">
        <v>0</v>
      </c>
      <c r="AY120" s="56">
        <v>0</v>
      </c>
      <c r="AZ120" s="1">
        <v>1563184.6467296195</v>
      </c>
      <c r="BA120" s="1">
        <v>797224</v>
      </c>
      <c r="BB120" s="1"/>
      <c r="BC120" s="15">
        <v>0</v>
      </c>
      <c r="BD120" s="15">
        <v>0</v>
      </c>
      <c r="BE120" s="20">
        <v>130126</v>
      </c>
      <c r="BF120" s="20">
        <v>130126</v>
      </c>
      <c r="BG120" s="20">
        <v>27087823</v>
      </c>
      <c r="BH120" s="20">
        <v>27030934</v>
      </c>
      <c r="BI120" s="63"/>
      <c r="BJ120" s="63"/>
      <c r="BK120" s="63"/>
      <c r="BL120" s="5">
        <v>245467695</v>
      </c>
      <c r="BM120" s="5">
        <v>176257008</v>
      </c>
      <c r="BN120" s="15">
        <v>362000</v>
      </c>
      <c r="BO120" s="5"/>
      <c r="BP120" s="1"/>
      <c r="BQ120" s="1"/>
      <c r="BR120" s="5"/>
      <c r="BS120" s="5"/>
      <c r="BT120" s="5"/>
    </row>
    <row r="121" spans="1:72" ht="15.75" thickBot="1" x14ac:dyDescent="0.3">
      <c r="A121" s="9" t="s">
        <v>175</v>
      </c>
      <c r="B121" s="66">
        <v>1261802270</v>
      </c>
      <c r="C121" s="66">
        <v>499138100</v>
      </c>
      <c r="D121" s="66">
        <v>235400410</v>
      </c>
      <c r="E121" s="66">
        <v>0</v>
      </c>
      <c r="F121" s="66">
        <v>65239800</v>
      </c>
      <c r="G121" s="66">
        <v>7321600</v>
      </c>
      <c r="H121" s="66">
        <v>8271900</v>
      </c>
      <c r="I121" s="66">
        <v>360000</v>
      </c>
      <c r="J121" s="66">
        <v>144000</v>
      </c>
      <c r="K121" s="66">
        <v>36000</v>
      </c>
      <c r="L121" s="66">
        <v>875511850</v>
      </c>
      <c r="M121" s="66">
        <v>256227600</v>
      </c>
      <c r="N121" s="66">
        <v>2066</v>
      </c>
      <c r="O121" s="66">
        <v>217</v>
      </c>
      <c r="P121" s="66">
        <v>9575500</v>
      </c>
      <c r="Q121" s="66">
        <v>7514400</v>
      </c>
      <c r="R121" s="66">
        <v>7770000</v>
      </c>
      <c r="S121" s="66">
        <v>1075000</v>
      </c>
      <c r="T121" s="66">
        <v>671800</v>
      </c>
      <c r="U121" s="66">
        <v>1142000</v>
      </c>
      <c r="V121" s="66">
        <v>9575500</v>
      </c>
      <c r="W121" s="66">
        <v>8058700</v>
      </c>
      <c r="X121" s="66">
        <v>7770000</v>
      </c>
      <c r="Y121" s="66">
        <v>1075000</v>
      </c>
      <c r="Z121" s="66">
        <v>2882550</v>
      </c>
      <c r="AA121" s="66">
        <v>1142000</v>
      </c>
      <c r="AB121" s="66">
        <v>-2870900</v>
      </c>
      <c r="AC121" s="66">
        <v>-261943</v>
      </c>
      <c r="AD121" s="66">
        <v>0</v>
      </c>
      <c r="AE121" s="66">
        <v>0</v>
      </c>
      <c r="AF121" s="66">
        <v>0</v>
      </c>
      <c r="AG121" s="66">
        <v>107004</v>
      </c>
      <c r="AH121" s="66">
        <v>0</v>
      </c>
      <c r="AI121" s="66">
        <v>0</v>
      </c>
      <c r="AJ121" s="66">
        <v>0</v>
      </c>
      <c r="AK121" s="21">
        <v>185969287</v>
      </c>
      <c r="AL121" s="21">
        <v>4737852</v>
      </c>
      <c r="AM121" s="66">
        <v>12000</v>
      </c>
      <c r="AN121" s="66">
        <v>39234778</v>
      </c>
      <c r="AO121" s="66">
        <v>10041032</v>
      </c>
      <c r="AP121" s="66">
        <v>173969961</v>
      </c>
      <c r="AQ121" s="66">
        <v>32511278</v>
      </c>
      <c r="AR121" s="66">
        <v>59358967</v>
      </c>
      <c r="AS121" s="66">
        <v>97912979</v>
      </c>
      <c r="AT121" s="66">
        <v>197082517</v>
      </c>
      <c r="AU121" s="66">
        <v>0</v>
      </c>
      <c r="AV121" s="66">
        <v>0</v>
      </c>
      <c r="AW121" s="66">
        <v>0</v>
      </c>
      <c r="AX121" s="66">
        <v>321012</v>
      </c>
      <c r="AY121" s="66">
        <v>626800</v>
      </c>
      <c r="AZ121" s="21">
        <v>7138863.0645190179</v>
      </c>
      <c r="BA121" s="21">
        <v>3640820</v>
      </c>
      <c r="BB121" s="37"/>
      <c r="BC121" s="23">
        <v>960130</v>
      </c>
      <c r="BD121" s="23">
        <v>1882609</v>
      </c>
      <c r="BE121" s="23">
        <v>12890313</v>
      </c>
      <c r="BF121" s="23">
        <v>11779117</v>
      </c>
      <c r="BG121" s="23">
        <v>34063961</v>
      </c>
      <c r="BH121" s="23">
        <v>33647783</v>
      </c>
      <c r="BI121" s="67">
        <v>46848145</v>
      </c>
      <c r="BJ121" s="67"/>
      <c r="BK121" s="67"/>
      <c r="BL121" s="25">
        <v>2365711002</v>
      </c>
      <c r="BM121" s="25">
        <v>2078127868</v>
      </c>
      <c r="BN121" s="23">
        <v>1966310</v>
      </c>
      <c r="BO121" s="5"/>
      <c r="BP121" s="1"/>
      <c r="BQ121" s="1"/>
      <c r="BR121" s="5"/>
      <c r="BS121" s="5"/>
      <c r="BT121" s="5"/>
    </row>
    <row r="122" spans="1:72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40"/>
      <c r="BC122" s="3"/>
      <c r="BD122" s="3"/>
      <c r="BE122" s="27"/>
      <c r="BF122" s="27"/>
      <c r="BG122" s="27"/>
      <c r="BH122" s="27"/>
      <c r="BI122" s="40"/>
      <c r="BJ122" s="40"/>
      <c r="BK122" s="3"/>
      <c r="BL122" s="3"/>
      <c r="BM122" s="3"/>
      <c r="BN122" s="3"/>
      <c r="BO122" s="3"/>
      <c r="BP122" s="3"/>
      <c r="BQ122" s="3"/>
      <c r="BR122" s="3"/>
      <c r="BS122" s="3"/>
      <c r="BT122" s="3"/>
    </row>
    <row r="123" spans="1:72" x14ac:dyDescent="0.25">
      <c r="B123" s="52">
        <v>149126310319</v>
      </c>
      <c r="C123" s="40">
        <v>19509951891</v>
      </c>
      <c r="D123" s="52">
        <v>56594266028</v>
      </c>
      <c r="E123" s="52">
        <v>2613276030</v>
      </c>
      <c r="F123" s="52">
        <v>10762994340</v>
      </c>
      <c r="G123" s="52">
        <v>2263413160</v>
      </c>
      <c r="H123" s="52">
        <v>1599037695</v>
      </c>
      <c r="I123" s="52">
        <v>293569068</v>
      </c>
      <c r="J123" s="52">
        <v>24717970</v>
      </c>
      <c r="K123" s="52">
        <v>3937484</v>
      </c>
      <c r="L123" s="52">
        <v>36601228578</v>
      </c>
      <c r="M123" s="52">
        <v>12396309710</v>
      </c>
      <c r="N123" s="52">
        <v>364062</v>
      </c>
      <c r="O123" s="52">
        <v>82576</v>
      </c>
      <c r="P123" s="52">
        <v>1843437934</v>
      </c>
      <c r="Q123" s="52">
        <v>300237236</v>
      </c>
      <c r="R123" s="52">
        <v>1483408525</v>
      </c>
      <c r="S123" s="52">
        <v>1121680434</v>
      </c>
      <c r="T123" s="52">
        <v>157179489</v>
      </c>
      <c r="U123" s="52">
        <v>649807834</v>
      </c>
      <c r="V123" s="52">
        <v>1843436936</v>
      </c>
      <c r="W123" s="52">
        <v>427918963</v>
      </c>
      <c r="X123" s="52">
        <v>1483408171</v>
      </c>
      <c r="Y123" s="52">
        <v>1121969645</v>
      </c>
      <c r="Z123" s="52">
        <v>332975156</v>
      </c>
      <c r="AA123" s="52">
        <v>649766006</v>
      </c>
      <c r="AB123" s="52">
        <v>-600218653</v>
      </c>
      <c r="AC123" s="52">
        <v>-273857858</v>
      </c>
      <c r="AD123" s="52">
        <v>8147982</v>
      </c>
      <c r="AE123" s="52">
        <v>3946871</v>
      </c>
      <c r="AF123" s="52">
        <v>1899012195</v>
      </c>
      <c r="AG123" s="52">
        <v>18239664.75</v>
      </c>
      <c r="AH123" s="52">
        <v>480506581.96721321</v>
      </c>
      <c r="AI123" s="52">
        <v>987445775.40983617</v>
      </c>
      <c r="AJ123" s="52">
        <v>2211775616</v>
      </c>
      <c r="AK123" s="52">
        <v>27581149627</v>
      </c>
      <c r="AL123" s="52">
        <v>780041286</v>
      </c>
      <c r="AM123" s="52">
        <v>138621740</v>
      </c>
      <c r="AN123" s="52">
        <v>11685218185</v>
      </c>
      <c r="AO123" s="52">
        <v>946943507</v>
      </c>
      <c r="AP123" s="52">
        <v>18981004928</v>
      </c>
      <c r="AQ123" s="52">
        <v>9658671267</v>
      </c>
      <c r="AR123" s="52">
        <v>10026896364</v>
      </c>
      <c r="AS123" s="52">
        <v>10445556908</v>
      </c>
      <c r="AT123" s="52">
        <v>7276974205</v>
      </c>
      <c r="AU123" s="52">
        <v>64824559</v>
      </c>
      <c r="AV123" s="52">
        <v>50598352</v>
      </c>
      <c r="AW123" s="52">
        <v>1025884049</v>
      </c>
      <c r="AX123" s="52">
        <v>102646728</v>
      </c>
      <c r="AY123" s="52">
        <v>385146678</v>
      </c>
      <c r="AZ123" s="52">
        <v>1308168884.2899997</v>
      </c>
      <c r="BA123" s="52">
        <v>667166131.01999998</v>
      </c>
      <c r="BB123" s="53">
        <v>999999999.9599998</v>
      </c>
      <c r="BC123" s="53">
        <v>270200310</v>
      </c>
      <c r="BD123" s="53">
        <v>529804531</v>
      </c>
      <c r="BE123" s="29">
        <v>5182736730</v>
      </c>
      <c r="BF123" s="29">
        <v>5124427210</v>
      </c>
      <c r="BG123" s="29">
        <v>11050328649</v>
      </c>
      <c r="BH123" s="29">
        <v>10039578632</v>
      </c>
      <c r="BI123" s="53">
        <v>1367935002</v>
      </c>
      <c r="BJ123" s="53">
        <v>190344351</v>
      </c>
      <c r="BK123" s="53">
        <v>0</v>
      </c>
      <c r="BL123" s="30">
        <f>SUM(BL2:BL122)</f>
        <v>292981419754</v>
      </c>
      <c r="BM123" s="30">
        <f>SUM(BM2:BM122)</f>
        <v>250300715594</v>
      </c>
      <c r="BN123" s="30">
        <v>414833272</v>
      </c>
      <c r="BO123" s="4"/>
      <c r="BP123" s="4"/>
      <c r="BQ123" s="4"/>
      <c r="BR123" s="4"/>
      <c r="BS123" s="4"/>
      <c r="BT123" s="3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T123"/>
  <sheetViews>
    <sheetView workbookViewId="0"/>
  </sheetViews>
  <sheetFormatPr defaultColWidth="9.140625" defaultRowHeight="15" x14ac:dyDescent="0.25"/>
  <cols>
    <col min="1" max="1" width="15" bestFit="1" customWidth="1"/>
    <col min="2" max="2" width="16" bestFit="1" customWidth="1"/>
    <col min="3" max="4" width="15" bestFit="1" customWidth="1"/>
    <col min="5" max="5" width="14" bestFit="1" customWidth="1"/>
    <col min="6" max="6" width="15" bestFit="1" customWidth="1"/>
    <col min="7" max="8" width="14" bestFit="1" customWidth="1"/>
    <col min="9" max="9" width="12.28515625" bestFit="1" customWidth="1"/>
    <col min="10" max="10" width="11.28515625" bestFit="1" customWidth="1"/>
    <col min="11" max="11" width="13.28515625" customWidth="1"/>
    <col min="12" max="13" width="15" bestFit="1" customWidth="1"/>
    <col min="14" max="14" width="14.28515625" customWidth="1"/>
    <col min="15" max="15" width="14" customWidth="1"/>
    <col min="16" max="16" width="14" bestFit="1" customWidth="1"/>
    <col min="17" max="17" width="12.28515625" bestFit="1" customWidth="1"/>
    <col min="18" max="19" width="14" bestFit="1" customWidth="1"/>
    <col min="20" max="21" width="12.28515625" bestFit="1" customWidth="1"/>
    <col min="22" max="22" width="14" bestFit="1" customWidth="1"/>
    <col min="23" max="23" width="12.28515625" bestFit="1" customWidth="1"/>
    <col min="24" max="25" width="14" bestFit="1" customWidth="1"/>
    <col min="26" max="27" width="12.28515625" bestFit="1" customWidth="1"/>
    <col min="28" max="28" width="16.28515625" customWidth="1"/>
    <col min="29" max="29" width="16.85546875" customWidth="1"/>
    <col min="30" max="31" width="10.28515625" bestFit="1" customWidth="1"/>
    <col min="32" max="32" width="14" bestFit="1" customWidth="1"/>
    <col min="33" max="33" width="11.28515625" bestFit="1" customWidth="1"/>
    <col min="34" max="35" width="12.28515625" bestFit="1" customWidth="1"/>
    <col min="36" max="36" width="14" bestFit="1" customWidth="1"/>
    <col min="37" max="37" width="15" bestFit="1" customWidth="1"/>
    <col min="38" max="39" width="12.28515625" bestFit="1" customWidth="1"/>
    <col min="40" max="40" width="15" bestFit="1" customWidth="1"/>
    <col min="41" max="41" width="12.28515625" bestFit="1" customWidth="1"/>
    <col min="42" max="42" width="15" bestFit="1" customWidth="1"/>
    <col min="43" max="43" width="14" bestFit="1" customWidth="1"/>
    <col min="44" max="45" width="15" bestFit="1" customWidth="1"/>
    <col min="46" max="46" width="14" bestFit="1" customWidth="1"/>
    <col min="47" max="48" width="11.28515625" bestFit="1" customWidth="1"/>
    <col min="49" max="49" width="14" bestFit="1" customWidth="1"/>
    <col min="50" max="51" width="12.28515625" bestFit="1" customWidth="1"/>
    <col min="52" max="52" width="14" bestFit="1" customWidth="1"/>
    <col min="53" max="53" width="12.28515625" bestFit="1" customWidth="1"/>
    <col min="54" max="54" width="14" bestFit="1" customWidth="1"/>
    <col min="55" max="56" width="12.28515625" bestFit="1" customWidth="1"/>
    <col min="57" max="58" width="13.42578125" bestFit="1" customWidth="1"/>
    <col min="59" max="60" width="14.42578125" bestFit="1" customWidth="1"/>
    <col min="61" max="61" width="14" bestFit="1" customWidth="1"/>
    <col min="62" max="62" width="12.28515625" bestFit="1" customWidth="1"/>
    <col min="63" max="63" width="13.7109375" customWidth="1"/>
    <col min="64" max="65" width="16" bestFit="1" customWidth="1"/>
    <col min="66" max="66" width="12.28515625" bestFit="1" customWidth="1"/>
    <col min="68" max="68" width="15" bestFit="1" customWidth="1"/>
    <col min="69" max="69" width="13.42578125" bestFit="1" customWidth="1"/>
    <col min="70" max="70" width="10.7109375" bestFit="1" customWidth="1"/>
    <col min="71" max="71" width="14" bestFit="1" customWidth="1"/>
    <col min="72" max="72" width="15" bestFit="1" customWidth="1"/>
  </cols>
  <sheetData>
    <row r="1" spans="1:72" ht="73.5" customHeight="1" thickBot="1" x14ac:dyDescent="0.3">
      <c r="A1" s="7" t="s">
        <v>234</v>
      </c>
      <c r="B1" s="38" t="s">
        <v>0</v>
      </c>
      <c r="C1" s="38" t="s">
        <v>1</v>
      </c>
      <c r="D1" s="38" t="s">
        <v>2</v>
      </c>
      <c r="E1" s="38" t="s">
        <v>3</v>
      </c>
      <c r="F1" s="38" t="s">
        <v>4</v>
      </c>
      <c r="G1" s="38" t="s">
        <v>5</v>
      </c>
      <c r="H1" s="38" t="s">
        <v>6</v>
      </c>
      <c r="I1" s="39" t="s">
        <v>7</v>
      </c>
      <c r="J1" s="38" t="s">
        <v>8</v>
      </c>
      <c r="K1" s="38" t="s">
        <v>9</v>
      </c>
      <c r="L1" s="38" t="s">
        <v>10</v>
      </c>
      <c r="M1" s="38" t="s">
        <v>11</v>
      </c>
      <c r="N1" s="38" t="s">
        <v>12</v>
      </c>
      <c r="O1" s="38" t="s">
        <v>13</v>
      </c>
      <c r="P1" s="38" t="s">
        <v>292</v>
      </c>
      <c r="Q1" s="38" t="s">
        <v>293</v>
      </c>
      <c r="R1" s="38" t="s">
        <v>294</v>
      </c>
      <c r="S1" s="38" t="s">
        <v>295</v>
      </c>
      <c r="T1" s="38" t="s">
        <v>296</v>
      </c>
      <c r="U1" s="38" t="s">
        <v>297</v>
      </c>
      <c r="V1" s="38" t="s">
        <v>298</v>
      </c>
      <c r="W1" s="38" t="s">
        <v>299</v>
      </c>
      <c r="X1" s="38" t="s">
        <v>300</v>
      </c>
      <c r="Y1" s="38" t="s">
        <v>301</v>
      </c>
      <c r="Z1" s="38" t="s">
        <v>302</v>
      </c>
      <c r="AA1" s="38" t="s">
        <v>303</v>
      </c>
      <c r="AB1" s="38" t="s">
        <v>304</v>
      </c>
      <c r="AC1" s="38" t="s">
        <v>305</v>
      </c>
      <c r="AD1" s="38" t="s">
        <v>14</v>
      </c>
      <c r="AE1" s="38" t="s">
        <v>15</v>
      </c>
      <c r="AF1" s="38" t="s">
        <v>16</v>
      </c>
      <c r="AG1" s="38" t="s">
        <v>17</v>
      </c>
      <c r="AH1" s="38" t="s">
        <v>18</v>
      </c>
      <c r="AI1" s="38" t="s">
        <v>19</v>
      </c>
      <c r="AJ1" s="60" t="s">
        <v>306</v>
      </c>
      <c r="AK1" s="38" t="s">
        <v>21</v>
      </c>
      <c r="AL1" s="38" t="s">
        <v>22</v>
      </c>
      <c r="AM1" s="38" t="s">
        <v>23</v>
      </c>
      <c r="AN1" s="38" t="s">
        <v>24</v>
      </c>
      <c r="AO1" s="38" t="s">
        <v>25</v>
      </c>
      <c r="AP1" s="38" t="s">
        <v>26</v>
      </c>
      <c r="AQ1" s="38" t="s">
        <v>27</v>
      </c>
      <c r="AR1" s="38" t="s">
        <v>28</v>
      </c>
      <c r="AS1" s="38" t="s">
        <v>29</v>
      </c>
      <c r="AT1" s="38" t="s">
        <v>30</v>
      </c>
      <c r="AU1" s="38" t="s">
        <v>31</v>
      </c>
      <c r="AV1" s="38" t="s">
        <v>32</v>
      </c>
      <c r="AW1" s="38" t="s">
        <v>33</v>
      </c>
      <c r="AX1" s="38" t="s">
        <v>34</v>
      </c>
      <c r="AY1" s="38" t="s">
        <v>35</v>
      </c>
      <c r="AZ1" s="38" t="s">
        <v>40</v>
      </c>
      <c r="BA1" s="38" t="s">
        <v>41</v>
      </c>
      <c r="BB1" s="38" t="s">
        <v>42</v>
      </c>
      <c r="BC1" s="62" t="s">
        <v>307</v>
      </c>
      <c r="BD1" s="62" t="s">
        <v>43</v>
      </c>
      <c r="BE1" s="38" t="s">
        <v>44</v>
      </c>
      <c r="BF1" s="38" t="s">
        <v>308</v>
      </c>
      <c r="BG1" s="38" t="s">
        <v>45</v>
      </c>
      <c r="BH1" s="38" t="s">
        <v>309</v>
      </c>
      <c r="BI1" s="62" t="s">
        <v>46</v>
      </c>
      <c r="BJ1" s="38" t="s">
        <v>47</v>
      </c>
      <c r="BK1" s="38" t="s">
        <v>48</v>
      </c>
      <c r="BL1" s="17" t="s">
        <v>49</v>
      </c>
      <c r="BM1" s="17" t="s">
        <v>50</v>
      </c>
      <c r="BN1" s="17" t="s">
        <v>51</v>
      </c>
      <c r="BO1" s="17"/>
      <c r="BP1" s="17"/>
      <c r="BQ1" s="2"/>
      <c r="BR1" s="2"/>
      <c r="BS1" s="2"/>
      <c r="BT1" s="2"/>
    </row>
    <row r="2" spans="1:72" x14ac:dyDescent="0.25">
      <c r="A2" s="8" t="s">
        <v>56</v>
      </c>
      <c r="B2" s="56">
        <v>285031750</v>
      </c>
      <c r="C2" s="56">
        <v>151028700</v>
      </c>
      <c r="D2" s="56">
        <v>100841800</v>
      </c>
      <c r="E2" s="56">
        <v>0</v>
      </c>
      <c r="F2" s="56">
        <v>38963600</v>
      </c>
      <c r="G2" s="56">
        <v>13774900</v>
      </c>
      <c r="H2" s="56">
        <v>20692080</v>
      </c>
      <c r="I2" s="56">
        <v>3392100</v>
      </c>
      <c r="J2" s="56">
        <v>36000</v>
      </c>
      <c r="K2" s="56">
        <v>0</v>
      </c>
      <c r="L2" s="56">
        <v>380687690</v>
      </c>
      <c r="M2" s="56">
        <v>4584525</v>
      </c>
      <c r="N2" s="56">
        <v>1764</v>
      </c>
      <c r="O2" s="56">
        <v>565</v>
      </c>
      <c r="P2" s="56">
        <v>2320300</v>
      </c>
      <c r="Q2" s="56">
        <v>1567000</v>
      </c>
      <c r="R2" s="56">
        <v>510400</v>
      </c>
      <c r="S2" s="56">
        <v>222000</v>
      </c>
      <c r="T2" s="56">
        <v>185000</v>
      </c>
      <c r="U2" s="56">
        <v>0</v>
      </c>
      <c r="V2" s="56">
        <v>2320300</v>
      </c>
      <c r="W2" s="56">
        <v>1567000</v>
      </c>
      <c r="X2" s="56">
        <v>510400</v>
      </c>
      <c r="Y2" s="56">
        <v>222000</v>
      </c>
      <c r="Z2" s="56">
        <v>185000</v>
      </c>
      <c r="AA2" s="56">
        <v>0</v>
      </c>
      <c r="AB2" s="56">
        <v>-2251000</v>
      </c>
      <c r="AC2" s="56">
        <v>-429306</v>
      </c>
      <c r="AD2" s="56">
        <v>109810</v>
      </c>
      <c r="AE2" s="56">
        <v>0</v>
      </c>
      <c r="AF2" s="56">
        <v>0</v>
      </c>
      <c r="AG2" s="56">
        <v>224711</v>
      </c>
      <c r="AH2" s="56">
        <v>5373663.9344262294</v>
      </c>
      <c r="AI2" s="56">
        <v>663081.96721311484</v>
      </c>
      <c r="AJ2" s="68">
        <v>0</v>
      </c>
      <c r="AK2" s="1">
        <v>91156736</v>
      </c>
      <c r="AL2" s="1">
        <v>2995964</v>
      </c>
      <c r="AM2" s="56">
        <v>949968</v>
      </c>
      <c r="AN2" s="56">
        <v>17243197</v>
      </c>
      <c r="AO2" s="56">
        <v>405291</v>
      </c>
      <c r="AP2" s="56">
        <v>15821822</v>
      </c>
      <c r="AQ2" s="56">
        <v>19636652</v>
      </c>
      <c r="AR2" s="56">
        <v>15517400</v>
      </c>
      <c r="AS2" s="56">
        <v>0</v>
      </c>
      <c r="AT2" s="56">
        <v>323340</v>
      </c>
      <c r="AU2" s="56">
        <v>0</v>
      </c>
      <c r="AV2" s="56">
        <v>0</v>
      </c>
      <c r="AW2" s="56">
        <v>0</v>
      </c>
      <c r="AX2" s="56">
        <v>457592</v>
      </c>
      <c r="AY2" s="56">
        <v>421088</v>
      </c>
      <c r="AZ2" s="1">
        <v>4466487.62</v>
      </c>
      <c r="BA2" s="1">
        <v>2277909</v>
      </c>
      <c r="BB2" s="69">
        <v>0</v>
      </c>
      <c r="BC2" s="69">
        <v>0</v>
      </c>
      <c r="BD2" s="69">
        <v>0</v>
      </c>
      <c r="BE2" s="69">
        <v>16706924</v>
      </c>
      <c r="BF2" s="69">
        <v>16706924</v>
      </c>
      <c r="BG2" s="69">
        <v>35738189.5</v>
      </c>
      <c r="BH2" s="69">
        <v>35462684</v>
      </c>
      <c r="BI2" s="69">
        <v>0</v>
      </c>
      <c r="BJ2" s="69">
        <v>0</v>
      </c>
      <c r="BK2" s="63"/>
      <c r="BL2" s="5">
        <v>728824352.90163934</v>
      </c>
      <c r="BM2" s="5">
        <v>580224135.90163934</v>
      </c>
      <c r="BN2" s="15">
        <v>272500</v>
      </c>
      <c r="BO2" s="3"/>
      <c r="BP2" s="5"/>
      <c r="BQ2" s="1"/>
      <c r="BR2" s="1"/>
      <c r="BS2" s="5"/>
      <c r="BT2" s="5"/>
    </row>
    <row r="3" spans="1:72" x14ac:dyDescent="0.25">
      <c r="A3" s="6" t="s">
        <v>57</v>
      </c>
      <c r="B3" s="56">
        <v>410212624</v>
      </c>
      <c r="C3" s="56">
        <v>155044096</v>
      </c>
      <c r="D3" s="56">
        <v>101529725</v>
      </c>
      <c r="E3" s="56">
        <v>3150000</v>
      </c>
      <c r="F3" s="56">
        <v>43149645</v>
      </c>
      <c r="G3" s="56">
        <v>13153855</v>
      </c>
      <c r="H3" s="56">
        <v>17984745</v>
      </c>
      <c r="I3" s="56">
        <v>2068730</v>
      </c>
      <c r="J3" s="56">
        <v>68500</v>
      </c>
      <c r="K3" s="56">
        <v>0</v>
      </c>
      <c r="L3" s="56">
        <v>281512853</v>
      </c>
      <c r="M3" s="56">
        <v>103116170</v>
      </c>
      <c r="N3" s="56">
        <v>1792</v>
      </c>
      <c r="O3" s="56">
        <v>444</v>
      </c>
      <c r="P3" s="56">
        <v>4089756</v>
      </c>
      <c r="Q3" s="56">
        <v>1315282</v>
      </c>
      <c r="R3" s="56">
        <v>704000</v>
      </c>
      <c r="S3" s="56">
        <v>4467589</v>
      </c>
      <c r="T3" s="56">
        <v>1019233</v>
      </c>
      <c r="U3" s="56">
        <v>282500</v>
      </c>
      <c r="V3" s="56">
        <v>4089756</v>
      </c>
      <c r="W3" s="56">
        <v>1320907</v>
      </c>
      <c r="X3" s="56">
        <v>704000</v>
      </c>
      <c r="Y3" s="56">
        <v>4467589</v>
      </c>
      <c r="Z3" s="56">
        <v>2790958</v>
      </c>
      <c r="AA3" s="56">
        <v>282500</v>
      </c>
      <c r="AB3" s="56">
        <v>-2623582</v>
      </c>
      <c r="AC3" s="56">
        <v>-1352</v>
      </c>
      <c r="AD3" s="56">
        <v>187396</v>
      </c>
      <c r="AE3" s="56">
        <v>0</v>
      </c>
      <c r="AF3" s="56">
        <v>0</v>
      </c>
      <c r="AG3" s="56">
        <v>0</v>
      </c>
      <c r="AH3" s="56">
        <v>2211606.5573770492</v>
      </c>
      <c r="AI3" s="56">
        <v>659967.21311475406</v>
      </c>
      <c r="AJ3" s="70">
        <v>0</v>
      </c>
      <c r="AK3" s="1">
        <v>97350576</v>
      </c>
      <c r="AL3" s="1">
        <v>5342280</v>
      </c>
      <c r="AM3" s="56">
        <v>310000</v>
      </c>
      <c r="AN3" s="56">
        <v>19473459</v>
      </c>
      <c r="AO3" s="56">
        <v>1488643</v>
      </c>
      <c r="AP3" s="56">
        <v>117241319</v>
      </c>
      <c r="AQ3" s="56">
        <v>37072681</v>
      </c>
      <c r="AR3" s="56">
        <v>8972186</v>
      </c>
      <c r="AS3" s="56">
        <v>28705159</v>
      </c>
      <c r="AT3" s="56">
        <v>41920</v>
      </c>
      <c r="AU3" s="56">
        <v>0</v>
      </c>
      <c r="AV3" s="56">
        <v>0</v>
      </c>
      <c r="AW3" s="56">
        <v>0</v>
      </c>
      <c r="AX3" s="56">
        <v>18216</v>
      </c>
      <c r="AY3" s="56">
        <v>0</v>
      </c>
      <c r="AZ3" s="1">
        <v>4769972.7</v>
      </c>
      <c r="BA3" s="1">
        <v>2432686</v>
      </c>
      <c r="BB3" s="69">
        <v>0</v>
      </c>
      <c r="BC3" s="69">
        <v>0</v>
      </c>
      <c r="BD3" s="69">
        <v>0</v>
      </c>
      <c r="BE3" s="69">
        <v>15231130</v>
      </c>
      <c r="BF3" s="69">
        <v>15231130</v>
      </c>
      <c r="BG3" s="69">
        <v>36058738</v>
      </c>
      <c r="BH3" s="69">
        <v>36037068</v>
      </c>
      <c r="BI3" s="69">
        <v>0</v>
      </c>
      <c r="BJ3" s="69">
        <v>0</v>
      </c>
      <c r="BK3" s="63"/>
      <c r="BL3" s="5">
        <v>884086541.77049184</v>
      </c>
      <c r="BM3" s="5">
        <v>727692801.77049184</v>
      </c>
      <c r="BN3" s="15">
        <v>1473043</v>
      </c>
      <c r="BO3" s="3"/>
      <c r="BP3" s="5"/>
      <c r="BQ3" s="1"/>
      <c r="BR3" s="1"/>
      <c r="BS3" s="5"/>
      <c r="BT3" s="5"/>
    </row>
    <row r="4" spans="1:72" x14ac:dyDescent="0.25">
      <c r="A4" s="6" t="s">
        <v>58</v>
      </c>
      <c r="B4" s="56">
        <v>866387980</v>
      </c>
      <c r="C4" s="56">
        <v>195139351</v>
      </c>
      <c r="D4" s="56">
        <v>227964733</v>
      </c>
      <c r="E4" s="56">
        <v>0</v>
      </c>
      <c r="F4" s="56">
        <v>52207550</v>
      </c>
      <c r="G4" s="56">
        <v>9307500</v>
      </c>
      <c r="H4" s="56">
        <v>11050000</v>
      </c>
      <c r="I4" s="56">
        <v>1727000</v>
      </c>
      <c r="J4" s="56">
        <v>216000</v>
      </c>
      <c r="K4" s="56">
        <v>0</v>
      </c>
      <c r="L4" s="56">
        <v>161692549</v>
      </c>
      <c r="M4" s="56">
        <v>124984106</v>
      </c>
      <c r="N4" s="56">
        <v>1789</v>
      </c>
      <c r="O4" s="56">
        <v>323</v>
      </c>
      <c r="P4" s="56">
        <v>3733100</v>
      </c>
      <c r="Q4" s="56">
        <v>975000</v>
      </c>
      <c r="R4" s="56">
        <v>1353264</v>
      </c>
      <c r="S4" s="56">
        <v>5690256</v>
      </c>
      <c r="T4" s="56">
        <v>214905</v>
      </c>
      <c r="U4" s="56">
        <v>1385500</v>
      </c>
      <c r="V4" s="56">
        <v>3733100</v>
      </c>
      <c r="W4" s="56">
        <v>980000</v>
      </c>
      <c r="X4" s="56">
        <v>1353264</v>
      </c>
      <c r="Y4" s="56">
        <v>5690256</v>
      </c>
      <c r="Z4" s="56">
        <v>863450</v>
      </c>
      <c r="AA4" s="56">
        <v>1385500</v>
      </c>
      <c r="AB4" s="56">
        <v>-3187650</v>
      </c>
      <c r="AC4" s="56">
        <v>-913</v>
      </c>
      <c r="AD4" s="56">
        <v>0</v>
      </c>
      <c r="AE4" s="56">
        <v>0</v>
      </c>
      <c r="AF4" s="56">
        <v>0</v>
      </c>
      <c r="AG4" s="56">
        <v>31229811</v>
      </c>
      <c r="AH4" s="56">
        <v>4098.3606557377052</v>
      </c>
      <c r="AI4" s="56">
        <v>81614.75409836066</v>
      </c>
      <c r="AJ4" s="70">
        <v>0</v>
      </c>
      <c r="AK4" s="1">
        <v>142976254</v>
      </c>
      <c r="AL4" s="1">
        <v>4332006</v>
      </c>
      <c r="AM4" s="56">
        <v>0</v>
      </c>
      <c r="AN4" s="56">
        <v>26870053</v>
      </c>
      <c r="AO4" s="56">
        <v>5381512</v>
      </c>
      <c r="AP4" s="56">
        <v>108406085</v>
      </c>
      <c r="AQ4" s="56">
        <v>33238591</v>
      </c>
      <c r="AR4" s="56">
        <v>23420000</v>
      </c>
      <c r="AS4" s="56">
        <v>41940705</v>
      </c>
      <c r="AT4" s="56">
        <v>122681</v>
      </c>
      <c r="AU4" s="56">
        <v>0</v>
      </c>
      <c r="AV4" s="56">
        <v>0</v>
      </c>
      <c r="AW4" s="56">
        <v>5179766</v>
      </c>
      <c r="AX4" s="56">
        <v>0</v>
      </c>
      <c r="AY4" s="56">
        <v>32500</v>
      </c>
      <c r="AZ4" s="1">
        <v>7005534.5999999996</v>
      </c>
      <c r="BA4" s="1">
        <v>3572823</v>
      </c>
      <c r="BB4" s="69">
        <v>0</v>
      </c>
      <c r="BC4" s="69">
        <v>1459802</v>
      </c>
      <c r="BD4" s="69">
        <v>2862357</v>
      </c>
      <c r="BE4" s="69">
        <v>16192771</v>
      </c>
      <c r="BF4" s="69">
        <v>16192771</v>
      </c>
      <c r="BG4" s="69">
        <v>32796316</v>
      </c>
      <c r="BH4" s="69">
        <v>31219188</v>
      </c>
      <c r="BI4" s="69">
        <v>83747021</v>
      </c>
      <c r="BJ4" s="69">
        <v>0</v>
      </c>
      <c r="BK4" s="63"/>
      <c r="BL4" s="5">
        <v>1638567798.1147542</v>
      </c>
      <c r="BM4" s="5">
        <v>1355067933.1147542</v>
      </c>
      <c r="BN4" s="15">
        <v>973848</v>
      </c>
      <c r="BO4" s="3"/>
      <c r="BP4" s="5"/>
      <c r="BQ4" s="1"/>
      <c r="BR4" s="1"/>
      <c r="BS4" s="5"/>
      <c r="BT4" s="5"/>
    </row>
    <row r="5" spans="1:72" x14ac:dyDescent="0.25">
      <c r="A5" s="6" t="s">
        <v>59</v>
      </c>
      <c r="B5" s="56">
        <v>162938608</v>
      </c>
      <c r="C5" s="56">
        <v>131559841</v>
      </c>
      <c r="D5" s="56">
        <v>85561194</v>
      </c>
      <c r="E5" s="56">
        <v>0</v>
      </c>
      <c r="F5" s="56">
        <v>23048000</v>
      </c>
      <c r="G5" s="56">
        <v>5080800</v>
      </c>
      <c r="H5" s="56">
        <v>6035349</v>
      </c>
      <c r="I5" s="56">
        <v>716202</v>
      </c>
      <c r="J5" s="56">
        <v>15000</v>
      </c>
      <c r="K5" s="56">
        <v>0</v>
      </c>
      <c r="L5" s="56">
        <v>265773405</v>
      </c>
      <c r="M5" s="56">
        <v>42377255</v>
      </c>
      <c r="N5" s="56">
        <v>846</v>
      </c>
      <c r="O5" s="56">
        <v>182</v>
      </c>
      <c r="P5" s="56">
        <v>1601600</v>
      </c>
      <c r="Q5" s="56">
        <v>2343923</v>
      </c>
      <c r="R5" s="56">
        <v>150000</v>
      </c>
      <c r="S5" s="56">
        <v>273100</v>
      </c>
      <c r="T5" s="56">
        <v>206000</v>
      </c>
      <c r="U5" s="56">
        <v>4325569</v>
      </c>
      <c r="V5" s="56">
        <v>1601600</v>
      </c>
      <c r="W5" s="56">
        <v>2343923</v>
      </c>
      <c r="X5" s="56">
        <v>150000</v>
      </c>
      <c r="Y5" s="56">
        <v>273100</v>
      </c>
      <c r="Z5" s="56">
        <v>206000</v>
      </c>
      <c r="AA5" s="56">
        <v>4325569</v>
      </c>
      <c r="AB5" s="56">
        <v>-1139924</v>
      </c>
      <c r="AC5" s="56">
        <v>-246129</v>
      </c>
      <c r="AD5" s="56">
        <v>34189</v>
      </c>
      <c r="AE5" s="56">
        <v>4077</v>
      </c>
      <c r="AF5" s="56">
        <v>2152</v>
      </c>
      <c r="AG5" s="56">
        <v>142170</v>
      </c>
      <c r="AH5" s="56">
        <v>0</v>
      </c>
      <c r="AI5" s="56">
        <v>86549.180327868846</v>
      </c>
      <c r="AJ5" s="70">
        <v>0</v>
      </c>
      <c r="AK5" s="1">
        <v>69006607</v>
      </c>
      <c r="AL5" s="1">
        <v>2711829</v>
      </c>
      <c r="AM5" s="56">
        <v>0</v>
      </c>
      <c r="AN5" s="56">
        <v>29938724</v>
      </c>
      <c r="AO5" s="56">
        <v>13802538</v>
      </c>
      <c r="AP5" s="56">
        <v>130622335</v>
      </c>
      <c r="AQ5" s="56">
        <v>8664853</v>
      </c>
      <c r="AR5" s="56">
        <v>12227567</v>
      </c>
      <c r="AS5" s="56">
        <v>1036982</v>
      </c>
      <c r="AT5" s="56">
        <v>365035</v>
      </c>
      <c r="AU5" s="56">
        <v>0</v>
      </c>
      <c r="AV5" s="56">
        <v>0</v>
      </c>
      <c r="AW5" s="56">
        <v>18489434</v>
      </c>
      <c r="AX5" s="56">
        <v>0</v>
      </c>
      <c r="AY5" s="56">
        <v>10700</v>
      </c>
      <c r="AZ5" s="1">
        <v>3381178.06</v>
      </c>
      <c r="BA5" s="1">
        <v>1724401</v>
      </c>
      <c r="BB5" s="69">
        <v>28943005.18</v>
      </c>
      <c r="BC5" s="69">
        <v>868352</v>
      </c>
      <c r="BD5" s="69">
        <v>1702650</v>
      </c>
      <c r="BE5" s="69">
        <v>19631713</v>
      </c>
      <c r="BF5" s="69">
        <v>19631713</v>
      </c>
      <c r="BG5" s="69">
        <v>48578395.5</v>
      </c>
      <c r="BH5" s="69">
        <v>43294654</v>
      </c>
      <c r="BI5" s="69">
        <v>0</v>
      </c>
      <c r="BJ5" s="69">
        <v>0</v>
      </c>
      <c r="BK5" s="63"/>
      <c r="BL5" s="5">
        <v>569789863.18032789</v>
      </c>
      <c r="BM5" s="5">
        <v>432552307.18032789</v>
      </c>
      <c r="BN5" s="15">
        <v>2187473</v>
      </c>
      <c r="BO5" s="3"/>
      <c r="BP5" s="5"/>
      <c r="BQ5" s="1"/>
      <c r="BR5" s="1"/>
      <c r="BS5" s="5"/>
      <c r="BT5" s="5"/>
    </row>
    <row r="6" spans="1:72" x14ac:dyDescent="0.25">
      <c r="A6" s="6" t="s">
        <v>60</v>
      </c>
      <c r="B6" s="56">
        <v>1067703098</v>
      </c>
      <c r="C6" s="56">
        <v>296381175</v>
      </c>
      <c r="D6" s="56">
        <v>456828822</v>
      </c>
      <c r="E6" s="56">
        <v>5714600</v>
      </c>
      <c r="F6" s="56">
        <v>107816669</v>
      </c>
      <c r="G6" s="56">
        <v>18430799</v>
      </c>
      <c r="H6" s="56">
        <v>27108350</v>
      </c>
      <c r="I6" s="56">
        <v>2009200</v>
      </c>
      <c r="J6" s="56">
        <v>324000</v>
      </c>
      <c r="K6" s="56">
        <v>36000</v>
      </c>
      <c r="L6" s="56">
        <v>389085384</v>
      </c>
      <c r="M6" s="56">
        <v>215920530</v>
      </c>
      <c r="N6" s="56">
        <v>3890</v>
      </c>
      <c r="O6" s="56">
        <v>638</v>
      </c>
      <c r="P6" s="56">
        <v>18856200</v>
      </c>
      <c r="Q6" s="56">
        <v>3725200</v>
      </c>
      <c r="R6" s="56">
        <v>17201800</v>
      </c>
      <c r="S6" s="56">
        <v>13995275</v>
      </c>
      <c r="T6" s="56">
        <v>2458500</v>
      </c>
      <c r="U6" s="56">
        <v>9074900</v>
      </c>
      <c r="V6" s="56">
        <v>18856200</v>
      </c>
      <c r="W6" s="56">
        <v>5869100</v>
      </c>
      <c r="X6" s="56">
        <v>17201800</v>
      </c>
      <c r="Y6" s="56">
        <v>13995275</v>
      </c>
      <c r="Z6" s="56">
        <v>3931925</v>
      </c>
      <c r="AA6" s="56">
        <v>9074900</v>
      </c>
      <c r="AB6" s="56">
        <v>-3840150</v>
      </c>
      <c r="AC6" s="56">
        <v>-747524</v>
      </c>
      <c r="AD6" s="56">
        <v>47</v>
      </c>
      <c r="AE6" s="56">
        <v>0</v>
      </c>
      <c r="AF6" s="56">
        <v>0</v>
      </c>
      <c r="AG6" s="56">
        <v>266228</v>
      </c>
      <c r="AH6" s="56">
        <v>1444147.5409836066</v>
      </c>
      <c r="AI6" s="54">
        <v>427557.37704918033</v>
      </c>
      <c r="AJ6" s="70">
        <v>0</v>
      </c>
      <c r="AK6" s="1">
        <v>245624750</v>
      </c>
      <c r="AL6" s="1">
        <v>10750007</v>
      </c>
      <c r="AM6" s="56">
        <v>2665682</v>
      </c>
      <c r="AN6" s="56">
        <v>98967017</v>
      </c>
      <c r="AO6" s="56">
        <v>13302646</v>
      </c>
      <c r="AP6" s="56">
        <v>311554320</v>
      </c>
      <c r="AQ6" s="56">
        <v>129009559</v>
      </c>
      <c r="AR6" s="56">
        <v>59576421</v>
      </c>
      <c r="AS6" s="56">
        <v>17554949</v>
      </c>
      <c r="AT6" s="56">
        <v>2255414</v>
      </c>
      <c r="AU6" s="56">
        <v>89237</v>
      </c>
      <c r="AV6" s="56">
        <v>268137</v>
      </c>
      <c r="AW6" s="56">
        <v>1849919</v>
      </c>
      <c r="AX6" s="56">
        <v>8744260</v>
      </c>
      <c r="AY6" s="56">
        <v>1611895</v>
      </c>
      <c r="AZ6" s="1">
        <v>12035094.189999999</v>
      </c>
      <c r="BA6" s="1">
        <v>6137898</v>
      </c>
      <c r="BB6" s="69">
        <v>0</v>
      </c>
      <c r="BC6" s="69">
        <v>1732452</v>
      </c>
      <c r="BD6" s="69">
        <v>3396966</v>
      </c>
      <c r="BE6" s="69">
        <v>33807242</v>
      </c>
      <c r="BF6" s="69">
        <v>33431593</v>
      </c>
      <c r="BG6" s="69">
        <v>89186930.5</v>
      </c>
      <c r="BH6" s="69">
        <v>87079471</v>
      </c>
      <c r="BI6" s="69">
        <v>0</v>
      </c>
      <c r="BJ6" s="69">
        <v>20004514</v>
      </c>
      <c r="BK6" s="63"/>
      <c r="BL6" s="5">
        <v>2468824706.9180326</v>
      </c>
      <c r="BM6" s="5">
        <v>2064064021.9180329</v>
      </c>
      <c r="BN6" s="15">
        <v>5890422</v>
      </c>
      <c r="BO6" s="3"/>
      <c r="BP6" s="5"/>
      <c r="BQ6" s="1"/>
      <c r="BR6" s="1"/>
      <c r="BS6" s="5"/>
      <c r="BT6" s="5"/>
    </row>
    <row r="7" spans="1:72" x14ac:dyDescent="0.25">
      <c r="A7" s="6" t="s">
        <v>61</v>
      </c>
      <c r="B7" s="56">
        <v>165355650</v>
      </c>
      <c r="C7" s="56">
        <v>83827000</v>
      </c>
      <c r="D7" s="56">
        <v>40433000</v>
      </c>
      <c r="E7" s="56">
        <v>0</v>
      </c>
      <c r="F7" s="56">
        <v>26741700</v>
      </c>
      <c r="G7" s="56">
        <v>10585300</v>
      </c>
      <c r="H7" s="56">
        <v>8764700</v>
      </c>
      <c r="I7" s="56">
        <v>2133200</v>
      </c>
      <c r="J7" s="56">
        <v>0</v>
      </c>
      <c r="K7" s="56">
        <v>0</v>
      </c>
      <c r="L7" s="56">
        <v>150799225</v>
      </c>
      <c r="M7" s="56">
        <v>0</v>
      </c>
      <c r="N7" s="56">
        <v>1092</v>
      </c>
      <c r="O7" s="56">
        <v>422</v>
      </c>
      <c r="P7" s="56">
        <v>1650400</v>
      </c>
      <c r="Q7" s="56">
        <v>1040450</v>
      </c>
      <c r="R7" s="56">
        <v>3658400</v>
      </c>
      <c r="S7" s="56">
        <v>2026428</v>
      </c>
      <c r="T7" s="56">
        <v>214050</v>
      </c>
      <c r="U7" s="56">
        <v>866100</v>
      </c>
      <c r="V7" s="56">
        <v>1650400</v>
      </c>
      <c r="W7" s="56">
        <v>2020100</v>
      </c>
      <c r="X7" s="56">
        <v>3658400</v>
      </c>
      <c r="Y7" s="56">
        <v>2026428</v>
      </c>
      <c r="Z7" s="56">
        <v>357200</v>
      </c>
      <c r="AA7" s="56">
        <v>866100</v>
      </c>
      <c r="AB7" s="56">
        <v>-3929400</v>
      </c>
      <c r="AC7" s="56">
        <v>-8433</v>
      </c>
      <c r="AD7" s="56">
        <v>0</v>
      </c>
      <c r="AE7" s="56">
        <v>0</v>
      </c>
      <c r="AF7" s="56">
        <v>0</v>
      </c>
      <c r="AG7" s="56">
        <v>0</v>
      </c>
      <c r="AH7" s="56">
        <v>0</v>
      </c>
      <c r="AI7" s="54">
        <v>0</v>
      </c>
      <c r="AJ7" s="70">
        <v>0</v>
      </c>
      <c r="AK7" s="1">
        <v>60727561</v>
      </c>
      <c r="AL7" s="1">
        <v>1520025</v>
      </c>
      <c r="AM7" s="56">
        <v>0</v>
      </c>
      <c r="AN7" s="56">
        <v>10605556</v>
      </c>
      <c r="AO7" s="56">
        <v>657914</v>
      </c>
      <c r="AP7" s="56">
        <v>259996</v>
      </c>
      <c r="AQ7" s="56">
        <v>3018287</v>
      </c>
      <c r="AR7" s="56">
        <v>1467888</v>
      </c>
      <c r="AS7" s="56">
        <v>0</v>
      </c>
      <c r="AT7" s="56">
        <v>681537</v>
      </c>
      <c r="AU7" s="56">
        <v>0</v>
      </c>
      <c r="AV7" s="56">
        <v>0</v>
      </c>
      <c r="AW7" s="56">
        <v>10432</v>
      </c>
      <c r="AX7" s="56">
        <v>0</v>
      </c>
      <c r="AY7" s="56">
        <v>57000</v>
      </c>
      <c r="AZ7" s="1">
        <v>2975522.28</v>
      </c>
      <c r="BA7" s="1">
        <v>1517516</v>
      </c>
      <c r="BB7" s="69">
        <v>0</v>
      </c>
      <c r="BC7" s="69">
        <v>0</v>
      </c>
      <c r="BD7" s="69">
        <v>0</v>
      </c>
      <c r="BE7" s="69">
        <v>22300536</v>
      </c>
      <c r="BF7" s="69">
        <v>22300536</v>
      </c>
      <c r="BG7" s="69">
        <v>34653426</v>
      </c>
      <c r="BH7" s="69">
        <v>34639392</v>
      </c>
      <c r="BI7" s="69">
        <v>0</v>
      </c>
      <c r="BJ7" s="69">
        <v>0</v>
      </c>
      <c r="BK7" s="63"/>
      <c r="BL7" s="5">
        <v>424602437</v>
      </c>
      <c r="BM7" s="5">
        <v>303897407</v>
      </c>
      <c r="BN7" s="15">
        <v>833500</v>
      </c>
      <c r="BO7" s="3"/>
      <c r="BP7" s="5"/>
      <c r="BQ7" s="1"/>
      <c r="BR7" s="1"/>
      <c r="BS7" s="5"/>
      <c r="BT7" s="5"/>
    </row>
    <row r="8" spans="1:72" x14ac:dyDescent="0.25">
      <c r="A8" s="6" t="s">
        <v>62</v>
      </c>
      <c r="B8" s="56">
        <v>433701800</v>
      </c>
      <c r="C8" s="56">
        <v>26468550</v>
      </c>
      <c r="D8" s="56">
        <v>182323296</v>
      </c>
      <c r="E8" s="56">
        <v>0</v>
      </c>
      <c r="F8" s="56">
        <v>73555400</v>
      </c>
      <c r="G8" s="56">
        <v>24061100</v>
      </c>
      <c r="H8" s="56">
        <v>4098700</v>
      </c>
      <c r="I8" s="56">
        <v>792100</v>
      </c>
      <c r="J8" s="56">
        <v>36000</v>
      </c>
      <c r="K8" s="56">
        <v>0</v>
      </c>
      <c r="L8" s="56">
        <v>35298625</v>
      </c>
      <c r="M8" s="56">
        <v>157560</v>
      </c>
      <c r="N8" s="56">
        <v>2597</v>
      </c>
      <c r="O8" s="56">
        <v>894</v>
      </c>
      <c r="P8" s="56">
        <v>2024300</v>
      </c>
      <c r="Q8" s="56">
        <v>128000</v>
      </c>
      <c r="R8" s="56">
        <v>1770000</v>
      </c>
      <c r="S8" s="56">
        <v>4033800</v>
      </c>
      <c r="T8" s="56">
        <v>128900</v>
      </c>
      <c r="U8" s="56">
        <v>3316800</v>
      </c>
      <c r="V8" s="56">
        <v>2024300</v>
      </c>
      <c r="W8" s="56">
        <v>128000</v>
      </c>
      <c r="X8" s="56">
        <v>1770000</v>
      </c>
      <c r="Y8" s="56">
        <v>4033800</v>
      </c>
      <c r="Z8" s="56">
        <v>128500</v>
      </c>
      <c r="AA8" s="56">
        <v>3316800</v>
      </c>
      <c r="AB8" s="56">
        <v>-5147700</v>
      </c>
      <c r="AC8" s="56">
        <v>0</v>
      </c>
      <c r="AD8" s="56">
        <v>157560</v>
      </c>
      <c r="AE8" s="56">
        <v>0</v>
      </c>
      <c r="AF8" s="56">
        <v>0</v>
      </c>
      <c r="AG8" s="56">
        <v>0</v>
      </c>
      <c r="AH8" s="56">
        <v>14417721.311475409</v>
      </c>
      <c r="AI8" s="54">
        <v>18873877.868852459</v>
      </c>
      <c r="AJ8" s="71">
        <v>56789991.803278685</v>
      </c>
      <c r="AK8" s="1">
        <v>116599939</v>
      </c>
      <c r="AL8" s="1">
        <v>999661</v>
      </c>
      <c r="AM8" s="56">
        <v>0</v>
      </c>
      <c r="AN8" s="56">
        <v>90895524</v>
      </c>
      <c r="AO8" s="56">
        <v>5930992</v>
      </c>
      <c r="AP8" s="56">
        <v>43039223</v>
      </c>
      <c r="AQ8" s="56">
        <v>46230720</v>
      </c>
      <c r="AR8" s="56">
        <v>12134426</v>
      </c>
      <c r="AS8" s="56">
        <v>753653</v>
      </c>
      <c r="AT8" s="56">
        <v>27065</v>
      </c>
      <c r="AU8" s="56">
        <v>0</v>
      </c>
      <c r="AV8" s="56">
        <v>0</v>
      </c>
      <c r="AW8" s="56">
        <v>0</v>
      </c>
      <c r="AX8" s="56">
        <v>24043</v>
      </c>
      <c r="AY8" s="56">
        <v>405500</v>
      </c>
      <c r="AZ8" s="1">
        <v>5713150.8499999996</v>
      </c>
      <c r="BA8" s="1">
        <v>2913707</v>
      </c>
      <c r="BB8" s="69">
        <v>0</v>
      </c>
      <c r="BC8" s="69">
        <v>7023932</v>
      </c>
      <c r="BD8" s="69">
        <v>13772415</v>
      </c>
      <c r="BE8" s="69">
        <v>43882127</v>
      </c>
      <c r="BF8" s="69">
        <v>43882127</v>
      </c>
      <c r="BG8" s="69">
        <v>72302635.5</v>
      </c>
      <c r="BH8" s="69">
        <v>66948199</v>
      </c>
      <c r="BI8" s="69">
        <v>0</v>
      </c>
      <c r="BJ8" s="69">
        <v>0</v>
      </c>
      <c r="BK8" s="63"/>
      <c r="BL8" s="5">
        <v>1114000037.9836066</v>
      </c>
      <c r="BM8" s="5">
        <v>875632472.98360658</v>
      </c>
      <c r="BN8" s="15">
        <v>2466300</v>
      </c>
      <c r="BO8" s="3"/>
      <c r="BP8" s="5"/>
      <c r="BQ8" s="1"/>
      <c r="BR8" s="1"/>
      <c r="BS8" s="5"/>
      <c r="BT8" s="5"/>
    </row>
    <row r="9" spans="1:72" x14ac:dyDescent="0.25">
      <c r="A9" s="6" t="s">
        <v>63</v>
      </c>
      <c r="B9" s="56">
        <v>6190643752</v>
      </c>
      <c r="C9" s="56">
        <v>264418518</v>
      </c>
      <c r="D9" s="56">
        <v>3723244566</v>
      </c>
      <c r="E9" s="56">
        <v>75114495</v>
      </c>
      <c r="F9" s="56">
        <v>245251910</v>
      </c>
      <c r="G9" s="56">
        <v>21761750</v>
      </c>
      <c r="H9" s="56">
        <v>14794820</v>
      </c>
      <c r="I9" s="56">
        <v>799500</v>
      </c>
      <c r="J9" s="56">
        <v>504000</v>
      </c>
      <c r="K9" s="56">
        <v>0</v>
      </c>
      <c r="L9" s="56">
        <v>776940312</v>
      </c>
      <c r="M9" s="56">
        <v>0</v>
      </c>
      <c r="N9" s="56">
        <v>7362</v>
      </c>
      <c r="O9" s="56">
        <v>663</v>
      </c>
      <c r="P9" s="56">
        <v>115471028</v>
      </c>
      <c r="Q9" s="56">
        <v>3346840</v>
      </c>
      <c r="R9" s="56">
        <v>72012900</v>
      </c>
      <c r="S9" s="56">
        <v>31348755</v>
      </c>
      <c r="T9" s="56">
        <v>2937703</v>
      </c>
      <c r="U9" s="56">
        <v>21528320</v>
      </c>
      <c r="V9" s="56">
        <v>115471028</v>
      </c>
      <c r="W9" s="56">
        <v>4420050</v>
      </c>
      <c r="X9" s="56">
        <v>72012900</v>
      </c>
      <c r="Y9" s="56">
        <v>31348755</v>
      </c>
      <c r="Z9" s="56">
        <v>21163500</v>
      </c>
      <c r="AA9" s="56">
        <v>21528320</v>
      </c>
      <c r="AB9" s="56">
        <v>-22207025</v>
      </c>
      <c r="AC9" s="56">
        <v>794528</v>
      </c>
      <c r="AD9" s="56"/>
      <c r="AE9" s="56"/>
      <c r="AF9" s="56"/>
      <c r="AG9" s="56"/>
      <c r="AH9" s="56">
        <v>0</v>
      </c>
      <c r="AI9" s="54">
        <v>398959.01639344264</v>
      </c>
      <c r="AJ9" s="72">
        <v>0</v>
      </c>
      <c r="AK9" s="1">
        <v>950550032</v>
      </c>
      <c r="AL9" s="1">
        <v>16980085</v>
      </c>
      <c r="AM9" s="56">
        <v>110090</v>
      </c>
      <c r="AN9" s="56">
        <v>775080244</v>
      </c>
      <c r="AO9" s="56">
        <v>36640154</v>
      </c>
      <c r="AP9" s="56">
        <v>1025821532</v>
      </c>
      <c r="AQ9" s="56">
        <v>573730816</v>
      </c>
      <c r="AR9" s="56">
        <v>429588153</v>
      </c>
      <c r="AS9" s="56">
        <v>1283606595</v>
      </c>
      <c r="AT9" s="56">
        <v>537441579</v>
      </c>
      <c r="AU9" s="56">
        <v>75000</v>
      </c>
      <c r="AV9" s="56">
        <v>0</v>
      </c>
      <c r="AW9" s="56">
        <v>6185744</v>
      </c>
      <c r="AX9" s="56">
        <v>4948814</v>
      </c>
      <c r="AY9" s="56">
        <v>14957842</v>
      </c>
      <c r="AZ9" s="1">
        <v>46574944.789999999</v>
      </c>
      <c r="BA9" s="1">
        <v>23753222</v>
      </c>
      <c r="BB9" s="69">
        <v>38590673.579999998</v>
      </c>
      <c r="BC9" s="69">
        <v>1055988</v>
      </c>
      <c r="BD9" s="69">
        <v>2070565</v>
      </c>
      <c r="BE9" s="69">
        <v>144343963</v>
      </c>
      <c r="BF9" s="69">
        <v>144343963</v>
      </c>
      <c r="BG9" s="69">
        <v>740569281</v>
      </c>
      <c r="BH9" s="69">
        <v>478075767</v>
      </c>
      <c r="BI9" s="69">
        <v>0</v>
      </c>
      <c r="BJ9" s="69">
        <v>0</v>
      </c>
      <c r="BK9" s="63"/>
      <c r="BL9" s="5">
        <v>13178916066.016394</v>
      </c>
      <c r="BM9" s="5">
        <v>11564157009.016394</v>
      </c>
      <c r="BN9" s="15">
        <v>4567910</v>
      </c>
      <c r="BO9" s="3"/>
      <c r="BP9" s="5"/>
      <c r="BQ9" s="1"/>
      <c r="BR9" s="1"/>
      <c r="BS9" s="5"/>
      <c r="BT9" s="5"/>
    </row>
    <row r="10" spans="1:72" x14ac:dyDescent="0.25">
      <c r="A10" s="6" t="s">
        <v>64</v>
      </c>
      <c r="B10" s="56">
        <v>569071550</v>
      </c>
      <c r="C10" s="56">
        <v>317424816</v>
      </c>
      <c r="D10" s="56">
        <v>167568524</v>
      </c>
      <c r="E10" s="56">
        <v>2495000</v>
      </c>
      <c r="F10" s="56">
        <v>48389300</v>
      </c>
      <c r="G10" s="56">
        <v>8132900</v>
      </c>
      <c r="H10" s="56">
        <v>11031900</v>
      </c>
      <c r="I10" s="56">
        <v>840500</v>
      </c>
      <c r="J10" s="56">
        <v>72000</v>
      </c>
      <c r="K10" s="56">
        <v>0</v>
      </c>
      <c r="L10" s="56">
        <v>834909106</v>
      </c>
      <c r="M10" s="56">
        <v>190111000</v>
      </c>
      <c r="N10" s="56">
        <v>1674</v>
      </c>
      <c r="O10" s="56">
        <v>258</v>
      </c>
      <c r="P10" s="56">
        <v>1962000</v>
      </c>
      <c r="Q10" s="56">
        <v>2847500</v>
      </c>
      <c r="R10" s="56">
        <v>2443500</v>
      </c>
      <c r="S10" s="56">
        <v>3823625</v>
      </c>
      <c r="T10" s="56">
        <v>266494</v>
      </c>
      <c r="U10" s="56">
        <v>559900</v>
      </c>
      <c r="V10" s="56">
        <v>1962000</v>
      </c>
      <c r="W10" s="56">
        <v>2847500</v>
      </c>
      <c r="X10" s="56">
        <v>2443500</v>
      </c>
      <c r="Y10" s="56">
        <v>3823625</v>
      </c>
      <c r="Z10" s="56">
        <v>266494</v>
      </c>
      <c r="AA10" s="56">
        <v>559900</v>
      </c>
      <c r="AB10" s="56">
        <v>-1159900</v>
      </c>
      <c r="AC10" s="56">
        <v>-418290</v>
      </c>
      <c r="AD10" s="56">
        <v>0</v>
      </c>
      <c r="AE10" s="56">
        <v>0</v>
      </c>
      <c r="AF10" s="56">
        <v>0</v>
      </c>
      <c r="AG10" s="56">
        <v>175857.55</v>
      </c>
      <c r="AH10" s="56">
        <v>0</v>
      </c>
      <c r="AI10" s="54">
        <v>441983.60655737709</v>
      </c>
      <c r="AJ10" s="72">
        <v>0</v>
      </c>
      <c r="AK10" s="1">
        <v>142173850</v>
      </c>
      <c r="AL10" s="1">
        <v>2949491</v>
      </c>
      <c r="AM10" s="56">
        <v>0</v>
      </c>
      <c r="AN10" s="56">
        <v>37405204</v>
      </c>
      <c r="AO10" s="56">
        <v>23976514</v>
      </c>
      <c r="AP10" s="56">
        <v>162135234</v>
      </c>
      <c r="AQ10" s="56">
        <v>37791989</v>
      </c>
      <c r="AR10" s="56">
        <v>48897875</v>
      </c>
      <c r="AS10" s="56">
        <v>21953896</v>
      </c>
      <c r="AT10" s="56">
        <v>116504070</v>
      </c>
      <c r="AU10" s="56">
        <v>0</v>
      </c>
      <c r="AV10" s="56">
        <v>79442</v>
      </c>
      <c r="AW10" s="56">
        <v>1969013</v>
      </c>
      <c r="AX10" s="56">
        <v>10006</v>
      </c>
      <c r="AY10" s="56">
        <v>16000</v>
      </c>
      <c r="AZ10" s="1">
        <v>6966218.5</v>
      </c>
      <c r="BA10" s="1">
        <v>3552771</v>
      </c>
      <c r="BB10" s="69">
        <v>0</v>
      </c>
      <c r="BC10" s="69">
        <v>2039108</v>
      </c>
      <c r="BD10" s="69">
        <v>3998251</v>
      </c>
      <c r="BE10" s="69">
        <v>20539239</v>
      </c>
      <c r="BF10" s="69">
        <v>20539239</v>
      </c>
      <c r="BG10" s="69">
        <v>44527745.5</v>
      </c>
      <c r="BH10" s="69">
        <v>40797779</v>
      </c>
      <c r="BI10" s="69">
        <v>0</v>
      </c>
      <c r="BJ10" s="69">
        <v>0</v>
      </c>
      <c r="BK10" s="63"/>
      <c r="BL10" s="5">
        <v>1365732818.6065574</v>
      </c>
      <c r="BM10" s="5">
        <v>1153680580.6065574</v>
      </c>
      <c r="BN10" s="15"/>
      <c r="BO10" s="3"/>
      <c r="BP10" s="5"/>
      <c r="BQ10" s="1"/>
      <c r="BR10" s="1"/>
      <c r="BS10" s="5"/>
      <c r="BT10" s="5"/>
    </row>
    <row r="11" spans="1:72" x14ac:dyDescent="0.25">
      <c r="A11" s="6" t="s">
        <v>65</v>
      </c>
      <c r="B11" s="56">
        <v>1155459705</v>
      </c>
      <c r="C11" s="56">
        <v>83210256</v>
      </c>
      <c r="D11" s="56">
        <v>602524138</v>
      </c>
      <c r="E11" s="56">
        <v>0</v>
      </c>
      <c r="F11" s="56">
        <v>144143510</v>
      </c>
      <c r="G11" s="56">
        <v>42071100</v>
      </c>
      <c r="H11" s="56">
        <v>8603900</v>
      </c>
      <c r="I11" s="56">
        <v>1856700</v>
      </c>
      <c r="J11" s="56">
        <v>564500</v>
      </c>
      <c r="K11" s="56">
        <v>93100</v>
      </c>
      <c r="L11" s="56">
        <v>46533264</v>
      </c>
      <c r="M11" s="56">
        <v>75390010</v>
      </c>
      <c r="N11" s="56">
        <v>4561</v>
      </c>
      <c r="O11" s="56">
        <v>1354</v>
      </c>
      <c r="P11" s="56">
        <v>6276860</v>
      </c>
      <c r="Q11" s="56">
        <v>1308800</v>
      </c>
      <c r="R11" s="56">
        <v>1218500</v>
      </c>
      <c r="S11" s="56">
        <v>4259550</v>
      </c>
      <c r="T11" s="56">
        <v>299500</v>
      </c>
      <c r="U11" s="56">
        <v>1645550</v>
      </c>
      <c r="V11" s="56">
        <v>6276860</v>
      </c>
      <c r="W11" s="56">
        <v>2121800</v>
      </c>
      <c r="X11" s="56">
        <v>1218500</v>
      </c>
      <c r="Y11" s="56">
        <v>4259550</v>
      </c>
      <c r="Z11" s="56">
        <v>432400</v>
      </c>
      <c r="AA11" s="56">
        <v>1426550</v>
      </c>
      <c r="AB11" s="56">
        <v>-6047400</v>
      </c>
      <c r="AC11" s="56">
        <v>-52896934</v>
      </c>
      <c r="AD11" s="56">
        <v>23738</v>
      </c>
      <c r="AE11" s="56">
        <v>0</v>
      </c>
      <c r="AF11" s="56">
        <v>0</v>
      </c>
      <c r="AG11" s="56">
        <v>1520</v>
      </c>
      <c r="AH11" s="56">
        <v>92352.459016393448</v>
      </c>
      <c r="AI11" s="54">
        <v>2159189.3442622949</v>
      </c>
      <c r="AJ11" s="72">
        <v>301000.00000000006</v>
      </c>
      <c r="AK11" s="1">
        <v>305841505</v>
      </c>
      <c r="AL11" s="1">
        <v>7580736</v>
      </c>
      <c r="AM11" s="56">
        <v>0</v>
      </c>
      <c r="AN11" s="56">
        <v>137226305</v>
      </c>
      <c r="AO11" s="56">
        <v>18962371</v>
      </c>
      <c r="AP11" s="56">
        <v>314511554</v>
      </c>
      <c r="AQ11" s="56">
        <v>145439487</v>
      </c>
      <c r="AR11" s="56">
        <v>249863026</v>
      </c>
      <c r="AS11" s="56">
        <v>19586200</v>
      </c>
      <c r="AT11" s="56">
        <v>1346213394</v>
      </c>
      <c r="AU11" s="56">
        <v>0</v>
      </c>
      <c r="AV11" s="56">
        <v>0</v>
      </c>
      <c r="AW11" s="56">
        <v>0</v>
      </c>
      <c r="AX11" s="56">
        <v>27925</v>
      </c>
      <c r="AY11" s="56">
        <v>0</v>
      </c>
      <c r="AZ11" s="1">
        <v>14985588.060000001</v>
      </c>
      <c r="BA11" s="1">
        <v>7642650</v>
      </c>
      <c r="BB11" s="69">
        <v>21658031.09</v>
      </c>
      <c r="BC11" s="69">
        <v>5740229</v>
      </c>
      <c r="BD11" s="69">
        <v>11255351</v>
      </c>
      <c r="BE11" s="69">
        <v>73276063</v>
      </c>
      <c r="BF11" s="69">
        <v>73276063</v>
      </c>
      <c r="BG11" s="69">
        <v>119827420</v>
      </c>
      <c r="BH11" s="69">
        <v>116322766</v>
      </c>
      <c r="BI11" s="69">
        <v>0</v>
      </c>
      <c r="BJ11" s="69">
        <v>0</v>
      </c>
      <c r="BK11" s="63"/>
      <c r="BL11" s="5">
        <v>2661778752.8032789</v>
      </c>
      <c r="BM11" s="5">
        <v>2145374803.8032787</v>
      </c>
      <c r="BN11" s="15">
        <v>5857500</v>
      </c>
      <c r="BO11" s="3"/>
      <c r="BP11" s="5"/>
      <c r="BQ11" s="1"/>
      <c r="BR11" s="1"/>
      <c r="BS11" s="5"/>
      <c r="BT11" s="5"/>
    </row>
    <row r="12" spans="1:72" x14ac:dyDescent="0.25">
      <c r="A12" s="6" t="s">
        <v>66</v>
      </c>
      <c r="B12" s="56">
        <v>976414700</v>
      </c>
      <c r="C12" s="56">
        <v>164508400</v>
      </c>
      <c r="D12" s="56">
        <v>411850550</v>
      </c>
      <c r="E12" s="56">
        <v>0</v>
      </c>
      <c r="F12" s="56">
        <v>90960300</v>
      </c>
      <c r="G12" s="56">
        <v>10848000</v>
      </c>
      <c r="H12" s="56">
        <v>10883000</v>
      </c>
      <c r="I12" s="56">
        <v>1224000</v>
      </c>
      <c r="J12" s="56">
        <v>180000</v>
      </c>
      <c r="K12" s="56">
        <v>0</v>
      </c>
      <c r="L12" s="56">
        <v>265120335</v>
      </c>
      <c r="M12" s="56">
        <v>138700700</v>
      </c>
      <c r="N12" s="56">
        <v>2920</v>
      </c>
      <c r="O12" s="56">
        <v>363</v>
      </c>
      <c r="P12" s="56">
        <v>6066300</v>
      </c>
      <c r="Q12" s="56">
        <v>2097000</v>
      </c>
      <c r="R12" s="56">
        <v>3222000</v>
      </c>
      <c r="S12" s="56">
        <v>7737000</v>
      </c>
      <c r="T12" s="56">
        <v>527900</v>
      </c>
      <c r="U12" s="56">
        <v>12289000</v>
      </c>
      <c r="V12" s="56">
        <v>6066300</v>
      </c>
      <c r="W12" s="56">
        <v>2104500</v>
      </c>
      <c r="X12" s="56">
        <v>3222000</v>
      </c>
      <c r="Y12" s="56">
        <v>7737000</v>
      </c>
      <c r="Z12" s="56">
        <v>1454500</v>
      </c>
      <c r="AA12" s="56">
        <v>12289000</v>
      </c>
      <c r="AB12" s="56">
        <v>-2068000</v>
      </c>
      <c r="AC12" s="56">
        <v>-314231</v>
      </c>
      <c r="AD12" s="56">
        <v>14982</v>
      </c>
      <c r="AE12" s="56">
        <v>0</v>
      </c>
      <c r="AF12" s="56">
        <v>0</v>
      </c>
      <c r="AG12" s="56">
        <v>99223</v>
      </c>
      <c r="AH12" s="56">
        <v>0</v>
      </c>
      <c r="AI12" s="54">
        <v>225040.98360655739</v>
      </c>
      <c r="AJ12" s="72">
        <v>0</v>
      </c>
      <c r="AK12" s="1">
        <v>162958358</v>
      </c>
      <c r="AL12" s="1">
        <v>5368305</v>
      </c>
      <c r="AM12" s="56">
        <v>0</v>
      </c>
      <c r="AN12" s="56">
        <v>70607661</v>
      </c>
      <c r="AO12" s="56">
        <v>8090003</v>
      </c>
      <c r="AP12" s="56">
        <v>227971120</v>
      </c>
      <c r="AQ12" s="56">
        <v>91804871</v>
      </c>
      <c r="AR12" s="56">
        <v>106818963</v>
      </c>
      <c r="AS12" s="56">
        <v>108451629</v>
      </c>
      <c r="AT12" s="56">
        <v>1058617</v>
      </c>
      <c r="AU12" s="56">
        <v>0</v>
      </c>
      <c r="AV12" s="56">
        <v>819219</v>
      </c>
      <c r="AW12" s="56">
        <v>1647813</v>
      </c>
      <c r="AX12" s="56">
        <v>242083</v>
      </c>
      <c r="AY12" s="56">
        <v>1425180</v>
      </c>
      <c r="AZ12" s="1">
        <v>7984615.5099999998</v>
      </c>
      <c r="BA12" s="1">
        <v>4072154</v>
      </c>
      <c r="BB12" s="69">
        <v>0</v>
      </c>
      <c r="BC12" s="69">
        <v>2934785</v>
      </c>
      <c r="BD12" s="69">
        <v>5754481</v>
      </c>
      <c r="BE12" s="69">
        <v>45530437</v>
      </c>
      <c r="BF12" s="69">
        <v>45530437</v>
      </c>
      <c r="BG12" s="69">
        <v>56853121</v>
      </c>
      <c r="BH12" s="69">
        <v>52568669</v>
      </c>
      <c r="BI12" s="69">
        <v>0</v>
      </c>
      <c r="BJ12" s="69">
        <v>0</v>
      </c>
      <c r="BK12" s="63"/>
      <c r="BL12" s="5">
        <v>1996933933.9836066</v>
      </c>
      <c r="BM12" s="5">
        <v>1723501225.9836066</v>
      </c>
      <c r="BN12" s="15"/>
      <c r="BO12" s="3"/>
      <c r="BP12" s="5"/>
      <c r="BQ12" s="1"/>
      <c r="BR12" s="1"/>
      <c r="BS12" s="5"/>
      <c r="BT12" s="5"/>
    </row>
    <row r="13" spans="1:72" x14ac:dyDescent="0.25">
      <c r="A13" s="6" t="s">
        <v>67</v>
      </c>
      <c r="B13" s="56">
        <v>138815605</v>
      </c>
      <c r="C13" s="56">
        <v>103101775</v>
      </c>
      <c r="D13" s="56">
        <v>23544165</v>
      </c>
      <c r="E13" s="56">
        <v>0</v>
      </c>
      <c r="F13" s="56">
        <v>17943950</v>
      </c>
      <c r="G13" s="56">
        <v>4063790</v>
      </c>
      <c r="H13" s="56">
        <v>7711500</v>
      </c>
      <c r="I13" s="56">
        <v>1114850</v>
      </c>
      <c r="J13" s="56">
        <v>0</v>
      </c>
      <c r="K13" s="56">
        <v>0</v>
      </c>
      <c r="L13" s="56">
        <v>85913505</v>
      </c>
      <c r="M13" s="56">
        <v>58839800</v>
      </c>
      <c r="N13" s="56">
        <v>771</v>
      </c>
      <c r="O13" s="56">
        <v>166</v>
      </c>
      <c r="P13" s="56">
        <v>807300</v>
      </c>
      <c r="Q13" s="56">
        <v>887000</v>
      </c>
      <c r="R13" s="56">
        <v>0</v>
      </c>
      <c r="S13" s="56">
        <v>1397989</v>
      </c>
      <c r="T13" s="56">
        <v>529029</v>
      </c>
      <c r="U13" s="56">
        <v>90000</v>
      </c>
      <c r="V13" s="56">
        <v>807300</v>
      </c>
      <c r="W13" s="56">
        <v>739500</v>
      </c>
      <c r="X13" s="56">
        <v>0</v>
      </c>
      <c r="Y13" s="56">
        <v>1397989</v>
      </c>
      <c r="Z13" s="56">
        <v>774155</v>
      </c>
      <c r="AA13" s="56">
        <v>90000</v>
      </c>
      <c r="AB13" s="56">
        <v>-317600</v>
      </c>
      <c r="AC13" s="56">
        <v>0</v>
      </c>
      <c r="AD13" s="56">
        <v>0</v>
      </c>
      <c r="AE13" s="56">
        <v>0</v>
      </c>
      <c r="AF13" s="56">
        <v>0</v>
      </c>
      <c r="AG13" s="56">
        <v>117296</v>
      </c>
      <c r="AH13" s="56">
        <v>0</v>
      </c>
      <c r="AI13" s="56">
        <v>0</v>
      </c>
      <c r="AJ13" s="72">
        <v>0</v>
      </c>
      <c r="AK13" s="1">
        <v>50017733</v>
      </c>
      <c r="AL13" s="1">
        <v>890060</v>
      </c>
      <c r="AM13" s="56">
        <v>0</v>
      </c>
      <c r="AN13" s="56">
        <v>8953477</v>
      </c>
      <c r="AO13" s="56">
        <v>236771</v>
      </c>
      <c r="AP13" s="56">
        <v>34044182</v>
      </c>
      <c r="AQ13" s="56">
        <v>2859093</v>
      </c>
      <c r="AR13" s="56">
        <v>16386434</v>
      </c>
      <c r="AS13" s="56">
        <v>258418</v>
      </c>
      <c r="AT13" s="56">
        <v>579399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1">
        <v>2450763.3199999998</v>
      </c>
      <c r="BA13" s="1">
        <v>1249889</v>
      </c>
      <c r="BB13" s="69">
        <v>19000000</v>
      </c>
      <c r="BC13" s="69">
        <v>1323781</v>
      </c>
      <c r="BD13" s="69">
        <v>2595648</v>
      </c>
      <c r="BE13" s="69">
        <v>22732834</v>
      </c>
      <c r="BF13" s="69">
        <v>22732834</v>
      </c>
      <c r="BG13" s="69">
        <v>34638645</v>
      </c>
      <c r="BH13" s="69">
        <v>30292875</v>
      </c>
      <c r="BI13" s="69">
        <v>0</v>
      </c>
      <c r="BJ13" s="69">
        <v>0</v>
      </c>
      <c r="BK13" s="63"/>
      <c r="BL13" s="5">
        <v>384018058</v>
      </c>
      <c r="BM13" s="5">
        <v>277510886</v>
      </c>
      <c r="BN13" s="15"/>
      <c r="BO13" s="3"/>
      <c r="BP13" s="5"/>
      <c r="BQ13" s="1"/>
      <c r="BR13" s="1"/>
      <c r="BS13" s="5"/>
      <c r="BT13" s="5"/>
    </row>
    <row r="14" spans="1:72" x14ac:dyDescent="0.25">
      <c r="A14" s="6" t="s">
        <v>68</v>
      </c>
      <c r="B14" s="40">
        <v>137058938</v>
      </c>
      <c r="C14" s="40">
        <v>78671290</v>
      </c>
      <c r="D14" s="40">
        <v>65648783</v>
      </c>
      <c r="E14" s="40">
        <v>0</v>
      </c>
      <c r="F14" s="40">
        <v>19811440</v>
      </c>
      <c r="G14" s="40">
        <v>34596990</v>
      </c>
      <c r="H14" s="40">
        <v>9725182</v>
      </c>
      <c r="I14" s="40">
        <v>11974205</v>
      </c>
      <c r="J14" s="40">
        <v>144000</v>
      </c>
      <c r="K14" s="40">
        <v>216000</v>
      </c>
      <c r="L14" s="40">
        <v>63783970</v>
      </c>
      <c r="M14" s="40">
        <v>48226821</v>
      </c>
      <c r="N14" s="40">
        <v>926</v>
      </c>
      <c r="O14" s="40">
        <v>1550</v>
      </c>
      <c r="P14" s="40">
        <v>1289529</v>
      </c>
      <c r="Q14" s="40">
        <v>520025</v>
      </c>
      <c r="R14" s="40">
        <v>778900</v>
      </c>
      <c r="S14" s="40">
        <v>2469219</v>
      </c>
      <c r="T14" s="40">
        <v>1276045</v>
      </c>
      <c r="U14" s="40">
        <v>1824150</v>
      </c>
      <c r="V14" s="40">
        <v>1289529</v>
      </c>
      <c r="W14" s="40">
        <v>467000</v>
      </c>
      <c r="X14" s="40">
        <v>778900</v>
      </c>
      <c r="Y14" s="40">
        <v>2469219</v>
      </c>
      <c r="Z14" s="40">
        <v>1357800</v>
      </c>
      <c r="AA14" s="40">
        <v>1824150</v>
      </c>
      <c r="AB14" s="40">
        <v>-1045338</v>
      </c>
      <c r="AC14" s="40">
        <v>0</v>
      </c>
      <c r="AD14" s="40">
        <v>255034</v>
      </c>
      <c r="AE14" s="40">
        <v>0</v>
      </c>
      <c r="AF14" s="40">
        <v>0</v>
      </c>
      <c r="AG14" s="40">
        <v>276451</v>
      </c>
      <c r="AH14" s="40">
        <v>1477967.2131147541</v>
      </c>
      <c r="AI14" s="40">
        <v>1241136.8852459018</v>
      </c>
      <c r="AJ14" s="71">
        <v>95616270.491803288</v>
      </c>
      <c r="AK14" s="1">
        <v>63150907</v>
      </c>
      <c r="AL14" s="1">
        <v>1078982</v>
      </c>
      <c r="AM14" s="40">
        <v>0</v>
      </c>
      <c r="AN14" s="40">
        <v>43650482</v>
      </c>
      <c r="AO14" s="40">
        <v>245625</v>
      </c>
      <c r="AP14" s="40">
        <v>11265183</v>
      </c>
      <c r="AQ14" s="40">
        <v>13786110</v>
      </c>
      <c r="AR14" s="40">
        <v>2760025</v>
      </c>
      <c r="AS14" s="40">
        <v>0</v>
      </c>
      <c r="AT14" s="40">
        <v>91550</v>
      </c>
      <c r="AU14" s="40">
        <v>0</v>
      </c>
      <c r="AV14" s="40">
        <v>0</v>
      </c>
      <c r="AW14" s="40">
        <v>0</v>
      </c>
      <c r="AX14" s="40">
        <v>34094</v>
      </c>
      <c r="AY14" s="40">
        <v>0</v>
      </c>
      <c r="AZ14" s="1">
        <v>3094261.12</v>
      </c>
      <c r="BA14" s="1">
        <v>1578073</v>
      </c>
      <c r="BB14" s="69">
        <v>0</v>
      </c>
      <c r="BC14" s="69">
        <v>2207313</v>
      </c>
      <c r="BD14" s="69">
        <v>4328065</v>
      </c>
      <c r="BE14" s="69">
        <v>14174925</v>
      </c>
      <c r="BF14" s="69">
        <v>14174925</v>
      </c>
      <c r="BG14" s="69">
        <v>43385602</v>
      </c>
      <c r="BH14" s="69">
        <v>37742848</v>
      </c>
      <c r="BI14" s="69">
        <v>0</v>
      </c>
      <c r="BJ14" s="69">
        <v>0</v>
      </c>
      <c r="BK14" s="44"/>
      <c r="BL14" s="5">
        <v>557329650.59016395</v>
      </c>
      <c r="BM14" s="5">
        <v>437396602.59016395</v>
      </c>
      <c r="BN14" s="15">
        <v>1177197</v>
      </c>
      <c r="BO14" s="3"/>
      <c r="BP14" s="5"/>
      <c r="BQ14" s="1"/>
      <c r="BR14" s="1"/>
      <c r="BS14" s="5"/>
      <c r="BT14" s="5"/>
    </row>
    <row r="15" spans="1:72" x14ac:dyDescent="0.25">
      <c r="A15" s="6" t="s">
        <v>69</v>
      </c>
      <c r="B15" s="56">
        <v>520165263</v>
      </c>
      <c r="C15" s="56">
        <v>212745388</v>
      </c>
      <c r="D15" s="56">
        <v>77666656</v>
      </c>
      <c r="E15" s="56">
        <v>0</v>
      </c>
      <c r="F15" s="56">
        <v>48741220</v>
      </c>
      <c r="G15" s="56">
        <v>11690085</v>
      </c>
      <c r="H15" s="56">
        <v>19232019</v>
      </c>
      <c r="I15" s="56">
        <v>2505353</v>
      </c>
      <c r="J15" s="56">
        <v>36000</v>
      </c>
      <c r="K15" s="56">
        <v>0</v>
      </c>
      <c r="L15" s="56">
        <v>362544767</v>
      </c>
      <c r="M15" s="56">
        <v>119706050</v>
      </c>
      <c r="N15" s="56">
        <v>2030</v>
      </c>
      <c r="O15" s="56">
        <v>476</v>
      </c>
      <c r="P15" s="56">
        <v>9337000</v>
      </c>
      <c r="Q15" s="56">
        <v>2183500</v>
      </c>
      <c r="R15" s="56">
        <v>2043100</v>
      </c>
      <c r="S15" s="56">
        <v>4890350</v>
      </c>
      <c r="T15" s="56">
        <v>752050</v>
      </c>
      <c r="U15" s="56">
        <v>533052</v>
      </c>
      <c r="V15" s="56">
        <v>9337000</v>
      </c>
      <c r="W15" s="56">
        <v>2183500</v>
      </c>
      <c r="X15" s="56">
        <v>2043100</v>
      </c>
      <c r="Y15" s="56">
        <v>4890350</v>
      </c>
      <c r="Z15" s="56">
        <v>712000</v>
      </c>
      <c r="AA15" s="56">
        <v>533052</v>
      </c>
      <c r="AB15" s="56">
        <v>-1491425</v>
      </c>
      <c r="AC15" s="56">
        <v>0</v>
      </c>
      <c r="AD15" s="56">
        <v>146898</v>
      </c>
      <c r="AE15" s="56">
        <v>0</v>
      </c>
      <c r="AF15" s="56">
        <v>0</v>
      </c>
      <c r="AG15" s="56">
        <v>353081</v>
      </c>
      <c r="AH15" s="56">
        <v>459377.04918032791</v>
      </c>
      <c r="AI15" s="56">
        <v>1154552.4590163934</v>
      </c>
      <c r="AJ15" s="72">
        <v>0</v>
      </c>
      <c r="AK15" s="1">
        <v>116743929</v>
      </c>
      <c r="AL15" s="1">
        <v>15581321</v>
      </c>
      <c r="AM15" s="56">
        <v>728500</v>
      </c>
      <c r="AN15" s="56">
        <v>19855438</v>
      </c>
      <c r="AO15" s="56">
        <v>128076</v>
      </c>
      <c r="AP15" s="56">
        <v>14789826</v>
      </c>
      <c r="AQ15" s="56">
        <v>21372655</v>
      </c>
      <c r="AR15" s="56">
        <v>18966330</v>
      </c>
      <c r="AS15" s="56">
        <v>0</v>
      </c>
      <c r="AT15" s="56">
        <v>1135414</v>
      </c>
      <c r="AU15" s="56">
        <v>0</v>
      </c>
      <c r="AV15" s="56">
        <v>0</v>
      </c>
      <c r="AW15" s="56">
        <v>898951</v>
      </c>
      <c r="AX15" s="56">
        <v>25057</v>
      </c>
      <c r="AY15" s="56">
        <v>144740</v>
      </c>
      <c r="AZ15" s="1">
        <v>5720206.0499999998</v>
      </c>
      <c r="BA15" s="1">
        <v>2917305</v>
      </c>
      <c r="BB15" s="69">
        <v>22248704.670000002</v>
      </c>
      <c r="BC15" s="69">
        <v>1802892</v>
      </c>
      <c r="BD15" s="69">
        <v>3535083</v>
      </c>
      <c r="BE15" s="69">
        <v>33818293</v>
      </c>
      <c r="BF15" s="69">
        <v>33818293</v>
      </c>
      <c r="BG15" s="69">
        <v>81188113</v>
      </c>
      <c r="BH15" s="69">
        <v>78481449</v>
      </c>
      <c r="BI15" s="69">
        <v>0</v>
      </c>
      <c r="BJ15" s="69">
        <v>0</v>
      </c>
      <c r="BK15" s="63"/>
      <c r="BL15" s="5">
        <v>1102892594.5081968</v>
      </c>
      <c r="BM15" s="5">
        <v>853547405.50819671</v>
      </c>
      <c r="BN15" s="15">
        <v>2122213</v>
      </c>
      <c r="BO15" s="3"/>
      <c r="BP15" s="5"/>
      <c r="BQ15" s="1"/>
      <c r="BR15" s="1"/>
      <c r="BS15" s="5"/>
      <c r="BT15" s="5"/>
    </row>
    <row r="16" spans="1:72" x14ac:dyDescent="0.25">
      <c r="A16" s="6" t="s">
        <v>70</v>
      </c>
      <c r="B16" s="56">
        <v>3494256152</v>
      </c>
      <c r="C16" s="56">
        <v>234695515</v>
      </c>
      <c r="D16" s="56">
        <v>904467890</v>
      </c>
      <c r="E16" s="56">
        <v>23841565</v>
      </c>
      <c r="F16" s="56">
        <v>188979745</v>
      </c>
      <c r="G16" s="56">
        <v>35587440</v>
      </c>
      <c r="H16" s="56">
        <v>16687833</v>
      </c>
      <c r="I16" s="56">
        <v>2872164</v>
      </c>
      <c r="J16" s="56">
        <v>216000</v>
      </c>
      <c r="K16" s="56">
        <v>0</v>
      </c>
      <c r="L16" s="56">
        <v>358836228</v>
      </c>
      <c r="M16" s="56">
        <v>161172425</v>
      </c>
      <c r="N16" s="56">
        <v>5825</v>
      </c>
      <c r="O16" s="56">
        <v>1123</v>
      </c>
      <c r="P16" s="56">
        <v>40265024</v>
      </c>
      <c r="Q16" s="56">
        <v>1854347</v>
      </c>
      <c r="R16" s="56">
        <v>1201820</v>
      </c>
      <c r="S16" s="56">
        <v>10785118</v>
      </c>
      <c r="T16" s="56">
        <v>2746173</v>
      </c>
      <c r="U16" s="56">
        <v>8510004</v>
      </c>
      <c r="V16" s="56">
        <v>40265024</v>
      </c>
      <c r="W16" s="56">
        <v>2778251</v>
      </c>
      <c r="X16" s="56">
        <v>1201820</v>
      </c>
      <c r="Y16" s="56">
        <v>10785118</v>
      </c>
      <c r="Z16" s="56">
        <v>3514427</v>
      </c>
      <c r="AA16" s="56">
        <v>8510004</v>
      </c>
      <c r="AB16" s="56">
        <v>-11026405</v>
      </c>
      <c r="AC16" s="56">
        <v>-96599</v>
      </c>
      <c r="AD16" s="56">
        <v>26292</v>
      </c>
      <c r="AE16" s="56">
        <v>556</v>
      </c>
      <c r="AF16" s="56">
        <v>13678777</v>
      </c>
      <c r="AG16" s="56">
        <v>89563</v>
      </c>
      <c r="AH16" s="56">
        <v>0</v>
      </c>
      <c r="AI16" s="56">
        <v>754418.03278688528</v>
      </c>
      <c r="AJ16" s="72">
        <v>0</v>
      </c>
      <c r="AK16" s="1">
        <v>464263482</v>
      </c>
      <c r="AL16" s="1">
        <v>17189175</v>
      </c>
      <c r="AM16" s="56">
        <v>0</v>
      </c>
      <c r="AN16" s="56">
        <v>119636033</v>
      </c>
      <c r="AO16" s="56">
        <v>5388861</v>
      </c>
      <c r="AP16" s="56">
        <v>145012605</v>
      </c>
      <c r="AQ16" s="56">
        <v>288815412</v>
      </c>
      <c r="AR16" s="56">
        <v>926282719</v>
      </c>
      <c r="AS16" s="56">
        <v>2742904588</v>
      </c>
      <c r="AT16" s="56">
        <v>548386541</v>
      </c>
      <c r="AU16" s="56">
        <v>0</v>
      </c>
      <c r="AV16" s="56">
        <v>0</v>
      </c>
      <c r="AW16" s="56">
        <v>9253186</v>
      </c>
      <c r="AX16" s="56">
        <v>2357156</v>
      </c>
      <c r="AY16" s="56">
        <v>194300</v>
      </c>
      <c r="AZ16" s="1">
        <v>22747930.48</v>
      </c>
      <c r="BA16" s="1">
        <v>11601445</v>
      </c>
      <c r="BB16" s="69">
        <v>0</v>
      </c>
      <c r="BC16" s="69">
        <v>2754435</v>
      </c>
      <c r="BD16" s="69">
        <v>5400854</v>
      </c>
      <c r="BE16" s="69">
        <v>33958582</v>
      </c>
      <c r="BF16" s="69">
        <v>33371002</v>
      </c>
      <c r="BG16" s="69">
        <v>83582967.5</v>
      </c>
      <c r="BH16" s="69">
        <v>80031521</v>
      </c>
      <c r="BI16" s="69">
        <v>242700034</v>
      </c>
      <c r="BJ16" s="69">
        <v>0</v>
      </c>
      <c r="BK16" s="63"/>
      <c r="BL16" s="5">
        <v>5899925375.0327873</v>
      </c>
      <c r="BM16" s="5">
        <v>5048014281.0327873</v>
      </c>
      <c r="BN16" s="15"/>
      <c r="BO16" s="3"/>
      <c r="BP16" s="5"/>
      <c r="BQ16" s="1"/>
      <c r="BR16" s="1"/>
      <c r="BS16" s="5"/>
      <c r="BT16" s="5"/>
    </row>
    <row r="17" spans="1:72" x14ac:dyDescent="0.25">
      <c r="A17" s="6" t="s">
        <v>71</v>
      </c>
      <c r="B17" s="56">
        <v>176207964</v>
      </c>
      <c r="C17" s="56">
        <v>114949690</v>
      </c>
      <c r="D17" s="56">
        <v>58543760</v>
      </c>
      <c r="E17" s="56">
        <v>0</v>
      </c>
      <c r="F17" s="56">
        <v>22577750</v>
      </c>
      <c r="G17" s="56">
        <v>9451000</v>
      </c>
      <c r="H17" s="56">
        <v>12215310</v>
      </c>
      <c r="I17" s="56">
        <v>3254500</v>
      </c>
      <c r="J17" s="56">
        <v>36000</v>
      </c>
      <c r="K17" s="56">
        <v>0</v>
      </c>
      <c r="L17" s="56">
        <v>236909714</v>
      </c>
      <c r="M17" s="56">
        <v>72148004</v>
      </c>
      <c r="N17" s="56">
        <v>1057</v>
      </c>
      <c r="O17" s="56">
        <v>411</v>
      </c>
      <c r="P17" s="56">
        <v>737800</v>
      </c>
      <c r="Q17" s="56">
        <v>851300</v>
      </c>
      <c r="R17" s="56">
        <v>17000</v>
      </c>
      <c r="S17" s="56">
        <v>1676700</v>
      </c>
      <c r="T17" s="56">
        <v>369100</v>
      </c>
      <c r="U17" s="56">
        <v>405900</v>
      </c>
      <c r="V17" s="56">
        <v>737800</v>
      </c>
      <c r="W17" s="56">
        <v>1083900</v>
      </c>
      <c r="X17" s="56">
        <v>17000</v>
      </c>
      <c r="Y17" s="56">
        <v>1676700</v>
      </c>
      <c r="Z17" s="56">
        <v>790100</v>
      </c>
      <c r="AA17" s="56">
        <v>405900</v>
      </c>
      <c r="AB17" s="56">
        <v>-1570000</v>
      </c>
      <c r="AC17" s="56">
        <v>0</v>
      </c>
      <c r="AD17" s="56">
        <v>150331</v>
      </c>
      <c r="AE17" s="56">
        <v>72585</v>
      </c>
      <c r="AF17" s="56">
        <v>19180070</v>
      </c>
      <c r="AG17" s="56">
        <v>254109</v>
      </c>
      <c r="AH17" s="56">
        <v>1124475.4098360655</v>
      </c>
      <c r="AI17" s="56">
        <v>329347.5409836066</v>
      </c>
      <c r="AJ17" s="72">
        <v>0</v>
      </c>
      <c r="AK17" s="1">
        <v>72425459</v>
      </c>
      <c r="AL17" s="1">
        <v>2037704</v>
      </c>
      <c r="AM17" s="56">
        <v>0</v>
      </c>
      <c r="AN17" s="56">
        <v>12897322</v>
      </c>
      <c r="AO17" s="56">
        <v>916161</v>
      </c>
      <c r="AP17" s="56">
        <v>61109165</v>
      </c>
      <c r="AQ17" s="56">
        <v>6572977</v>
      </c>
      <c r="AR17" s="56">
        <v>22765746</v>
      </c>
      <c r="AS17" s="56">
        <v>377384</v>
      </c>
      <c r="AT17" s="56">
        <v>423105</v>
      </c>
      <c r="AU17" s="56">
        <v>0</v>
      </c>
      <c r="AV17" s="56">
        <v>0</v>
      </c>
      <c r="AW17" s="56">
        <v>0</v>
      </c>
      <c r="AX17" s="56">
        <v>186996</v>
      </c>
      <c r="AY17" s="56">
        <v>72000</v>
      </c>
      <c r="AZ17" s="1">
        <v>3548694.59</v>
      </c>
      <c r="BA17" s="1">
        <v>1809834</v>
      </c>
      <c r="BB17" s="69">
        <v>0</v>
      </c>
      <c r="BC17" s="69">
        <v>0</v>
      </c>
      <c r="BD17" s="69">
        <v>0</v>
      </c>
      <c r="BE17" s="69">
        <v>2820787</v>
      </c>
      <c r="BF17" s="69">
        <v>2820787</v>
      </c>
      <c r="BG17" s="69">
        <v>22424317</v>
      </c>
      <c r="BH17" s="69">
        <v>22424317</v>
      </c>
      <c r="BI17" s="69">
        <v>0</v>
      </c>
      <c r="BJ17" s="69">
        <v>0</v>
      </c>
      <c r="BK17" s="63"/>
      <c r="BL17" s="5">
        <v>464722678.95081967</v>
      </c>
      <c r="BM17" s="5">
        <v>363204577.95081967</v>
      </c>
      <c r="BN17" s="15"/>
      <c r="BO17" s="3"/>
      <c r="BP17" s="5"/>
      <c r="BQ17" s="1"/>
      <c r="BR17" s="1"/>
      <c r="BS17" s="5"/>
      <c r="BT17" s="5"/>
    </row>
    <row r="18" spans="1:72" x14ac:dyDescent="0.25">
      <c r="A18" s="6" t="s">
        <v>72</v>
      </c>
      <c r="B18" s="56">
        <v>219758566</v>
      </c>
      <c r="C18" s="56">
        <v>105355256</v>
      </c>
      <c r="D18" s="56">
        <v>77538902</v>
      </c>
      <c r="E18" s="56">
        <v>9573455</v>
      </c>
      <c r="F18" s="56">
        <v>37441579</v>
      </c>
      <c r="G18" s="56">
        <v>9552608</v>
      </c>
      <c r="H18" s="56">
        <v>10195631</v>
      </c>
      <c r="I18" s="56">
        <v>2061493</v>
      </c>
      <c r="J18" s="56">
        <v>90000</v>
      </c>
      <c r="K18" s="56">
        <v>36000</v>
      </c>
      <c r="L18" s="56">
        <v>227314208</v>
      </c>
      <c r="M18" s="56">
        <v>57546372</v>
      </c>
      <c r="N18" s="56">
        <v>1413</v>
      </c>
      <c r="O18" s="56">
        <v>367</v>
      </c>
      <c r="P18" s="56">
        <v>1236130</v>
      </c>
      <c r="Q18" s="56">
        <v>421095</v>
      </c>
      <c r="R18" s="56">
        <v>40000</v>
      </c>
      <c r="S18" s="56">
        <v>2620046</v>
      </c>
      <c r="T18" s="56">
        <v>219969</v>
      </c>
      <c r="U18" s="56">
        <v>1936999</v>
      </c>
      <c r="V18" s="56">
        <v>1236130</v>
      </c>
      <c r="W18" s="56">
        <v>265845</v>
      </c>
      <c r="X18" s="56">
        <v>40000</v>
      </c>
      <c r="Y18" s="56">
        <v>2620046</v>
      </c>
      <c r="Z18" s="56">
        <v>748793</v>
      </c>
      <c r="AA18" s="56">
        <v>1936999</v>
      </c>
      <c r="AB18" s="56">
        <v>-1863231</v>
      </c>
      <c r="AC18" s="56">
        <v>-375847</v>
      </c>
      <c r="AD18" s="56">
        <v>24905</v>
      </c>
      <c r="AE18" s="56">
        <v>963506</v>
      </c>
      <c r="AF18" s="56">
        <v>27746328</v>
      </c>
      <c r="AG18" s="56">
        <v>200135</v>
      </c>
      <c r="AH18" s="56">
        <v>238786.88524590165</v>
      </c>
      <c r="AI18" s="56">
        <v>2534893.4426229512</v>
      </c>
      <c r="AJ18" s="72">
        <v>0</v>
      </c>
      <c r="AK18" s="1">
        <v>86385174</v>
      </c>
      <c r="AL18" s="1">
        <v>2423246</v>
      </c>
      <c r="AM18" s="56">
        <v>0</v>
      </c>
      <c r="AN18" s="56">
        <v>19995120</v>
      </c>
      <c r="AO18" s="56">
        <v>5793188</v>
      </c>
      <c r="AP18" s="56">
        <v>121902187</v>
      </c>
      <c r="AQ18" s="56">
        <v>26980610</v>
      </c>
      <c r="AR18" s="56">
        <v>34834337</v>
      </c>
      <c r="AS18" s="56">
        <v>15141000</v>
      </c>
      <c r="AT18" s="56">
        <v>1551295</v>
      </c>
      <c r="AU18" s="56">
        <v>0</v>
      </c>
      <c r="AV18" s="56">
        <v>4720506</v>
      </c>
      <c r="AW18" s="56">
        <v>0</v>
      </c>
      <c r="AX18" s="56">
        <v>13710</v>
      </c>
      <c r="AY18" s="56">
        <v>937000</v>
      </c>
      <c r="AZ18" s="1">
        <v>4232691.1500000004</v>
      </c>
      <c r="BA18" s="1">
        <v>2158672</v>
      </c>
      <c r="BB18" s="69">
        <v>0</v>
      </c>
      <c r="BC18" s="69">
        <v>1340783</v>
      </c>
      <c r="BD18" s="69">
        <v>2628987</v>
      </c>
      <c r="BE18" s="69">
        <v>16702659</v>
      </c>
      <c r="BF18" s="69">
        <v>13440336</v>
      </c>
      <c r="BG18" s="69">
        <v>25009514.5</v>
      </c>
      <c r="BH18" s="69">
        <v>23546451</v>
      </c>
      <c r="BI18" s="69">
        <v>0</v>
      </c>
      <c r="BJ18" s="69">
        <v>13630350</v>
      </c>
      <c r="BK18" s="63"/>
      <c r="BL18" s="5">
        <v>601120334.32786894</v>
      </c>
      <c r="BM18" s="5">
        <v>458195322.32786888</v>
      </c>
      <c r="BN18" s="15">
        <v>389000</v>
      </c>
      <c r="BO18" s="3"/>
      <c r="BP18" s="5"/>
      <c r="BQ18" s="1"/>
      <c r="BR18" s="1"/>
      <c r="BS18" s="5"/>
      <c r="BT18" s="5"/>
    </row>
    <row r="19" spans="1:72" x14ac:dyDescent="0.25">
      <c r="A19" s="6" t="s">
        <v>73</v>
      </c>
      <c r="B19" s="56">
        <v>1247062596</v>
      </c>
      <c r="C19" s="56">
        <v>236982969</v>
      </c>
      <c r="D19" s="56">
        <v>313488451</v>
      </c>
      <c r="E19" s="56">
        <v>0</v>
      </c>
      <c r="F19" s="56">
        <v>96662573</v>
      </c>
      <c r="G19" s="56">
        <v>11919545</v>
      </c>
      <c r="H19" s="56">
        <v>16606300</v>
      </c>
      <c r="I19" s="56">
        <v>1608500</v>
      </c>
      <c r="J19" s="56">
        <v>144000</v>
      </c>
      <c r="K19" s="56">
        <v>0</v>
      </c>
      <c r="L19" s="56">
        <v>467317295</v>
      </c>
      <c r="M19" s="56">
        <v>146281915</v>
      </c>
      <c r="N19" s="56">
        <v>3303</v>
      </c>
      <c r="O19" s="56">
        <v>442</v>
      </c>
      <c r="P19" s="56">
        <v>13963628</v>
      </c>
      <c r="Q19" s="56">
        <v>2633500</v>
      </c>
      <c r="R19" s="56">
        <v>4269887</v>
      </c>
      <c r="S19" s="56">
        <v>17377419</v>
      </c>
      <c r="T19" s="56">
        <v>2411300</v>
      </c>
      <c r="U19" s="56">
        <v>3696000</v>
      </c>
      <c r="V19" s="56">
        <v>13963628</v>
      </c>
      <c r="W19" s="56">
        <v>4275202</v>
      </c>
      <c r="X19" s="56">
        <v>4269887</v>
      </c>
      <c r="Y19" s="56">
        <v>17377419</v>
      </c>
      <c r="Z19" s="56">
        <v>3993007</v>
      </c>
      <c r="AA19" s="56">
        <v>3696000</v>
      </c>
      <c r="AB19" s="56">
        <v>-4627088</v>
      </c>
      <c r="AC19" s="56">
        <v>-973042</v>
      </c>
      <c r="AD19" s="56">
        <v>67475</v>
      </c>
      <c r="AE19" s="56">
        <v>4681</v>
      </c>
      <c r="AF19" s="56">
        <v>2340500</v>
      </c>
      <c r="AG19" s="56">
        <v>203903</v>
      </c>
      <c r="AH19" s="56">
        <v>0</v>
      </c>
      <c r="AI19" s="56">
        <v>154778.68852459019</v>
      </c>
      <c r="AJ19" s="72">
        <v>0</v>
      </c>
      <c r="AK19" s="1">
        <v>239165055</v>
      </c>
      <c r="AL19" s="1">
        <v>11033724</v>
      </c>
      <c r="AM19" s="56">
        <v>0</v>
      </c>
      <c r="AN19" s="56">
        <v>66427305</v>
      </c>
      <c r="AO19" s="56">
        <v>3594301</v>
      </c>
      <c r="AP19" s="56">
        <v>133756277</v>
      </c>
      <c r="AQ19" s="56">
        <v>64436484</v>
      </c>
      <c r="AR19" s="56">
        <v>68101039</v>
      </c>
      <c r="AS19" s="56">
        <v>71352112</v>
      </c>
      <c r="AT19" s="56">
        <v>1966818</v>
      </c>
      <c r="AU19" s="56">
        <v>0</v>
      </c>
      <c r="AV19" s="56">
        <v>0</v>
      </c>
      <c r="AW19" s="56">
        <v>1215752</v>
      </c>
      <c r="AX19" s="56">
        <v>1792308</v>
      </c>
      <c r="AY19" s="56">
        <v>3375564</v>
      </c>
      <c r="AZ19" s="1">
        <v>11718582.779999999</v>
      </c>
      <c r="BA19" s="1">
        <v>5976477</v>
      </c>
      <c r="BB19" s="69">
        <v>9204663.2100000009</v>
      </c>
      <c r="BC19" s="69">
        <v>737795</v>
      </c>
      <c r="BD19" s="69">
        <v>1446657</v>
      </c>
      <c r="BE19" s="69">
        <v>3005876</v>
      </c>
      <c r="BF19" s="69">
        <v>3005876</v>
      </c>
      <c r="BG19" s="69">
        <v>49832681.5</v>
      </c>
      <c r="BH19" s="69">
        <v>49608315</v>
      </c>
      <c r="BI19" s="69">
        <v>0</v>
      </c>
      <c r="BJ19" s="69">
        <v>13500177</v>
      </c>
      <c r="BK19" s="63"/>
      <c r="BL19" s="5">
        <v>2255174303.6885242</v>
      </c>
      <c r="BM19" s="5">
        <v>1932146884.6885245</v>
      </c>
      <c r="BN19" s="15">
        <v>2866008</v>
      </c>
      <c r="BO19" s="3"/>
      <c r="BP19" s="5"/>
      <c r="BQ19" s="1"/>
      <c r="BR19" s="1"/>
      <c r="BS19" s="5"/>
      <c r="BT19" s="5"/>
    </row>
    <row r="20" spans="1:72" x14ac:dyDescent="0.25">
      <c r="A20" s="6" t="s">
        <v>74</v>
      </c>
      <c r="B20" s="56">
        <v>4056839965</v>
      </c>
      <c r="C20" s="56">
        <v>169991195</v>
      </c>
      <c r="D20" s="56">
        <v>1040897613</v>
      </c>
      <c r="E20" s="56">
        <v>0</v>
      </c>
      <c r="F20" s="56">
        <v>241146293</v>
      </c>
      <c r="G20" s="56">
        <v>23202163</v>
      </c>
      <c r="H20" s="56">
        <v>13941200</v>
      </c>
      <c r="I20" s="56">
        <v>1080000</v>
      </c>
      <c r="J20" s="56">
        <v>768500</v>
      </c>
      <c r="K20" s="56">
        <v>144000</v>
      </c>
      <c r="L20" s="56">
        <v>221165285</v>
      </c>
      <c r="M20" s="56">
        <v>391156480</v>
      </c>
      <c r="N20" s="56">
        <v>7173</v>
      </c>
      <c r="O20" s="56">
        <v>705</v>
      </c>
      <c r="P20" s="56">
        <v>35419552</v>
      </c>
      <c r="Q20" s="56">
        <v>2085550</v>
      </c>
      <c r="R20" s="56">
        <v>19466213</v>
      </c>
      <c r="S20" s="56">
        <v>48722110</v>
      </c>
      <c r="T20" s="56">
        <v>3611632</v>
      </c>
      <c r="U20" s="56">
        <v>17900917</v>
      </c>
      <c r="V20" s="56">
        <v>35419552</v>
      </c>
      <c r="W20" s="56">
        <v>2085550</v>
      </c>
      <c r="X20" s="56">
        <v>19466213</v>
      </c>
      <c r="Y20" s="56">
        <v>48722110</v>
      </c>
      <c r="Z20" s="56">
        <v>3611632</v>
      </c>
      <c r="AA20" s="56">
        <v>17900917</v>
      </c>
      <c r="AB20" s="56">
        <v>-8823906</v>
      </c>
      <c r="AC20" s="56">
        <v>-124423</v>
      </c>
      <c r="AD20" s="56">
        <v>0</v>
      </c>
      <c r="AE20" s="56">
        <v>0</v>
      </c>
      <c r="AF20" s="56">
        <v>0</v>
      </c>
      <c r="AG20" s="56"/>
      <c r="AH20" s="56">
        <v>0</v>
      </c>
      <c r="AI20" s="56">
        <v>0</v>
      </c>
      <c r="AJ20" s="72">
        <v>0</v>
      </c>
      <c r="AK20" s="1">
        <v>526658631</v>
      </c>
      <c r="AL20" s="1">
        <v>9052362</v>
      </c>
      <c r="AM20" s="56">
        <v>1022651</v>
      </c>
      <c r="AN20" s="56">
        <v>149417242</v>
      </c>
      <c r="AO20" s="56">
        <v>5928591</v>
      </c>
      <c r="AP20" s="56">
        <v>248204189</v>
      </c>
      <c r="AQ20" s="56">
        <v>144074113</v>
      </c>
      <c r="AR20" s="56">
        <v>89179497</v>
      </c>
      <c r="AS20" s="56">
        <v>21575430</v>
      </c>
      <c r="AT20" s="56">
        <v>510620</v>
      </c>
      <c r="AU20" s="56">
        <v>0</v>
      </c>
      <c r="AV20" s="56">
        <v>0</v>
      </c>
      <c r="AW20" s="56">
        <v>13254</v>
      </c>
      <c r="AX20" s="56">
        <v>8357681</v>
      </c>
      <c r="AY20" s="56">
        <v>0</v>
      </c>
      <c r="AZ20" s="1">
        <v>25805161.050000001</v>
      </c>
      <c r="BA20" s="1">
        <v>13160632</v>
      </c>
      <c r="BB20" s="69">
        <v>29435233.170000002</v>
      </c>
      <c r="BC20" s="69">
        <v>2149625</v>
      </c>
      <c r="BD20" s="69">
        <v>4214952</v>
      </c>
      <c r="BE20" s="69">
        <v>87225966</v>
      </c>
      <c r="BF20" s="69">
        <v>87225966</v>
      </c>
      <c r="BG20" s="69">
        <v>133398356.5</v>
      </c>
      <c r="BH20" s="69">
        <v>127631420</v>
      </c>
      <c r="BI20" s="69">
        <v>0</v>
      </c>
      <c r="BJ20" s="69">
        <v>0</v>
      </c>
      <c r="BK20" s="63"/>
      <c r="BL20" s="5">
        <v>6333027355</v>
      </c>
      <c r="BM20" s="5">
        <v>5567148719</v>
      </c>
      <c r="BN20" s="15">
        <v>8666393</v>
      </c>
      <c r="BO20" s="3"/>
      <c r="BP20" s="5"/>
      <c r="BQ20" s="1"/>
      <c r="BR20" s="1"/>
      <c r="BS20" s="5"/>
      <c r="BT20" s="5"/>
    </row>
    <row r="21" spans="1:72" x14ac:dyDescent="0.25">
      <c r="A21" s="6" t="s">
        <v>75</v>
      </c>
      <c r="B21" s="56">
        <v>73701620</v>
      </c>
      <c r="C21" s="56">
        <v>64035911</v>
      </c>
      <c r="D21" s="56">
        <v>16182587</v>
      </c>
      <c r="E21" s="56">
        <v>25306</v>
      </c>
      <c r="F21" s="56">
        <v>12824305</v>
      </c>
      <c r="G21" s="56">
        <v>4724475</v>
      </c>
      <c r="H21" s="56">
        <v>5945248</v>
      </c>
      <c r="I21" s="56">
        <v>950500</v>
      </c>
      <c r="J21" s="56">
        <v>0</v>
      </c>
      <c r="K21" s="56">
        <v>0</v>
      </c>
      <c r="L21" s="56">
        <v>141576661</v>
      </c>
      <c r="M21" s="56">
        <v>27342476</v>
      </c>
      <c r="N21" s="56">
        <v>587</v>
      </c>
      <c r="O21" s="56">
        <v>189</v>
      </c>
      <c r="P21" s="56">
        <v>1645624</v>
      </c>
      <c r="Q21" s="56">
        <v>813827</v>
      </c>
      <c r="R21" s="56">
        <v>435000</v>
      </c>
      <c r="S21" s="56">
        <v>788452</v>
      </c>
      <c r="T21" s="56">
        <v>448490</v>
      </c>
      <c r="U21" s="56">
        <v>657540</v>
      </c>
      <c r="V21" s="56">
        <v>1645624</v>
      </c>
      <c r="W21" s="56">
        <v>5807501</v>
      </c>
      <c r="X21" s="56">
        <v>435000</v>
      </c>
      <c r="Y21" s="56">
        <v>788452</v>
      </c>
      <c r="Z21" s="56">
        <v>613120</v>
      </c>
      <c r="AA21" s="56">
        <v>657540</v>
      </c>
      <c r="AB21" s="56">
        <v>-1496245</v>
      </c>
      <c r="AC21" s="56">
        <v>-600000</v>
      </c>
      <c r="AD21" s="56">
        <v>26851</v>
      </c>
      <c r="AE21" s="56">
        <v>69126</v>
      </c>
      <c r="AF21" s="56">
        <v>15494658</v>
      </c>
      <c r="AG21" s="56">
        <v>24181</v>
      </c>
      <c r="AH21" s="56">
        <v>0</v>
      </c>
      <c r="AI21" s="56">
        <v>37901.639344262294</v>
      </c>
      <c r="AJ21" s="72">
        <v>0</v>
      </c>
      <c r="AK21" s="1">
        <v>33461276</v>
      </c>
      <c r="AL21" s="1">
        <v>1025747</v>
      </c>
      <c r="AM21" s="56">
        <v>85500</v>
      </c>
      <c r="AN21" s="56">
        <v>7475422</v>
      </c>
      <c r="AO21" s="56">
        <v>55304</v>
      </c>
      <c r="AP21" s="56">
        <v>639130</v>
      </c>
      <c r="AQ21" s="56">
        <v>2029100</v>
      </c>
      <c r="AR21" s="56">
        <v>407536</v>
      </c>
      <c r="AS21" s="56">
        <v>0</v>
      </c>
      <c r="AT21" s="56">
        <v>674502</v>
      </c>
      <c r="AU21" s="56">
        <v>0</v>
      </c>
      <c r="AV21" s="56">
        <v>0</v>
      </c>
      <c r="AW21" s="56">
        <v>0</v>
      </c>
      <c r="AX21" s="56">
        <v>400</v>
      </c>
      <c r="AY21" s="56">
        <v>0</v>
      </c>
      <c r="AZ21" s="1">
        <v>1639531.88</v>
      </c>
      <c r="BA21" s="1">
        <v>836161</v>
      </c>
      <c r="BB21" s="69">
        <v>12305699.48</v>
      </c>
      <c r="BC21" s="69">
        <v>746904</v>
      </c>
      <c r="BD21" s="69">
        <v>1464517</v>
      </c>
      <c r="BE21" s="69">
        <v>11756985</v>
      </c>
      <c r="BF21" s="69">
        <v>11756985</v>
      </c>
      <c r="BG21" s="69">
        <v>21335033.5</v>
      </c>
      <c r="BH21" s="69">
        <v>17868591</v>
      </c>
      <c r="BI21" s="69">
        <v>0</v>
      </c>
      <c r="BJ21" s="69">
        <v>0</v>
      </c>
      <c r="BK21" s="63"/>
      <c r="BL21" s="5">
        <v>229213509.63934427</v>
      </c>
      <c r="BM21" s="5">
        <v>163517845.63934427</v>
      </c>
      <c r="BN21" s="15"/>
      <c r="BO21" s="3"/>
      <c r="BP21" s="5"/>
      <c r="BQ21" s="1"/>
      <c r="BR21" s="1"/>
      <c r="BS21" s="5"/>
      <c r="BT21" s="5"/>
    </row>
    <row r="22" spans="1:72" x14ac:dyDescent="0.25">
      <c r="A22" s="6" t="s">
        <v>76</v>
      </c>
      <c r="B22" s="56">
        <v>225494240</v>
      </c>
      <c r="C22" s="56">
        <v>59504750</v>
      </c>
      <c r="D22" s="56">
        <v>191984099</v>
      </c>
      <c r="E22" s="56">
        <v>1254269510</v>
      </c>
      <c r="F22" s="56">
        <v>22898800</v>
      </c>
      <c r="G22" s="56">
        <v>3248600</v>
      </c>
      <c r="H22" s="56">
        <v>5259700</v>
      </c>
      <c r="I22" s="56">
        <v>432000</v>
      </c>
      <c r="J22" s="56">
        <v>107000</v>
      </c>
      <c r="K22" s="56">
        <v>36000</v>
      </c>
      <c r="L22" s="56">
        <v>125006290</v>
      </c>
      <c r="M22" s="56">
        <v>42455400</v>
      </c>
      <c r="N22" s="56">
        <v>823</v>
      </c>
      <c r="O22" s="56">
        <v>123</v>
      </c>
      <c r="P22" s="56">
        <v>894500</v>
      </c>
      <c r="Q22" s="56">
        <v>1467500</v>
      </c>
      <c r="R22" s="56">
        <v>271000</v>
      </c>
      <c r="S22" s="56">
        <v>2056700</v>
      </c>
      <c r="T22" s="56">
        <v>1125500</v>
      </c>
      <c r="U22" s="56">
        <v>1029660</v>
      </c>
      <c r="V22" s="56">
        <v>894500</v>
      </c>
      <c r="W22" s="56">
        <v>1646500</v>
      </c>
      <c r="X22" s="56">
        <v>271000</v>
      </c>
      <c r="Y22" s="56">
        <v>2056700</v>
      </c>
      <c r="Z22" s="56">
        <v>1232100</v>
      </c>
      <c r="AA22" s="56">
        <v>1029660</v>
      </c>
      <c r="AB22" s="56">
        <v>-578400</v>
      </c>
      <c r="AC22" s="56">
        <v>0</v>
      </c>
      <c r="AD22" s="56">
        <v>22334</v>
      </c>
      <c r="AE22" s="56">
        <v>0</v>
      </c>
      <c r="AF22" s="56">
        <v>0</v>
      </c>
      <c r="AG22" s="56">
        <v>67428</v>
      </c>
      <c r="AH22" s="56">
        <v>0</v>
      </c>
      <c r="AI22" s="56">
        <v>352262.2950819672</v>
      </c>
      <c r="AJ22" s="72">
        <v>0</v>
      </c>
      <c r="AK22" s="1">
        <v>63085287</v>
      </c>
      <c r="AL22" s="1">
        <v>1984831</v>
      </c>
      <c r="AM22" s="56">
        <v>0</v>
      </c>
      <c r="AN22" s="56">
        <v>32739125</v>
      </c>
      <c r="AO22" s="56">
        <v>3915445</v>
      </c>
      <c r="AP22" s="56">
        <v>116656942</v>
      </c>
      <c r="AQ22" s="56">
        <v>30036181</v>
      </c>
      <c r="AR22" s="56">
        <v>18720418</v>
      </c>
      <c r="AS22" s="56">
        <v>11245363</v>
      </c>
      <c r="AT22" s="56">
        <v>587016668</v>
      </c>
      <c r="AU22" s="56">
        <v>80709</v>
      </c>
      <c r="AV22" s="56">
        <v>0</v>
      </c>
      <c r="AW22" s="56">
        <v>0</v>
      </c>
      <c r="AX22" s="56">
        <v>49714</v>
      </c>
      <c r="AY22" s="56">
        <v>0</v>
      </c>
      <c r="AZ22" s="1">
        <v>3091045.88</v>
      </c>
      <c r="BA22" s="1">
        <v>1576433</v>
      </c>
      <c r="BB22" s="69">
        <v>22420984.460000001</v>
      </c>
      <c r="BC22" s="69">
        <v>1935877</v>
      </c>
      <c r="BD22" s="69">
        <v>3795838</v>
      </c>
      <c r="BE22" s="69">
        <v>48484965</v>
      </c>
      <c r="BF22" s="69">
        <v>48484965</v>
      </c>
      <c r="BG22" s="69">
        <v>42201745</v>
      </c>
      <c r="BH22" s="69">
        <v>40396541</v>
      </c>
      <c r="BI22" s="69">
        <v>0</v>
      </c>
      <c r="BJ22" s="69">
        <v>0</v>
      </c>
      <c r="BK22" s="63"/>
      <c r="BL22" s="5">
        <v>701490036.29508197</v>
      </c>
      <c r="BM22" s="5">
        <v>544026102.29508197</v>
      </c>
      <c r="BN22" s="15">
        <v>749567</v>
      </c>
      <c r="BO22" s="3"/>
      <c r="BP22" s="5"/>
      <c r="BQ22" s="1"/>
      <c r="BR22" s="1"/>
      <c r="BS22" s="5"/>
      <c r="BT22" s="5"/>
    </row>
    <row r="23" spans="1:72" x14ac:dyDescent="0.25">
      <c r="A23" s="6" t="s">
        <v>77</v>
      </c>
      <c r="B23" s="40">
        <v>377409056</v>
      </c>
      <c r="C23" s="40">
        <v>129292478</v>
      </c>
      <c r="D23" s="40">
        <v>146512767</v>
      </c>
      <c r="E23" s="40">
        <v>0</v>
      </c>
      <c r="F23" s="40">
        <v>48160670</v>
      </c>
      <c r="G23" s="40">
        <v>32404750</v>
      </c>
      <c r="H23" s="40">
        <v>20034050</v>
      </c>
      <c r="I23" s="40">
        <v>7654950</v>
      </c>
      <c r="J23" s="40">
        <v>174000</v>
      </c>
      <c r="K23" s="40">
        <v>66000</v>
      </c>
      <c r="L23" s="40">
        <v>57326804</v>
      </c>
      <c r="M23" s="40">
        <v>52908150</v>
      </c>
      <c r="N23" s="40">
        <v>2264</v>
      </c>
      <c r="O23" s="40">
        <v>1424</v>
      </c>
      <c r="P23" s="40">
        <v>4471400</v>
      </c>
      <c r="Q23" s="40">
        <v>885000</v>
      </c>
      <c r="R23" s="40">
        <v>6912000</v>
      </c>
      <c r="S23" s="40">
        <v>1489516</v>
      </c>
      <c r="T23" s="40">
        <v>87700</v>
      </c>
      <c r="U23" s="40">
        <v>868700</v>
      </c>
      <c r="V23" s="40">
        <v>4471400</v>
      </c>
      <c r="W23" s="40">
        <v>735000</v>
      </c>
      <c r="X23" s="40">
        <v>6912000</v>
      </c>
      <c r="Y23" s="40">
        <v>1489516</v>
      </c>
      <c r="Z23" s="40">
        <v>30000</v>
      </c>
      <c r="AA23" s="40">
        <v>868700</v>
      </c>
      <c r="AB23" s="40">
        <v>-6896450</v>
      </c>
      <c r="AC23" s="40">
        <v>-4117937</v>
      </c>
      <c r="AD23" s="40">
        <v>144433</v>
      </c>
      <c r="AE23" s="40">
        <v>0</v>
      </c>
      <c r="AF23" s="40">
        <v>0</v>
      </c>
      <c r="AG23" s="40">
        <v>219487</v>
      </c>
      <c r="AH23" s="40">
        <v>0</v>
      </c>
      <c r="AI23" s="40">
        <v>1387237.704918033</v>
      </c>
      <c r="AJ23" s="72">
        <v>56000</v>
      </c>
      <c r="AK23" s="1">
        <v>156137833</v>
      </c>
      <c r="AL23" s="1">
        <v>4267293</v>
      </c>
      <c r="AM23" s="40">
        <v>275000</v>
      </c>
      <c r="AN23" s="40">
        <v>19509600</v>
      </c>
      <c r="AO23" s="40">
        <v>2039358</v>
      </c>
      <c r="AP23" s="40">
        <v>31782407</v>
      </c>
      <c r="AQ23" s="40">
        <v>26418792</v>
      </c>
      <c r="AR23" s="40">
        <v>14568991</v>
      </c>
      <c r="AS23" s="40">
        <v>0</v>
      </c>
      <c r="AT23" s="40">
        <v>629959</v>
      </c>
      <c r="AU23" s="40">
        <v>0</v>
      </c>
      <c r="AV23" s="40">
        <v>0</v>
      </c>
      <c r="AW23" s="40">
        <v>0</v>
      </c>
      <c r="AX23" s="40">
        <v>1030754</v>
      </c>
      <c r="AY23" s="40">
        <v>22500</v>
      </c>
      <c r="AZ23" s="1">
        <v>7650424.1799999997</v>
      </c>
      <c r="BA23" s="1">
        <v>3901716</v>
      </c>
      <c r="BB23" s="69">
        <v>0</v>
      </c>
      <c r="BC23" s="69">
        <v>0</v>
      </c>
      <c r="BD23" s="69">
        <v>0</v>
      </c>
      <c r="BE23" s="69">
        <v>33444474</v>
      </c>
      <c r="BF23" s="69">
        <v>33444474</v>
      </c>
      <c r="BG23" s="69">
        <v>49857748.5</v>
      </c>
      <c r="BH23" s="69">
        <v>49303130</v>
      </c>
      <c r="BI23" s="69">
        <v>0</v>
      </c>
      <c r="BJ23" s="69">
        <v>0</v>
      </c>
      <c r="BK23" s="44"/>
      <c r="BL23" s="5">
        <v>949679734.70491803</v>
      </c>
      <c r="BM23" s="5">
        <v>702625288.70491803</v>
      </c>
      <c r="BN23" s="15"/>
      <c r="BO23" s="3"/>
      <c r="BP23" s="5"/>
      <c r="BQ23" s="1"/>
      <c r="BR23" s="1"/>
      <c r="BS23" s="5"/>
      <c r="BT23" s="5"/>
    </row>
    <row r="24" spans="1:72" x14ac:dyDescent="0.25">
      <c r="A24" s="6" t="s">
        <v>78</v>
      </c>
      <c r="B24" s="56">
        <v>212069427</v>
      </c>
      <c r="C24" s="56">
        <v>168866550</v>
      </c>
      <c r="D24" s="56">
        <v>64117550</v>
      </c>
      <c r="E24" s="56">
        <v>0</v>
      </c>
      <c r="F24" s="56">
        <v>38690700</v>
      </c>
      <c r="G24" s="56">
        <v>9914700</v>
      </c>
      <c r="H24" s="56">
        <v>21220000</v>
      </c>
      <c r="I24" s="56">
        <v>3182300</v>
      </c>
      <c r="J24" s="56">
        <v>0</v>
      </c>
      <c r="K24" s="56">
        <v>0</v>
      </c>
      <c r="L24" s="56">
        <v>282997495</v>
      </c>
      <c r="M24" s="56">
        <v>100998500</v>
      </c>
      <c r="N24" s="56">
        <v>1817</v>
      </c>
      <c r="O24" s="56">
        <v>445</v>
      </c>
      <c r="P24" s="56">
        <v>1274500</v>
      </c>
      <c r="Q24" s="56">
        <v>1037000</v>
      </c>
      <c r="R24" s="56">
        <v>2688250</v>
      </c>
      <c r="S24" s="56">
        <v>77000</v>
      </c>
      <c r="T24" s="56">
        <v>45000</v>
      </c>
      <c r="U24" s="56">
        <v>180000</v>
      </c>
      <c r="V24" s="56">
        <v>1274500</v>
      </c>
      <c r="W24" s="56">
        <v>1045000</v>
      </c>
      <c r="X24" s="56">
        <v>2688250</v>
      </c>
      <c r="Y24" s="56">
        <v>77000</v>
      </c>
      <c r="Z24" s="56">
        <v>45000</v>
      </c>
      <c r="AA24" s="56">
        <v>180000</v>
      </c>
      <c r="AB24" s="56">
        <v>-1828900</v>
      </c>
      <c r="AC24" s="56">
        <v>-39275</v>
      </c>
      <c r="AD24" s="56">
        <v>147081</v>
      </c>
      <c r="AE24" s="56">
        <v>0</v>
      </c>
      <c r="AF24" s="56">
        <v>0</v>
      </c>
      <c r="AG24" s="56">
        <v>268484</v>
      </c>
      <c r="AH24" s="56">
        <v>141254.09836065574</v>
      </c>
      <c r="AI24" s="56">
        <v>87434.426229508201</v>
      </c>
      <c r="AJ24" s="72">
        <v>0</v>
      </c>
      <c r="AK24" s="1">
        <v>76157678</v>
      </c>
      <c r="AL24" s="1">
        <v>2015288</v>
      </c>
      <c r="AM24" s="56">
        <v>0</v>
      </c>
      <c r="AN24" s="56">
        <v>10525974</v>
      </c>
      <c r="AO24" s="56">
        <v>123788</v>
      </c>
      <c r="AP24" s="56">
        <v>15896847</v>
      </c>
      <c r="AQ24" s="56">
        <v>13421722</v>
      </c>
      <c r="AR24" s="56">
        <v>8278690</v>
      </c>
      <c r="AS24" s="56">
        <v>0</v>
      </c>
      <c r="AT24" s="56">
        <v>914410</v>
      </c>
      <c r="AU24" s="56">
        <v>0</v>
      </c>
      <c r="AV24" s="56">
        <v>0</v>
      </c>
      <c r="AW24" s="56">
        <v>21999</v>
      </c>
      <c r="AX24" s="56">
        <v>25090</v>
      </c>
      <c r="AY24" s="56">
        <v>0</v>
      </c>
      <c r="AZ24" s="1">
        <v>3731565.44</v>
      </c>
      <c r="BA24" s="1">
        <v>1903098</v>
      </c>
      <c r="BB24" s="69">
        <v>0</v>
      </c>
      <c r="BC24" s="69">
        <v>0</v>
      </c>
      <c r="BD24" s="69">
        <v>0</v>
      </c>
      <c r="BE24" s="69">
        <v>16728424</v>
      </c>
      <c r="BF24" s="69">
        <v>16728424</v>
      </c>
      <c r="BG24" s="69">
        <v>44027680.5</v>
      </c>
      <c r="BH24" s="69">
        <v>43999610</v>
      </c>
      <c r="BI24" s="69">
        <v>0</v>
      </c>
      <c r="BJ24" s="69">
        <v>0</v>
      </c>
      <c r="BK24" s="63"/>
      <c r="BL24" s="5">
        <v>610157797.52459025</v>
      </c>
      <c r="BM24" s="5">
        <v>469353699.52459019</v>
      </c>
      <c r="BN24" s="15"/>
      <c r="BO24" s="3"/>
      <c r="BP24" s="5"/>
      <c r="BQ24" s="1"/>
      <c r="BR24" s="1"/>
      <c r="BS24" s="5"/>
      <c r="BT24" s="5"/>
    </row>
    <row r="25" spans="1:72" x14ac:dyDescent="0.25">
      <c r="A25" s="6" t="s">
        <v>79</v>
      </c>
      <c r="B25" s="56">
        <v>1651108299</v>
      </c>
      <c r="C25" s="56">
        <v>332137744</v>
      </c>
      <c r="D25" s="56">
        <v>762682179</v>
      </c>
      <c r="E25" s="56">
        <v>33927895</v>
      </c>
      <c r="F25" s="56">
        <v>113276708</v>
      </c>
      <c r="G25" s="56">
        <v>18305858</v>
      </c>
      <c r="H25" s="56">
        <v>15581187</v>
      </c>
      <c r="I25" s="56">
        <v>1542950</v>
      </c>
      <c r="J25" s="56">
        <v>144000</v>
      </c>
      <c r="K25" s="56">
        <v>0</v>
      </c>
      <c r="L25" s="56">
        <v>1104338702</v>
      </c>
      <c r="M25" s="56">
        <v>194225078</v>
      </c>
      <c r="N25" s="56">
        <v>3712</v>
      </c>
      <c r="O25" s="56">
        <v>600</v>
      </c>
      <c r="P25" s="56">
        <v>22991906</v>
      </c>
      <c r="Q25" s="56">
        <v>10537978</v>
      </c>
      <c r="R25" s="56">
        <v>18680122</v>
      </c>
      <c r="S25" s="56">
        <v>14454819</v>
      </c>
      <c r="T25" s="56">
        <v>3711967</v>
      </c>
      <c r="U25" s="56">
        <v>15653995</v>
      </c>
      <c r="V25" s="56">
        <v>22991906</v>
      </c>
      <c r="W25" s="56">
        <v>11202250</v>
      </c>
      <c r="X25" s="56">
        <v>18680122</v>
      </c>
      <c r="Y25" s="56">
        <v>14454819</v>
      </c>
      <c r="Z25" s="56">
        <v>6294773</v>
      </c>
      <c r="AA25" s="56">
        <v>15653995</v>
      </c>
      <c r="AB25" s="56">
        <v>-5431151</v>
      </c>
      <c r="AC25" s="56">
        <v>-3120944</v>
      </c>
      <c r="AD25" s="56">
        <v>45669</v>
      </c>
      <c r="AE25" s="56">
        <v>2819</v>
      </c>
      <c r="AF25" s="56">
        <v>197157180</v>
      </c>
      <c r="AG25" s="56">
        <v>408438</v>
      </c>
      <c r="AH25" s="56">
        <v>3940795.0819672137</v>
      </c>
      <c r="AI25" s="56">
        <v>2141838.524590164</v>
      </c>
      <c r="AJ25" s="72">
        <v>0</v>
      </c>
      <c r="AK25" s="1">
        <v>321826476</v>
      </c>
      <c r="AL25" s="1">
        <v>8254738</v>
      </c>
      <c r="AM25" s="56">
        <v>0</v>
      </c>
      <c r="AN25" s="56">
        <v>140405907</v>
      </c>
      <c r="AO25" s="56">
        <v>21049075</v>
      </c>
      <c r="AP25" s="56">
        <v>501834663</v>
      </c>
      <c r="AQ25" s="56">
        <v>189576837</v>
      </c>
      <c r="AR25" s="56">
        <v>174535655</v>
      </c>
      <c r="AS25" s="56">
        <v>78856548</v>
      </c>
      <c r="AT25" s="56">
        <v>3751450</v>
      </c>
      <c r="AU25" s="56">
        <v>18935010</v>
      </c>
      <c r="AV25" s="56">
        <v>3164620</v>
      </c>
      <c r="AW25" s="56">
        <v>216707733</v>
      </c>
      <c r="AX25" s="56">
        <v>2565191</v>
      </c>
      <c r="AY25" s="56">
        <v>1201000</v>
      </c>
      <c r="AZ25" s="1">
        <v>15768817.890000001</v>
      </c>
      <c r="BA25" s="1">
        <v>8042097</v>
      </c>
      <c r="BB25" s="69">
        <v>0</v>
      </c>
      <c r="BC25" s="69">
        <v>2045180</v>
      </c>
      <c r="BD25" s="69">
        <v>4010158</v>
      </c>
      <c r="BE25" s="69">
        <v>34945253</v>
      </c>
      <c r="BF25" s="69">
        <v>34945253</v>
      </c>
      <c r="BG25" s="69">
        <v>79376931.5</v>
      </c>
      <c r="BH25" s="69">
        <v>74369246</v>
      </c>
      <c r="BI25" s="69">
        <v>3304</v>
      </c>
      <c r="BJ25" s="69">
        <v>12874035</v>
      </c>
      <c r="BK25" s="63"/>
      <c r="BL25" s="5">
        <v>3565403003.6065574</v>
      </c>
      <c r="BM25" s="5">
        <v>3103042674.6065574</v>
      </c>
      <c r="BN25" s="15"/>
      <c r="BO25" s="3"/>
      <c r="BP25" s="5"/>
      <c r="BQ25" s="1"/>
      <c r="BR25" s="1"/>
      <c r="BS25" s="5"/>
      <c r="BT25" s="5"/>
    </row>
    <row r="26" spans="1:72" x14ac:dyDescent="0.25">
      <c r="A26" s="6" t="s">
        <v>80</v>
      </c>
      <c r="B26" s="56">
        <v>1400909320</v>
      </c>
      <c r="C26" s="56">
        <v>244819600</v>
      </c>
      <c r="D26" s="56">
        <v>583838650</v>
      </c>
      <c r="E26" s="56">
        <v>0</v>
      </c>
      <c r="F26" s="56">
        <v>86194400</v>
      </c>
      <c r="G26" s="56">
        <v>16484300</v>
      </c>
      <c r="H26" s="56">
        <v>12711900</v>
      </c>
      <c r="I26" s="56">
        <v>2298700</v>
      </c>
      <c r="J26" s="56">
        <v>72000</v>
      </c>
      <c r="K26" s="56">
        <v>36000</v>
      </c>
      <c r="L26" s="56">
        <v>484639673</v>
      </c>
      <c r="M26" s="56">
        <v>0</v>
      </c>
      <c r="N26" s="56">
        <v>2814</v>
      </c>
      <c r="O26" s="56">
        <v>549</v>
      </c>
      <c r="P26" s="56">
        <v>4019100</v>
      </c>
      <c r="Q26" s="56">
        <v>827200</v>
      </c>
      <c r="R26" s="56">
        <v>3493100</v>
      </c>
      <c r="S26" s="56">
        <v>8799296</v>
      </c>
      <c r="T26" s="56">
        <v>465900</v>
      </c>
      <c r="U26" s="56">
        <v>4588250</v>
      </c>
      <c r="V26" s="56">
        <v>4019100</v>
      </c>
      <c r="W26" s="56">
        <v>3253900</v>
      </c>
      <c r="X26" s="56">
        <v>3493100</v>
      </c>
      <c r="Y26" s="56">
        <v>8799296</v>
      </c>
      <c r="Z26" s="56">
        <v>988000</v>
      </c>
      <c r="AA26" s="56">
        <v>4588250</v>
      </c>
      <c r="AB26" s="56">
        <v>-6290000</v>
      </c>
      <c r="AC26" s="56">
        <v>750321</v>
      </c>
      <c r="AD26" s="56">
        <v>0</v>
      </c>
      <c r="AE26" s="56">
        <v>0</v>
      </c>
      <c r="AF26" s="56">
        <v>0</v>
      </c>
      <c r="AG26" s="56">
        <v>0</v>
      </c>
      <c r="AH26" s="56">
        <v>0</v>
      </c>
      <c r="AI26" s="56">
        <v>0</v>
      </c>
      <c r="AJ26" s="72">
        <v>0</v>
      </c>
      <c r="AK26" s="1">
        <v>245754403</v>
      </c>
      <c r="AL26" s="1">
        <v>4791189</v>
      </c>
      <c r="AM26" s="56">
        <v>0</v>
      </c>
      <c r="AN26" s="56">
        <v>90766584</v>
      </c>
      <c r="AO26" s="56">
        <v>8746937</v>
      </c>
      <c r="AP26" s="56">
        <v>254637725</v>
      </c>
      <c r="AQ26" s="56">
        <v>101624255</v>
      </c>
      <c r="AR26" s="56">
        <v>130817479</v>
      </c>
      <c r="AS26" s="56">
        <v>38868256</v>
      </c>
      <c r="AT26" s="56">
        <v>580400</v>
      </c>
      <c r="AU26" s="56">
        <v>0</v>
      </c>
      <c r="AV26" s="56">
        <v>4852108</v>
      </c>
      <c r="AW26" s="56">
        <v>2401065</v>
      </c>
      <c r="AX26" s="56">
        <v>107042</v>
      </c>
      <c r="AY26" s="56">
        <v>10000</v>
      </c>
      <c r="AZ26" s="1">
        <v>12041446.92</v>
      </c>
      <c r="BA26" s="1">
        <v>6141138</v>
      </c>
      <c r="BB26" s="69">
        <v>0</v>
      </c>
      <c r="BC26" s="69">
        <v>3107241</v>
      </c>
      <c r="BD26" s="69">
        <v>6092630</v>
      </c>
      <c r="BE26" s="69">
        <v>76018200</v>
      </c>
      <c r="BF26" s="69">
        <v>75432609</v>
      </c>
      <c r="BG26" s="69">
        <v>132849835.5</v>
      </c>
      <c r="BH26" s="69">
        <v>128284085</v>
      </c>
      <c r="BI26" s="69">
        <v>0</v>
      </c>
      <c r="BJ26" s="69">
        <v>0</v>
      </c>
      <c r="BK26" s="63"/>
      <c r="BL26" s="5">
        <v>2894216011</v>
      </c>
      <c r="BM26" s="5">
        <v>2430705346</v>
      </c>
      <c r="BN26" s="15"/>
      <c r="BO26" s="3"/>
      <c r="BP26" s="5"/>
      <c r="BQ26" s="1"/>
      <c r="BR26" s="1"/>
      <c r="BS26" s="5"/>
      <c r="BT26" s="5"/>
    </row>
    <row r="27" spans="1:72" x14ac:dyDescent="0.25">
      <c r="A27" s="6" t="s">
        <v>81</v>
      </c>
      <c r="B27" s="40">
        <v>188657900</v>
      </c>
      <c r="C27" s="40">
        <v>68851030</v>
      </c>
      <c r="D27" s="40">
        <v>69877800</v>
      </c>
      <c r="E27" s="40">
        <v>0</v>
      </c>
      <c r="F27" s="40">
        <v>41071200</v>
      </c>
      <c r="G27" s="40">
        <v>28168400</v>
      </c>
      <c r="H27" s="40">
        <v>12669300</v>
      </c>
      <c r="I27" s="40">
        <v>4287500</v>
      </c>
      <c r="J27" s="40">
        <v>71000</v>
      </c>
      <c r="K27" s="40">
        <v>72000</v>
      </c>
      <c r="L27" s="40">
        <v>67982350</v>
      </c>
      <c r="M27" s="40">
        <v>47393690</v>
      </c>
      <c r="N27" s="40">
        <v>1707</v>
      </c>
      <c r="O27" s="40">
        <v>1177</v>
      </c>
      <c r="P27" s="40">
        <v>3489600</v>
      </c>
      <c r="Q27" s="40">
        <v>874200</v>
      </c>
      <c r="R27" s="40">
        <v>35000</v>
      </c>
      <c r="S27" s="40">
        <v>6649300</v>
      </c>
      <c r="T27" s="40">
        <v>1169800</v>
      </c>
      <c r="U27" s="40">
        <v>1691400</v>
      </c>
      <c r="V27" s="40">
        <v>3489600</v>
      </c>
      <c r="W27" s="40">
        <v>884500</v>
      </c>
      <c r="X27" s="40">
        <v>35000</v>
      </c>
      <c r="Y27" s="40">
        <v>6649300</v>
      </c>
      <c r="Z27" s="40">
        <v>1160700</v>
      </c>
      <c r="AA27" s="40">
        <v>1691400</v>
      </c>
      <c r="AB27" s="40">
        <v>-2953100</v>
      </c>
      <c r="AC27" s="40">
        <v>-56508</v>
      </c>
      <c r="AD27" s="40">
        <v>183067</v>
      </c>
      <c r="AE27" s="40">
        <v>0</v>
      </c>
      <c r="AF27" s="40">
        <v>0</v>
      </c>
      <c r="AG27" s="40">
        <v>216609</v>
      </c>
      <c r="AH27" s="40">
        <v>3657532.7868852457</v>
      </c>
      <c r="AI27" s="40">
        <v>14663013.934426229</v>
      </c>
      <c r="AJ27" s="71">
        <v>4140491.8032786883</v>
      </c>
      <c r="AK27" s="1">
        <v>95704412</v>
      </c>
      <c r="AL27" s="1">
        <v>2325425</v>
      </c>
      <c r="AM27" s="40">
        <v>0</v>
      </c>
      <c r="AN27" s="40">
        <v>29344738</v>
      </c>
      <c r="AO27" s="40">
        <v>293324</v>
      </c>
      <c r="AP27" s="40">
        <v>24476128</v>
      </c>
      <c r="AQ27" s="40">
        <v>14657820</v>
      </c>
      <c r="AR27" s="40">
        <v>840804</v>
      </c>
      <c r="AS27" s="40">
        <v>0</v>
      </c>
      <c r="AT27" s="40">
        <v>319402</v>
      </c>
      <c r="AU27" s="40">
        <v>0</v>
      </c>
      <c r="AV27" s="40">
        <v>0</v>
      </c>
      <c r="AW27" s="40">
        <v>0</v>
      </c>
      <c r="AX27" s="40">
        <v>492298</v>
      </c>
      <c r="AY27" s="40">
        <v>0</v>
      </c>
      <c r="AZ27" s="1">
        <v>4689314.1399999997</v>
      </c>
      <c r="BA27" s="1">
        <v>2391550</v>
      </c>
      <c r="BB27" s="69">
        <v>0</v>
      </c>
      <c r="BC27" s="69">
        <v>647924</v>
      </c>
      <c r="BD27" s="69">
        <v>1270439</v>
      </c>
      <c r="BE27" s="69">
        <v>11912964</v>
      </c>
      <c r="BF27" s="69">
        <v>11912964</v>
      </c>
      <c r="BG27" s="69">
        <v>43679395.5</v>
      </c>
      <c r="BH27" s="69">
        <v>43069049</v>
      </c>
      <c r="BI27" s="69">
        <v>0</v>
      </c>
      <c r="BJ27" s="69">
        <v>0</v>
      </c>
      <c r="BK27" s="44"/>
      <c r="BL27" s="5">
        <v>550194974.52459025</v>
      </c>
      <c r="BM27" s="5">
        <v>394143650.52459019</v>
      </c>
      <c r="BN27" s="15">
        <v>504700</v>
      </c>
      <c r="BO27" s="3"/>
      <c r="BP27" s="5"/>
      <c r="BQ27" s="1"/>
      <c r="BR27" s="1"/>
      <c r="BS27" s="5"/>
      <c r="BT27" s="5"/>
    </row>
    <row r="28" spans="1:72" x14ac:dyDescent="0.25">
      <c r="A28" s="6" t="s">
        <v>82</v>
      </c>
      <c r="B28" s="56">
        <v>192629556</v>
      </c>
      <c r="C28" s="56">
        <v>70772850</v>
      </c>
      <c r="D28" s="56">
        <v>107799146</v>
      </c>
      <c r="E28" s="56">
        <v>0</v>
      </c>
      <c r="F28" s="56">
        <v>26280600</v>
      </c>
      <c r="G28" s="56">
        <v>9924750</v>
      </c>
      <c r="H28" s="56">
        <v>9613500</v>
      </c>
      <c r="I28" s="56">
        <v>1348150</v>
      </c>
      <c r="J28" s="56">
        <v>36000</v>
      </c>
      <c r="K28" s="56">
        <v>0</v>
      </c>
      <c r="L28" s="56">
        <v>136750599</v>
      </c>
      <c r="M28" s="56">
        <v>46313100</v>
      </c>
      <c r="N28" s="56">
        <v>1098</v>
      </c>
      <c r="O28" s="56">
        <v>377</v>
      </c>
      <c r="P28" s="56">
        <v>3415905</v>
      </c>
      <c r="Q28" s="56">
        <v>214194</v>
      </c>
      <c r="R28" s="56">
        <v>543000</v>
      </c>
      <c r="S28" s="56">
        <v>5093391</v>
      </c>
      <c r="T28" s="56">
        <v>594275</v>
      </c>
      <c r="U28" s="56">
        <v>732129</v>
      </c>
      <c r="V28" s="56">
        <v>3415905</v>
      </c>
      <c r="W28" s="56">
        <v>463250</v>
      </c>
      <c r="X28" s="56">
        <v>543000</v>
      </c>
      <c r="Y28" s="56">
        <v>5093391</v>
      </c>
      <c r="Z28" s="56">
        <v>782579</v>
      </c>
      <c r="AA28" s="56">
        <v>732129</v>
      </c>
      <c r="AB28" s="56">
        <v>-1600000</v>
      </c>
      <c r="AC28" s="56">
        <v>-58944</v>
      </c>
      <c r="AD28" s="56">
        <v>48563</v>
      </c>
      <c r="AE28" s="56">
        <v>0</v>
      </c>
      <c r="AF28" s="56">
        <v>0</v>
      </c>
      <c r="AG28" s="56">
        <v>96892</v>
      </c>
      <c r="AH28" s="56">
        <v>7686262.2950819675</v>
      </c>
      <c r="AI28" s="56">
        <v>295483.60655737709</v>
      </c>
      <c r="AJ28" s="72">
        <v>0</v>
      </c>
      <c r="AK28" s="1">
        <v>47914734</v>
      </c>
      <c r="AL28" s="1">
        <v>8427012</v>
      </c>
      <c r="AM28" s="56">
        <v>7938953</v>
      </c>
      <c r="AN28" s="56">
        <v>10697738</v>
      </c>
      <c r="AO28" s="56">
        <v>2306857</v>
      </c>
      <c r="AP28" s="56">
        <v>19944239</v>
      </c>
      <c r="AQ28" s="56">
        <v>9909080</v>
      </c>
      <c r="AR28" s="56">
        <v>1841668</v>
      </c>
      <c r="AS28" s="56">
        <v>0</v>
      </c>
      <c r="AT28" s="56">
        <v>410163</v>
      </c>
      <c r="AU28" s="56">
        <v>0</v>
      </c>
      <c r="AV28" s="56">
        <v>0</v>
      </c>
      <c r="AW28" s="56">
        <v>0</v>
      </c>
      <c r="AX28" s="56">
        <v>1590</v>
      </c>
      <c r="AY28" s="56">
        <v>20000</v>
      </c>
      <c r="AZ28" s="1">
        <v>2347725.71</v>
      </c>
      <c r="BA28" s="1">
        <v>1197340</v>
      </c>
      <c r="BB28" s="69">
        <v>0</v>
      </c>
      <c r="BC28" s="69">
        <v>0</v>
      </c>
      <c r="BD28" s="69">
        <v>0</v>
      </c>
      <c r="BE28" s="69">
        <v>2551712</v>
      </c>
      <c r="BF28" s="69">
        <v>2551712</v>
      </c>
      <c r="BG28" s="69">
        <v>21313572.5</v>
      </c>
      <c r="BH28" s="69">
        <v>20998401</v>
      </c>
      <c r="BI28" s="69">
        <v>0</v>
      </c>
      <c r="BJ28" s="69">
        <v>0</v>
      </c>
      <c r="BK28" s="63"/>
      <c r="BL28" s="5">
        <v>483186171.90163934</v>
      </c>
      <c r="BM28" s="5">
        <v>402096972.90163934</v>
      </c>
      <c r="BN28" s="15">
        <v>402056</v>
      </c>
      <c r="BO28" s="3"/>
      <c r="BP28" s="5"/>
      <c r="BQ28" s="1"/>
      <c r="BR28" s="1"/>
      <c r="BS28" s="5"/>
      <c r="BT28" s="5"/>
    </row>
    <row r="29" spans="1:72" x14ac:dyDescent="0.25">
      <c r="A29" s="6" t="s">
        <v>83</v>
      </c>
      <c r="B29" s="56">
        <v>140884828</v>
      </c>
      <c r="C29" s="56">
        <v>123123616</v>
      </c>
      <c r="D29" s="56">
        <v>35690739</v>
      </c>
      <c r="E29" s="56">
        <v>1800000</v>
      </c>
      <c r="F29" s="56">
        <v>24538611</v>
      </c>
      <c r="G29" s="56">
        <v>4846440</v>
      </c>
      <c r="H29" s="56">
        <v>8810945</v>
      </c>
      <c r="I29" s="56">
        <v>1149233</v>
      </c>
      <c r="J29" s="56">
        <v>17500</v>
      </c>
      <c r="K29" s="56">
        <v>0</v>
      </c>
      <c r="L29" s="56">
        <v>152830400</v>
      </c>
      <c r="M29" s="56">
        <v>57294178</v>
      </c>
      <c r="N29" s="56">
        <v>1025</v>
      </c>
      <c r="O29" s="56">
        <v>203</v>
      </c>
      <c r="P29" s="56">
        <v>1923760</v>
      </c>
      <c r="Q29" s="56">
        <v>1584334</v>
      </c>
      <c r="R29" s="56">
        <v>1968300</v>
      </c>
      <c r="S29" s="56">
        <v>1401620</v>
      </c>
      <c r="T29" s="56">
        <v>2036446</v>
      </c>
      <c r="U29" s="56">
        <v>284100</v>
      </c>
      <c r="V29" s="56">
        <v>1923760</v>
      </c>
      <c r="W29" s="56">
        <v>1905434</v>
      </c>
      <c r="X29" s="56">
        <v>1968300</v>
      </c>
      <c r="Y29" s="56">
        <v>1401620</v>
      </c>
      <c r="Z29" s="56">
        <v>2116384</v>
      </c>
      <c r="AA29" s="56">
        <v>284100</v>
      </c>
      <c r="AB29" s="56">
        <v>-1816440</v>
      </c>
      <c r="AC29" s="56">
        <v>-1765</v>
      </c>
      <c r="AD29" s="56">
        <v>95850</v>
      </c>
      <c r="AE29" s="56">
        <v>4568</v>
      </c>
      <c r="AF29" s="56">
        <v>780226</v>
      </c>
      <c r="AG29" s="56">
        <v>214675</v>
      </c>
      <c r="AH29" s="56">
        <v>0</v>
      </c>
      <c r="AI29" s="56">
        <v>471000</v>
      </c>
      <c r="AJ29" s="72">
        <v>0</v>
      </c>
      <c r="AK29" s="1">
        <v>58633034</v>
      </c>
      <c r="AL29" s="1">
        <v>1891565</v>
      </c>
      <c r="AM29" s="56">
        <v>10000</v>
      </c>
      <c r="AN29" s="56">
        <v>9494384</v>
      </c>
      <c r="AO29" s="56">
        <v>103601</v>
      </c>
      <c r="AP29" s="56">
        <v>16865188</v>
      </c>
      <c r="AQ29" s="56">
        <v>10725420</v>
      </c>
      <c r="AR29" s="56">
        <v>20795618</v>
      </c>
      <c r="AS29" s="56">
        <v>448242</v>
      </c>
      <c r="AT29" s="56">
        <v>275968</v>
      </c>
      <c r="AU29" s="56">
        <v>0</v>
      </c>
      <c r="AV29" s="56">
        <v>0</v>
      </c>
      <c r="AW29" s="56">
        <v>100776</v>
      </c>
      <c r="AX29" s="56">
        <v>640906</v>
      </c>
      <c r="AY29" s="56">
        <v>500750</v>
      </c>
      <c r="AZ29" s="1">
        <v>2872894.88</v>
      </c>
      <c r="BA29" s="1">
        <v>1465176</v>
      </c>
      <c r="BB29" s="69">
        <v>21018134.719999999</v>
      </c>
      <c r="BC29" s="69">
        <v>0</v>
      </c>
      <c r="BD29" s="69">
        <v>0</v>
      </c>
      <c r="BE29" s="69">
        <v>1655532</v>
      </c>
      <c r="BF29" s="69">
        <v>1655532</v>
      </c>
      <c r="BG29" s="69">
        <v>21662485</v>
      </c>
      <c r="BH29" s="69">
        <v>21662485</v>
      </c>
      <c r="BI29" s="69">
        <v>0</v>
      </c>
      <c r="BJ29" s="69">
        <v>0</v>
      </c>
      <c r="BK29" s="63"/>
      <c r="BL29" s="5">
        <v>405801380</v>
      </c>
      <c r="BM29" s="5">
        <v>320493588</v>
      </c>
      <c r="BN29" s="15"/>
      <c r="BO29" s="3"/>
      <c r="BP29" s="5"/>
      <c r="BQ29" s="1"/>
      <c r="BR29" s="1"/>
      <c r="BS29" s="5"/>
      <c r="BT29" s="5"/>
    </row>
    <row r="30" spans="1:72" x14ac:dyDescent="0.25">
      <c r="A30" s="6" t="s">
        <v>84</v>
      </c>
      <c r="B30" s="56">
        <v>130722268</v>
      </c>
      <c r="C30" s="56">
        <v>100488550</v>
      </c>
      <c r="D30" s="56">
        <v>29696421</v>
      </c>
      <c r="E30" s="56">
        <v>0</v>
      </c>
      <c r="F30" s="56">
        <v>16850250</v>
      </c>
      <c r="G30" s="56">
        <v>4839450</v>
      </c>
      <c r="H30" s="56">
        <v>7759500</v>
      </c>
      <c r="I30" s="56">
        <v>962000</v>
      </c>
      <c r="J30" s="56">
        <v>36000</v>
      </c>
      <c r="K30" s="56">
        <v>0</v>
      </c>
      <c r="L30" s="56">
        <v>144984962</v>
      </c>
      <c r="M30" s="56">
        <v>0</v>
      </c>
      <c r="N30" s="56">
        <v>725</v>
      </c>
      <c r="O30" s="56">
        <v>184</v>
      </c>
      <c r="P30" s="56">
        <v>833700</v>
      </c>
      <c r="Q30" s="56">
        <v>570500</v>
      </c>
      <c r="R30" s="56">
        <v>90000</v>
      </c>
      <c r="S30" s="56">
        <v>1176882</v>
      </c>
      <c r="T30" s="56">
        <v>158000</v>
      </c>
      <c r="U30" s="56">
        <v>262812</v>
      </c>
      <c r="V30" s="56">
        <v>833700</v>
      </c>
      <c r="W30" s="56">
        <v>449000</v>
      </c>
      <c r="X30" s="56">
        <v>90000</v>
      </c>
      <c r="Y30" s="56">
        <v>1176882</v>
      </c>
      <c r="Z30" s="56">
        <v>1297350</v>
      </c>
      <c r="AA30" s="56">
        <v>262812</v>
      </c>
      <c r="AB30" s="56">
        <v>-1367312</v>
      </c>
      <c r="AC30" s="56">
        <v>-39098</v>
      </c>
      <c r="AD30" s="56">
        <v>166953</v>
      </c>
      <c r="AE30" s="56"/>
      <c r="AF30" s="56">
        <v>0</v>
      </c>
      <c r="AG30" s="56">
        <v>0</v>
      </c>
      <c r="AH30" s="56">
        <v>8362295.0819672132</v>
      </c>
      <c r="AI30" s="56">
        <v>0</v>
      </c>
      <c r="AJ30" s="72">
        <v>0</v>
      </c>
      <c r="AK30" s="1">
        <v>37607562</v>
      </c>
      <c r="AL30" s="1">
        <v>5048875</v>
      </c>
      <c r="AM30" s="56">
        <v>6009888</v>
      </c>
      <c r="AN30" s="56">
        <v>7827303</v>
      </c>
      <c r="AO30" s="56">
        <v>15594</v>
      </c>
      <c r="AP30" s="56">
        <v>895350</v>
      </c>
      <c r="AQ30" s="56">
        <v>4373021</v>
      </c>
      <c r="AR30" s="56">
        <v>4669204</v>
      </c>
      <c r="AS30" s="56">
        <v>0</v>
      </c>
      <c r="AT30" s="56">
        <v>1891970</v>
      </c>
      <c r="AU30" s="56">
        <v>0</v>
      </c>
      <c r="AV30" s="56">
        <v>0</v>
      </c>
      <c r="AW30" s="56">
        <v>0</v>
      </c>
      <c r="AX30" s="56">
        <v>6530</v>
      </c>
      <c r="AY30" s="56">
        <v>0</v>
      </c>
      <c r="AZ30" s="1">
        <v>1842691.14</v>
      </c>
      <c r="BA30" s="1">
        <v>939772</v>
      </c>
      <c r="BB30" s="69">
        <v>0</v>
      </c>
      <c r="BC30" s="69">
        <v>0</v>
      </c>
      <c r="BD30" s="69">
        <v>0</v>
      </c>
      <c r="BE30" s="69">
        <v>732352</v>
      </c>
      <c r="BF30" s="69">
        <v>732352</v>
      </c>
      <c r="BG30" s="69">
        <v>18996459.5</v>
      </c>
      <c r="BH30" s="69">
        <v>18964178</v>
      </c>
      <c r="BI30" s="69">
        <v>0</v>
      </c>
      <c r="BJ30" s="69">
        <v>0</v>
      </c>
      <c r="BK30" s="63"/>
      <c r="BL30" s="5">
        <v>344778191.08196723</v>
      </c>
      <c r="BM30" s="5">
        <v>281485452.08196723</v>
      </c>
      <c r="BN30" s="15">
        <v>293500</v>
      </c>
      <c r="BO30" s="3"/>
      <c r="BP30" s="5"/>
      <c r="BQ30" s="1"/>
      <c r="BR30" s="1"/>
      <c r="BS30" s="5"/>
      <c r="BT30" s="5"/>
    </row>
    <row r="31" spans="1:72" x14ac:dyDescent="0.25">
      <c r="A31" s="6" t="s">
        <v>85</v>
      </c>
      <c r="B31" s="56">
        <v>3260497897</v>
      </c>
      <c r="C31" s="56">
        <v>358011288</v>
      </c>
      <c r="D31" s="56">
        <v>1353604499</v>
      </c>
      <c r="E31" s="56">
        <v>0</v>
      </c>
      <c r="F31" s="56">
        <v>273747800</v>
      </c>
      <c r="G31" s="56">
        <v>33286621</v>
      </c>
      <c r="H31" s="56">
        <v>20083100</v>
      </c>
      <c r="I31" s="56">
        <v>0</v>
      </c>
      <c r="J31" s="56">
        <v>0</v>
      </c>
      <c r="K31" s="56">
        <v>0</v>
      </c>
      <c r="L31" s="56">
        <v>813343571</v>
      </c>
      <c r="M31" s="56">
        <v>203911642</v>
      </c>
      <c r="N31" s="56">
        <v>8283</v>
      </c>
      <c r="O31" s="56">
        <v>968</v>
      </c>
      <c r="P31" s="56">
        <v>47837220</v>
      </c>
      <c r="Q31" s="56">
        <v>26655628</v>
      </c>
      <c r="R31" s="56">
        <v>86029872</v>
      </c>
      <c r="S31" s="56">
        <v>21821605</v>
      </c>
      <c r="T31" s="56">
        <v>3505410</v>
      </c>
      <c r="U31" s="56">
        <v>26346831</v>
      </c>
      <c r="V31" s="56">
        <v>47837220</v>
      </c>
      <c r="W31" s="56">
        <v>105979928</v>
      </c>
      <c r="X31" s="56">
        <v>86029872</v>
      </c>
      <c r="Y31" s="56">
        <v>21821605</v>
      </c>
      <c r="Z31" s="56">
        <v>11736532</v>
      </c>
      <c r="AA31" s="56">
        <v>26346831</v>
      </c>
      <c r="AB31" s="56">
        <v>-8918792</v>
      </c>
      <c r="AC31" s="56">
        <v>-250870</v>
      </c>
      <c r="AD31" s="56">
        <v>0</v>
      </c>
      <c r="AE31" s="56">
        <v>0</v>
      </c>
      <c r="AF31" s="56">
        <v>0</v>
      </c>
      <c r="AG31" s="56">
        <v>251298</v>
      </c>
      <c r="AH31" s="56">
        <v>9186475.4098360669</v>
      </c>
      <c r="AI31" s="56">
        <v>232909.83606557376</v>
      </c>
      <c r="AJ31" s="71">
        <v>3541483.6065573771</v>
      </c>
      <c r="AK31" s="1">
        <v>610113821</v>
      </c>
      <c r="AL31" s="1">
        <v>13372085</v>
      </c>
      <c r="AM31" s="56">
        <v>277000</v>
      </c>
      <c r="AN31" s="56">
        <v>221120179</v>
      </c>
      <c r="AO31" s="56">
        <v>23734657</v>
      </c>
      <c r="AP31" s="56">
        <v>414321724</v>
      </c>
      <c r="AQ31" s="56">
        <v>246585445</v>
      </c>
      <c r="AR31" s="56">
        <v>195457080</v>
      </c>
      <c r="AS31" s="56">
        <v>91796386</v>
      </c>
      <c r="AT31" s="56">
        <v>131493614</v>
      </c>
      <c r="AU31" s="56">
        <v>40170404</v>
      </c>
      <c r="AV31" s="56">
        <v>4453096</v>
      </c>
      <c r="AW31" s="56">
        <v>172708086</v>
      </c>
      <c r="AX31" s="56">
        <v>3527592</v>
      </c>
      <c r="AY31" s="56">
        <v>4366092</v>
      </c>
      <c r="AZ31" s="1">
        <v>29894289.170000002</v>
      </c>
      <c r="BA31" s="1">
        <v>15246087</v>
      </c>
      <c r="BB31" s="69">
        <v>32782383.420000002</v>
      </c>
      <c r="BC31" s="69">
        <v>1798034</v>
      </c>
      <c r="BD31" s="69">
        <v>3525557</v>
      </c>
      <c r="BE31" s="69">
        <v>60503249</v>
      </c>
      <c r="BF31" s="69">
        <v>60503249</v>
      </c>
      <c r="BG31" s="69">
        <v>153104995.5</v>
      </c>
      <c r="BH31" s="69">
        <v>149374267</v>
      </c>
      <c r="BI31" s="69">
        <v>24163748</v>
      </c>
      <c r="BJ31" s="69">
        <v>0</v>
      </c>
      <c r="BK31" s="63"/>
      <c r="BL31" s="5">
        <v>6351086124.852459</v>
      </c>
      <c r="BM31" s="5">
        <v>5476514833.852459</v>
      </c>
      <c r="BN31" s="15">
        <v>2753380</v>
      </c>
      <c r="BO31" s="3"/>
      <c r="BP31" s="5"/>
      <c r="BQ31" s="1"/>
      <c r="BR31" s="1"/>
      <c r="BS31" s="5"/>
      <c r="BT31" s="5"/>
    </row>
    <row r="32" spans="1:72" x14ac:dyDescent="0.25">
      <c r="A32" s="6" t="s">
        <v>86</v>
      </c>
      <c r="B32" s="56">
        <v>349039391</v>
      </c>
      <c r="C32" s="56">
        <v>111022276</v>
      </c>
      <c r="D32" s="56">
        <v>42431820</v>
      </c>
      <c r="E32" s="56">
        <v>0</v>
      </c>
      <c r="F32" s="56">
        <v>27017539</v>
      </c>
      <c r="G32" s="56">
        <v>10300500</v>
      </c>
      <c r="H32" s="56">
        <v>13827559</v>
      </c>
      <c r="I32" s="56">
        <v>1807000</v>
      </c>
      <c r="J32" s="56">
        <v>36000</v>
      </c>
      <c r="K32" s="56">
        <v>0</v>
      </c>
      <c r="L32" s="56">
        <v>167275705</v>
      </c>
      <c r="M32" s="56">
        <v>85786540</v>
      </c>
      <c r="N32" s="56">
        <v>1231</v>
      </c>
      <c r="O32" s="56">
        <v>406</v>
      </c>
      <c r="P32" s="56">
        <v>5240649</v>
      </c>
      <c r="Q32" s="56">
        <v>1600200</v>
      </c>
      <c r="R32" s="56">
        <v>472000</v>
      </c>
      <c r="S32" s="56">
        <v>97000</v>
      </c>
      <c r="T32" s="56">
        <v>85850</v>
      </c>
      <c r="U32" s="56">
        <v>161000</v>
      </c>
      <c r="V32" s="56">
        <v>5240649</v>
      </c>
      <c r="W32" s="56">
        <v>1663499</v>
      </c>
      <c r="X32" s="56">
        <v>472000</v>
      </c>
      <c r="Y32" s="56">
        <v>97000</v>
      </c>
      <c r="Z32" s="56">
        <v>85850</v>
      </c>
      <c r="AA32" s="56">
        <v>161000</v>
      </c>
      <c r="AB32" s="56">
        <v>-1432650</v>
      </c>
      <c r="AC32" s="56">
        <v>-66897</v>
      </c>
      <c r="AD32" s="56">
        <v>65044</v>
      </c>
      <c r="AE32" s="56">
        <v>7845</v>
      </c>
      <c r="AF32" s="56">
        <v>9013936</v>
      </c>
      <c r="AG32" s="56">
        <v>126249</v>
      </c>
      <c r="AH32" s="56">
        <v>2123303.2786885244</v>
      </c>
      <c r="AI32" s="56">
        <v>294595.90163934429</v>
      </c>
      <c r="AJ32" s="72">
        <v>0</v>
      </c>
      <c r="AK32" s="1">
        <v>64254016</v>
      </c>
      <c r="AL32" s="1">
        <v>6733037</v>
      </c>
      <c r="AM32" s="56">
        <v>724000</v>
      </c>
      <c r="AN32" s="56">
        <v>5770738</v>
      </c>
      <c r="AO32" s="56">
        <v>45025</v>
      </c>
      <c r="AP32" s="56">
        <v>3676899</v>
      </c>
      <c r="AQ32" s="56">
        <v>4785432</v>
      </c>
      <c r="AR32" s="56">
        <v>1079593</v>
      </c>
      <c r="AS32" s="56">
        <v>0</v>
      </c>
      <c r="AT32" s="56">
        <v>471166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1">
        <v>3148311.13</v>
      </c>
      <c r="BA32" s="1">
        <v>1605639</v>
      </c>
      <c r="BB32" s="69">
        <v>0</v>
      </c>
      <c r="BC32" s="69">
        <v>269614</v>
      </c>
      <c r="BD32" s="69">
        <v>528655</v>
      </c>
      <c r="BE32" s="69">
        <v>3371879</v>
      </c>
      <c r="BF32" s="69">
        <v>3371879</v>
      </c>
      <c r="BG32" s="69">
        <v>16974342.5</v>
      </c>
      <c r="BH32" s="69">
        <v>16390184</v>
      </c>
      <c r="BI32" s="69">
        <v>0</v>
      </c>
      <c r="BJ32" s="69">
        <v>0</v>
      </c>
      <c r="BK32" s="63"/>
      <c r="BL32" s="5">
        <v>608136950.18032789</v>
      </c>
      <c r="BM32" s="5">
        <v>515512581.18032789</v>
      </c>
      <c r="BN32" s="15">
        <v>318800</v>
      </c>
      <c r="BO32" s="3"/>
      <c r="BP32" s="5"/>
      <c r="BQ32" s="1"/>
      <c r="BR32" s="1"/>
      <c r="BS32" s="5"/>
      <c r="BT32" s="5"/>
    </row>
    <row r="33" spans="1:72" x14ac:dyDescent="0.25">
      <c r="A33" s="6" t="s">
        <v>87</v>
      </c>
      <c r="B33" s="56">
        <v>62431654</v>
      </c>
      <c r="C33" s="56">
        <v>57838618</v>
      </c>
      <c r="D33" s="56">
        <v>13410197</v>
      </c>
      <c r="E33" s="56">
        <v>0</v>
      </c>
      <c r="F33" s="56">
        <v>7969861</v>
      </c>
      <c r="G33" s="56">
        <v>7608514</v>
      </c>
      <c r="H33" s="56">
        <v>11471028</v>
      </c>
      <c r="I33" s="56">
        <v>5307435</v>
      </c>
      <c r="J33" s="56">
        <v>0</v>
      </c>
      <c r="K33" s="56">
        <v>0</v>
      </c>
      <c r="L33" s="56">
        <v>94185366</v>
      </c>
      <c r="M33" s="56">
        <v>17</v>
      </c>
      <c r="N33" s="56">
        <v>624</v>
      </c>
      <c r="O33" s="56">
        <v>445</v>
      </c>
      <c r="P33" s="56">
        <v>1516213</v>
      </c>
      <c r="Q33" s="56">
        <v>1111857</v>
      </c>
      <c r="R33" s="56">
        <v>100000</v>
      </c>
      <c r="S33" s="56">
        <v>1649510</v>
      </c>
      <c r="T33" s="56">
        <v>464629</v>
      </c>
      <c r="U33" s="56">
        <v>80520</v>
      </c>
      <c r="V33" s="56">
        <v>1516213</v>
      </c>
      <c r="W33" s="56">
        <v>1282872</v>
      </c>
      <c r="X33" s="56">
        <v>100000</v>
      </c>
      <c r="Y33" s="56">
        <v>1649510</v>
      </c>
      <c r="Z33" s="56">
        <v>541118</v>
      </c>
      <c r="AA33" s="56">
        <v>80520</v>
      </c>
      <c r="AB33" s="56">
        <v>-2227237</v>
      </c>
      <c r="AC33" s="56">
        <v>0</v>
      </c>
      <c r="AD33" s="56">
        <v>120929</v>
      </c>
      <c r="AE33" s="56">
        <v>0</v>
      </c>
      <c r="AF33" s="56">
        <v>0</v>
      </c>
      <c r="AG33" s="56">
        <v>138009</v>
      </c>
      <c r="AH33" s="56">
        <v>3177795.0819672132</v>
      </c>
      <c r="AI33" s="56">
        <v>86459.016393442638</v>
      </c>
      <c r="AJ33" s="71">
        <v>801278.68852459011</v>
      </c>
      <c r="AK33" s="1">
        <v>29769155</v>
      </c>
      <c r="AL33" s="1">
        <v>967590</v>
      </c>
      <c r="AM33" s="56">
        <v>0</v>
      </c>
      <c r="AN33" s="56">
        <v>3358689</v>
      </c>
      <c r="AO33" s="56">
        <v>38819</v>
      </c>
      <c r="AP33" s="56">
        <v>0</v>
      </c>
      <c r="AQ33" s="56">
        <v>1005489</v>
      </c>
      <c r="AR33" s="56">
        <v>122670</v>
      </c>
      <c r="AS33" s="56">
        <v>0</v>
      </c>
      <c r="AT33" s="56">
        <v>493167</v>
      </c>
      <c r="AU33" s="56">
        <v>0</v>
      </c>
      <c r="AV33" s="56">
        <v>0</v>
      </c>
      <c r="AW33" s="56">
        <v>0</v>
      </c>
      <c r="AX33" s="56">
        <v>0</v>
      </c>
      <c r="AY33" s="56">
        <v>0</v>
      </c>
      <c r="AZ33" s="1">
        <v>1458625.75</v>
      </c>
      <c r="BA33" s="1">
        <v>743899</v>
      </c>
      <c r="BB33" s="69">
        <v>0</v>
      </c>
      <c r="BC33" s="69">
        <v>0</v>
      </c>
      <c r="BD33" s="69">
        <v>0</v>
      </c>
      <c r="BE33" s="69">
        <v>2731542</v>
      </c>
      <c r="BF33" s="69">
        <v>2731542</v>
      </c>
      <c r="BG33" s="69">
        <v>28509463</v>
      </c>
      <c r="BH33" s="69">
        <v>28505254</v>
      </c>
      <c r="BI33" s="69">
        <v>0</v>
      </c>
      <c r="BJ33" s="69">
        <v>0</v>
      </c>
      <c r="BK33" s="63"/>
      <c r="BL33" s="5">
        <v>204866438.78688526</v>
      </c>
      <c r="BM33" s="5">
        <v>142148998.78688526</v>
      </c>
      <c r="BN33" s="15">
        <v>215481</v>
      </c>
      <c r="BO33" s="3"/>
      <c r="BP33" s="5"/>
      <c r="BQ33" s="1"/>
      <c r="BR33" s="1"/>
      <c r="BS33" s="5"/>
      <c r="BT33" s="5"/>
    </row>
    <row r="34" spans="1:72" x14ac:dyDescent="0.25">
      <c r="A34" s="6" t="s">
        <v>88</v>
      </c>
      <c r="B34" s="56">
        <v>212516615</v>
      </c>
      <c r="C34" s="56">
        <v>97243286</v>
      </c>
      <c r="D34" s="56">
        <v>60712159</v>
      </c>
      <c r="E34" s="56">
        <v>0</v>
      </c>
      <c r="F34" s="56">
        <v>34887056</v>
      </c>
      <c r="G34" s="56">
        <v>12555060</v>
      </c>
      <c r="H34" s="56">
        <v>10616708</v>
      </c>
      <c r="I34" s="56">
        <v>2470000</v>
      </c>
      <c r="J34" s="56">
        <v>108000</v>
      </c>
      <c r="K34" s="56">
        <v>71552</v>
      </c>
      <c r="L34" s="56">
        <v>77402657</v>
      </c>
      <c r="M34" s="56">
        <v>2068200</v>
      </c>
      <c r="N34" s="56">
        <v>1360</v>
      </c>
      <c r="O34" s="56">
        <v>478</v>
      </c>
      <c r="P34" s="56">
        <v>1084300</v>
      </c>
      <c r="Q34" s="56">
        <v>643768</v>
      </c>
      <c r="R34" s="56">
        <v>1027800</v>
      </c>
      <c r="S34" s="56">
        <v>3607005</v>
      </c>
      <c r="T34" s="56">
        <v>1529133</v>
      </c>
      <c r="U34" s="56">
        <v>1465597</v>
      </c>
      <c r="V34" s="56">
        <v>1084300</v>
      </c>
      <c r="W34" s="56">
        <v>627600</v>
      </c>
      <c r="X34" s="56">
        <v>1027800</v>
      </c>
      <c r="Y34" s="56">
        <v>3607005</v>
      </c>
      <c r="Z34" s="56">
        <v>1104503</v>
      </c>
      <c r="AA34" s="56">
        <v>1465597</v>
      </c>
      <c r="AB34" s="56">
        <v>-2006259</v>
      </c>
      <c r="AC34" s="56">
        <v>5541842</v>
      </c>
      <c r="AD34" s="56">
        <v>91763</v>
      </c>
      <c r="AE34" s="56">
        <v>12520</v>
      </c>
      <c r="AF34" s="56">
        <v>11170618</v>
      </c>
      <c r="AG34" s="56">
        <v>137502</v>
      </c>
      <c r="AH34" s="56">
        <v>6375827.8688524598</v>
      </c>
      <c r="AI34" s="56">
        <v>78811.475409836072</v>
      </c>
      <c r="AJ34" s="72">
        <v>0</v>
      </c>
      <c r="AK34" s="1">
        <v>71330734</v>
      </c>
      <c r="AL34" s="1">
        <v>1449806</v>
      </c>
      <c r="AM34" s="56">
        <v>0</v>
      </c>
      <c r="AN34" s="56">
        <v>13280614</v>
      </c>
      <c r="AO34" s="56">
        <v>96901</v>
      </c>
      <c r="AP34" s="56">
        <v>2269071</v>
      </c>
      <c r="AQ34" s="56">
        <v>5981681</v>
      </c>
      <c r="AR34" s="56">
        <v>1632571</v>
      </c>
      <c r="AS34" s="56">
        <v>0</v>
      </c>
      <c r="AT34" s="56">
        <v>106285</v>
      </c>
      <c r="AU34" s="56">
        <v>0</v>
      </c>
      <c r="AV34" s="56">
        <v>0</v>
      </c>
      <c r="AW34" s="56">
        <v>0</v>
      </c>
      <c r="AX34" s="56">
        <v>56428</v>
      </c>
      <c r="AY34" s="56">
        <v>0</v>
      </c>
      <c r="AZ34" s="1">
        <v>3495055.37</v>
      </c>
      <c r="BA34" s="1">
        <v>1782478</v>
      </c>
      <c r="BB34" s="69">
        <v>0</v>
      </c>
      <c r="BC34" s="69">
        <v>4367869</v>
      </c>
      <c r="BD34" s="69">
        <v>8564449</v>
      </c>
      <c r="BE34" s="69">
        <v>17976687</v>
      </c>
      <c r="BF34" s="69">
        <v>17976687</v>
      </c>
      <c r="BG34" s="69">
        <v>33496425.5</v>
      </c>
      <c r="BH34" s="69">
        <v>30382022</v>
      </c>
      <c r="BI34" s="69">
        <v>0</v>
      </c>
      <c r="BJ34" s="69">
        <v>0</v>
      </c>
      <c r="BK34" s="63"/>
      <c r="BL34" s="5">
        <v>523575491.3442623</v>
      </c>
      <c r="BM34" s="5">
        <v>396285895.3442623</v>
      </c>
      <c r="BN34" s="15"/>
      <c r="BO34" s="3"/>
      <c r="BP34" s="5"/>
      <c r="BQ34" s="1"/>
      <c r="BR34" s="1"/>
      <c r="BS34" s="5"/>
      <c r="BT34" s="5"/>
    </row>
    <row r="35" spans="1:72" x14ac:dyDescent="0.25">
      <c r="A35" s="6" t="s">
        <v>89</v>
      </c>
      <c r="B35" s="56">
        <v>15497091000</v>
      </c>
      <c r="C35" s="56">
        <v>911673200</v>
      </c>
      <c r="D35" s="56">
        <v>6935829200</v>
      </c>
      <c r="E35" s="56">
        <v>0</v>
      </c>
      <c r="F35" s="56">
        <v>640074800</v>
      </c>
      <c r="G35" s="56">
        <v>44366700</v>
      </c>
      <c r="H35" s="56">
        <v>12132000</v>
      </c>
      <c r="I35" s="56">
        <v>468000</v>
      </c>
      <c r="J35" s="56">
        <v>864000</v>
      </c>
      <c r="K35" s="56">
        <v>36000</v>
      </c>
      <c r="L35" s="56">
        <v>1635143400</v>
      </c>
      <c r="M35" s="56">
        <v>585708900</v>
      </c>
      <c r="N35" s="56">
        <v>18285</v>
      </c>
      <c r="O35" s="56">
        <v>1295</v>
      </c>
      <c r="P35" s="56">
        <v>162706400</v>
      </c>
      <c r="Q35" s="56">
        <v>11669900</v>
      </c>
      <c r="R35" s="56">
        <v>193587000</v>
      </c>
      <c r="S35" s="56">
        <v>68388100</v>
      </c>
      <c r="T35" s="56">
        <v>3651500</v>
      </c>
      <c r="U35" s="56">
        <v>92292800</v>
      </c>
      <c r="V35" s="56">
        <v>162706400</v>
      </c>
      <c r="W35" s="56">
        <v>15400600</v>
      </c>
      <c r="X35" s="56">
        <v>193587000</v>
      </c>
      <c r="Y35" s="56">
        <v>68388100</v>
      </c>
      <c r="Z35" s="56">
        <v>15605900</v>
      </c>
      <c r="AA35" s="56">
        <v>92292800</v>
      </c>
      <c r="AB35" s="56">
        <v>-24416300</v>
      </c>
      <c r="AC35" s="56">
        <v>-6561366</v>
      </c>
      <c r="AD35" s="56"/>
      <c r="AE35" s="56"/>
      <c r="AF35" s="56"/>
      <c r="AG35" s="56"/>
      <c r="AH35" s="56">
        <v>0</v>
      </c>
      <c r="AI35" s="56">
        <v>994606.55737704923</v>
      </c>
      <c r="AJ35" s="72">
        <v>0</v>
      </c>
      <c r="AK35" s="1">
        <v>1994670339</v>
      </c>
      <c r="AL35" s="1">
        <v>23004376</v>
      </c>
      <c r="AM35" s="56">
        <v>0</v>
      </c>
      <c r="AN35" s="56">
        <v>969962669</v>
      </c>
      <c r="AO35" s="56">
        <v>18125868</v>
      </c>
      <c r="AP35" s="56">
        <v>416877331</v>
      </c>
      <c r="AQ35" s="56">
        <v>795886519</v>
      </c>
      <c r="AR35" s="56">
        <v>368550693</v>
      </c>
      <c r="AS35" s="56">
        <v>282339561</v>
      </c>
      <c r="AT35" s="56">
        <v>582741561</v>
      </c>
      <c r="AU35" s="56">
        <v>1968738</v>
      </c>
      <c r="AV35" s="56">
        <v>25752</v>
      </c>
      <c r="AW35" s="56">
        <v>3418484</v>
      </c>
      <c r="AX35" s="56">
        <v>963337</v>
      </c>
      <c r="AY35" s="56">
        <v>69075955</v>
      </c>
      <c r="AZ35" s="1">
        <v>97734635.519999996</v>
      </c>
      <c r="BA35" s="1">
        <v>49844664</v>
      </c>
      <c r="BB35" s="69">
        <v>0</v>
      </c>
      <c r="BC35" s="69">
        <v>4403089</v>
      </c>
      <c r="BD35" s="69">
        <v>8633508</v>
      </c>
      <c r="BE35" s="69">
        <v>292560708</v>
      </c>
      <c r="BF35" s="69">
        <v>286909446</v>
      </c>
      <c r="BG35" s="69">
        <v>545651620.5</v>
      </c>
      <c r="BH35" s="69">
        <v>515545204</v>
      </c>
      <c r="BI35" s="69">
        <v>9568</v>
      </c>
      <c r="BJ35" s="69">
        <v>0</v>
      </c>
      <c r="BK35" s="63"/>
      <c r="BL35" s="5">
        <v>28003949748.557377</v>
      </c>
      <c r="BM35" s="5">
        <v>25129563062.557377</v>
      </c>
      <c r="BN35" s="15">
        <v>14723500</v>
      </c>
      <c r="BO35" s="3"/>
      <c r="BP35" s="5"/>
      <c r="BQ35" s="1"/>
      <c r="BR35" s="1"/>
      <c r="BS35" s="5"/>
      <c r="BT35" s="5"/>
    </row>
    <row r="36" spans="1:72" x14ac:dyDescent="0.25">
      <c r="A36" s="6" t="s">
        <v>90</v>
      </c>
      <c r="B36" s="56">
        <v>255365013</v>
      </c>
      <c r="C36" s="56">
        <v>172985850</v>
      </c>
      <c r="D36" s="56">
        <v>54670300</v>
      </c>
      <c r="E36" s="56">
        <v>0</v>
      </c>
      <c r="F36" s="56">
        <v>34028200</v>
      </c>
      <c r="G36" s="56">
        <v>8947220</v>
      </c>
      <c r="H36" s="56">
        <v>12684100</v>
      </c>
      <c r="I36" s="56">
        <v>2320700</v>
      </c>
      <c r="J36" s="56">
        <v>72000</v>
      </c>
      <c r="K36" s="56">
        <v>0</v>
      </c>
      <c r="L36" s="56">
        <v>201953625</v>
      </c>
      <c r="M36" s="56">
        <v>90555600</v>
      </c>
      <c r="N36" s="56">
        <v>1395</v>
      </c>
      <c r="O36" s="56">
        <v>354</v>
      </c>
      <c r="P36" s="56">
        <v>2535000</v>
      </c>
      <c r="Q36" s="56">
        <v>1883300</v>
      </c>
      <c r="R36" s="56">
        <v>106000</v>
      </c>
      <c r="S36" s="56">
        <v>1732705</v>
      </c>
      <c r="T36" s="56">
        <v>835000</v>
      </c>
      <c r="U36" s="56">
        <v>204000</v>
      </c>
      <c r="V36" s="56">
        <v>2535000</v>
      </c>
      <c r="W36" s="56">
        <v>2028000</v>
      </c>
      <c r="X36" s="56">
        <v>106000</v>
      </c>
      <c r="Y36" s="56">
        <v>1732705</v>
      </c>
      <c r="Z36" s="56">
        <v>482900</v>
      </c>
      <c r="AA36" s="56">
        <v>204000</v>
      </c>
      <c r="AB36" s="56">
        <v>-2782200</v>
      </c>
      <c r="AC36" s="56">
        <v>-54485</v>
      </c>
      <c r="AD36" s="56">
        <v>52106</v>
      </c>
      <c r="AE36" s="56">
        <v>47178</v>
      </c>
      <c r="AF36" s="56">
        <v>76445820</v>
      </c>
      <c r="AG36" s="56">
        <v>213262</v>
      </c>
      <c r="AH36" s="56">
        <v>0</v>
      </c>
      <c r="AI36" s="56">
        <v>78426.229508196731</v>
      </c>
      <c r="AJ36" s="72">
        <v>0</v>
      </c>
      <c r="AK36" s="1">
        <v>93144821</v>
      </c>
      <c r="AL36" s="1">
        <v>1287036</v>
      </c>
      <c r="AM36" s="56">
        <v>0</v>
      </c>
      <c r="AN36" s="56">
        <v>13936534</v>
      </c>
      <c r="AO36" s="56">
        <v>873137</v>
      </c>
      <c r="AP36" s="56">
        <v>25103572</v>
      </c>
      <c r="AQ36" s="56">
        <v>20495424</v>
      </c>
      <c r="AR36" s="56">
        <v>11948491</v>
      </c>
      <c r="AS36" s="56">
        <v>0</v>
      </c>
      <c r="AT36" s="56">
        <v>1262778</v>
      </c>
      <c r="AU36" s="56">
        <v>0</v>
      </c>
      <c r="AV36" s="56">
        <v>20197</v>
      </c>
      <c r="AW36" s="56">
        <v>0</v>
      </c>
      <c r="AX36" s="56">
        <v>475</v>
      </c>
      <c r="AY36" s="56">
        <v>275500</v>
      </c>
      <c r="AZ36" s="1">
        <v>4563899.58</v>
      </c>
      <c r="BA36" s="1">
        <v>2327589</v>
      </c>
      <c r="BB36" s="69">
        <v>0</v>
      </c>
      <c r="BC36" s="69">
        <v>542872</v>
      </c>
      <c r="BD36" s="69">
        <v>1064454</v>
      </c>
      <c r="BE36" s="69">
        <v>12937504</v>
      </c>
      <c r="BF36" s="69">
        <v>12937504</v>
      </c>
      <c r="BG36" s="69">
        <v>30341174</v>
      </c>
      <c r="BH36" s="69">
        <v>30075810</v>
      </c>
      <c r="BI36" s="69">
        <v>0</v>
      </c>
      <c r="BJ36" s="69">
        <v>0</v>
      </c>
      <c r="BK36" s="63"/>
      <c r="BL36" s="5">
        <v>658720316.22950816</v>
      </c>
      <c r="BM36" s="5">
        <v>518404684.22950822</v>
      </c>
      <c r="BN36" s="15"/>
      <c r="BO36" s="3"/>
      <c r="BP36" s="5"/>
      <c r="BQ36" s="1"/>
      <c r="BR36" s="1"/>
      <c r="BS36" s="5"/>
      <c r="BT36" s="5"/>
    </row>
    <row r="37" spans="1:72" x14ac:dyDescent="0.25">
      <c r="A37" s="6" t="s">
        <v>91</v>
      </c>
      <c r="B37" s="56">
        <v>614937079</v>
      </c>
      <c r="C37" s="56">
        <v>115158023</v>
      </c>
      <c r="D37" s="56">
        <v>268095520</v>
      </c>
      <c r="E37" s="56">
        <v>0</v>
      </c>
      <c r="F37" s="56">
        <v>90117400</v>
      </c>
      <c r="G37" s="56">
        <v>71757050</v>
      </c>
      <c r="H37" s="56">
        <v>20194734</v>
      </c>
      <c r="I37" s="56">
        <v>8958000</v>
      </c>
      <c r="J37" s="56">
        <v>260500</v>
      </c>
      <c r="K37" s="56">
        <v>252000</v>
      </c>
      <c r="L37" s="56">
        <v>67961048</v>
      </c>
      <c r="M37" s="56">
        <v>60673137</v>
      </c>
      <c r="N37" s="56">
        <v>3495</v>
      </c>
      <c r="O37" s="56">
        <v>2852</v>
      </c>
      <c r="P37" s="56">
        <v>5877500</v>
      </c>
      <c r="Q37" s="56">
        <v>441000</v>
      </c>
      <c r="R37" s="56">
        <v>1125000</v>
      </c>
      <c r="S37" s="56">
        <v>4088600</v>
      </c>
      <c r="T37" s="56">
        <v>456100</v>
      </c>
      <c r="U37" s="56">
        <v>287000</v>
      </c>
      <c r="V37" s="56">
        <v>5877500</v>
      </c>
      <c r="W37" s="56">
        <v>284000</v>
      </c>
      <c r="X37" s="56">
        <v>1125000</v>
      </c>
      <c r="Y37" s="56">
        <v>4088600</v>
      </c>
      <c r="Z37" s="56">
        <v>612000</v>
      </c>
      <c r="AA37" s="56">
        <v>287000</v>
      </c>
      <c r="AB37" s="56">
        <v>-8531800</v>
      </c>
      <c r="AC37" s="56">
        <v>-15782</v>
      </c>
      <c r="AD37" s="56">
        <v>183905</v>
      </c>
      <c r="AE37" s="56">
        <v>0</v>
      </c>
      <c r="AF37" s="56">
        <v>0</v>
      </c>
      <c r="AG37" s="56">
        <v>184607</v>
      </c>
      <c r="AH37" s="56">
        <v>4495122.9508196721</v>
      </c>
      <c r="AI37" s="56">
        <v>63747361.475409836</v>
      </c>
      <c r="AJ37" s="71">
        <v>194469549.18032789</v>
      </c>
      <c r="AK37" s="1">
        <v>265402774</v>
      </c>
      <c r="AL37" s="1">
        <v>7179690</v>
      </c>
      <c r="AM37" s="56">
        <v>0</v>
      </c>
      <c r="AN37" s="56">
        <v>137203809</v>
      </c>
      <c r="AO37" s="56">
        <v>2759829</v>
      </c>
      <c r="AP37" s="56">
        <v>177480003</v>
      </c>
      <c r="AQ37" s="56">
        <v>64699464</v>
      </c>
      <c r="AR37" s="56">
        <v>43700086</v>
      </c>
      <c r="AS37" s="56">
        <v>835394</v>
      </c>
      <c r="AT37" s="56">
        <v>20000</v>
      </c>
      <c r="AU37" s="56">
        <v>0</v>
      </c>
      <c r="AV37" s="56">
        <v>0</v>
      </c>
      <c r="AW37" s="56">
        <v>0</v>
      </c>
      <c r="AX37" s="56">
        <v>0</v>
      </c>
      <c r="AY37" s="56">
        <v>2500000</v>
      </c>
      <c r="AZ37" s="1">
        <v>13004175.609999999</v>
      </c>
      <c r="BA37" s="1">
        <v>6632130</v>
      </c>
      <c r="BB37" s="69">
        <v>0</v>
      </c>
      <c r="BC37" s="69">
        <v>4631411</v>
      </c>
      <c r="BD37" s="69">
        <v>9081197</v>
      </c>
      <c r="BE37" s="69">
        <v>100584046</v>
      </c>
      <c r="BF37" s="69">
        <v>100584046</v>
      </c>
      <c r="BG37" s="69">
        <v>220126509.5</v>
      </c>
      <c r="BH37" s="69">
        <v>215679425</v>
      </c>
      <c r="BI37" s="69">
        <v>0</v>
      </c>
      <c r="BJ37" s="69">
        <v>0</v>
      </c>
      <c r="BK37" s="63"/>
      <c r="BL37" s="5">
        <v>2065675233.6065574</v>
      </c>
      <c r="BM37" s="5">
        <v>1465565757.6065574</v>
      </c>
      <c r="BN37" s="15">
        <v>14831100</v>
      </c>
      <c r="BO37" s="3"/>
      <c r="BP37" s="5"/>
      <c r="BQ37" s="1"/>
      <c r="BR37" s="1"/>
      <c r="BS37" s="5"/>
      <c r="BT37" s="5"/>
    </row>
    <row r="38" spans="1:72" x14ac:dyDescent="0.25">
      <c r="A38" s="6" t="s">
        <v>92</v>
      </c>
      <c r="B38" s="56">
        <v>1898885708</v>
      </c>
      <c r="C38" s="56">
        <v>164097656</v>
      </c>
      <c r="D38" s="56">
        <v>752118008</v>
      </c>
      <c r="E38" s="56">
        <v>0</v>
      </c>
      <c r="F38" s="56">
        <v>146739100</v>
      </c>
      <c r="G38" s="56">
        <v>10662095</v>
      </c>
      <c r="H38" s="56">
        <v>11491588</v>
      </c>
      <c r="I38" s="56">
        <v>551853</v>
      </c>
      <c r="J38" s="56">
        <v>216000</v>
      </c>
      <c r="K38" s="56">
        <v>36000</v>
      </c>
      <c r="L38" s="56">
        <v>160989945</v>
      </c>
      <c r="M38" s="56">
        <v>130757121</v>
      </c>
      <c r="N38" s="56">
        <v>4476</v>
      </c>
      <c r="O38" s="56">
        <v>343</v>
      </c>
      <c r="P38" s="56">
        <v>7119781</v>
      </c>
      <c r="Q38" s="56">
        <v>2969609</v>
      </c>
      <c r="R38" s="56">
        <v>5034720</v>
      </c>
      <c r="S38" s="56">
        <v>12684944</v>
      </c>
      <c r="T38" s="56">
        <v>1043003</v>
      </c>
      <c r="U38" s="56">
        <v>19369056</v>
      </c>
      <c r="V38" s="56">
        <v>7119781</v>
      </c>
      <c r="W38" s="56">
        <v>3119645</v>
      </c>
      <c r="X38" s="56">
        <v>5034720</v>
      </c>
      <c r="Y38" s="56">
        <v>12684944</v>
      </c>
      <c r="Z38" s="56">
        <v>1185818</v>
      </c>
      <c r="AA38" s="56">
        <v>19369056</v>
      </c>
      <c r="AB38" s="56">
        <v>-4907039</v>
      </c>
      <c r="AC38" s="56">
        <v>-1272558</v>
      </c>
      <c r="AD38" s="56">
        <v>0</v>
      </c>
      <c r="AE38" s="56">
        <v>0</v>
      </c>
      <c r="AF38" s="56">
        <v>0</v>
      </c>
      <c r="AG38" s="56">
        <v>103440</v>
      </c>
      <c r="AH38" s="56">
        <v>0</v>
      </c>
      <c r="AI38" s="56">
        <v>346393.44262295082</v>
      </c>
      <c r="AJ38" s="72">
        <v>0</v>
      </c>
      <c r="AK38" s="1">
        <v>310827023</v>
      </c>
      <c r="AL38" s="1">
        <v>9042136</v>
      </c>
      <c r="AM38" s="56">
        <v>165353</v>
      </c>
      <c r="AN38" s="56">
        <v>106543757</v>
      </c>
      <c r="AO38" s="56">
        <v>5105282</v>
      </c>
      <c r="AP38" s="56">
        <v>201143270</v>
      </c>
      <c r="AQ38" s="56">
        <v>76169661</v>
      </c>
      <c r="AR38" s="56">
        <v>72751856</v>
      </c>
      <c r="AS38" s="56">
        <v>15399479</v>
      </c>
      <c r="AT38" s="56">
        <v>2194645</v>
      </c>
      <c r="AU38" s="56">
        <v>0</v>
      </c>
      <c r="AV38" s="56">
        <v>0</v>
      </c>
      <c r="AW38" s="56">
        <v>21013</v>
      </c>
      <c r="AX38" s="56">
        <v>25843</v>
      </c>
      <c r="AY38" s="56">
        <v>935335</v>
      </c>
      <c r="AZ38" s="1">
        <v>15229867.92</v>
      </c>
      <c r="BA38" s="1">
        <v>7767233</v>
      </c>
      <c r="BB38" s="69">
        <v>3814766.84</v>
      </c>
      <c r="BC38" s="69">
        <v>938791</v>
      </c>
      <c r="BD38" s="69">
        <v>1840767</v>
      </c>
      <c r="BE38" s="69">
        <v>63208655</v>
      </c>
      <c r="BF38" s="69">
        <v>61596457</v>
      </c>
      <c r="BG38" s="69">
        <v>40255636</v>
      </c>
      <c r="BH38" s="69">
        <v>38301692</v>
      </c>
      <c r="BI38" s="69">
        <v>130255701</v>
      </c>
      <c r="BJ38" s="69">
        <v>0</v>
      </c>
      <c r="BK38" s="63"/>
      <c r="BL38" s="5">
        <v>3561995498.4426231</v>
      </c>
      <c r="BM38" s="5">
        <v>3003266465.4426231</v>
      </c>
      <c r="BN38" s="15"/>
      <c r="BO38" s="3"/>
      <c r="BP38" s="5"/>
      <c r="BQ38" s="1"/>
      <c r="BR38" s="1"/>
      <c r="BS38" s="5"/>
      <c r="BT38" s="5"/>
    </row>
    <row r="39" spans="1:72" x14ac:dyDescent="0.25">
      <c r="A39" s="6" t="s">
        <v>93</v>
      </c>
      <c r="B39" s="56">
        <v>75761144</v>
      </c>
      <c r="C39" s="56">
        <v>60011228</v>
      </c>
      <c r="D39" s="56">
        <v>61978500</v>
      </c>
      <c r="E39" s="56">
        <v>0</v>
      </c>
      <c r="F39" s="56">
        <v>18854175</v>
      </c>
      <c r="G39" s="56">
        <v>4063715</v>
      </c>
      <c r="H39" s="56">
        <v>3252758</v>
      </c>
      <c r="I39" s="56">
        <v>252000</v>
      </c>
      <c r="J39" s="56">
        <v>54000</v>
      </c>
      <c r="K39" s="56">
        <v>0</v>
      </c>
      <c r="L39" s="56">
        <v>286913241</v>
      </c>
      <c r="M39" s="56">
        <v>14664828</v>
      </c>
      <c r="N39" s="56">
        <v>692</v>
      </c>
      <c r="O39" s="56">
        <v>145</v>
      </c>
      <c r="P39" s="56">
        <v>898340</v>
      </c>
      <c r="Q39" s="56">
        <v>297621</v>
      </c>
      <c r="R39" s="56">
        <v>287332</v>
      </c>
      <c r="S39" s="56">
        <v>387430</v>
      </c>
      <c r="T39" s="56">
        <v>170507</v>
      </c>
      <c r="U39" s="56">
        <v>3988530</v>
      </c>
      <c r="V39" s="56">
        <v>898340</v>
      </c>
      <c r="W39" s="56">
        <v>1010499</v>
      </c>
      <c r="X39" s="56">
        <v>287332</v>
      </c>
      <c r="Y39" s="56">
        <v>387430</v>
      </c>
      <c r="Z39" s="56">
        <v>449604</v>
      </c>
      <c r="AA39" s="56">
        <v>3988530</v>
      </c>
      <c r="AB39" s="56">
        <v>-523193</v>
      </c>
      <c r="AC39" s="56">
        <v>0</v>
      </c>
      <c r="AD39" s="56">
        <v>25344</v>
      </c>
      <c r="AE39" s="56">
        <v>41190</v>
      </c>
      <c r="AF39" s="56">
        <v>21372861</v>
      </c>
      <c r="AG39" s="56">
        <v>120786</v>
      </c>
      <c r="AH39" s="56">
        <v>0</v>
      </c>
      <c r="AI39" s="56">
        <v>0</v>
      </c>
      <c r="AJ39" s="72">
        <v>0</v>
      </c>
      <c r="AK39" s="1">
        <v>36336462</v>
      </c>
      <c r="AL39" s="1">
        <v>669044</v>
      </c>
      <c r="AM39" s="56">
        <v>0</v>
      </c>
      <c r="AN39" s="56">
        <v>19086661</v>
      </c>
      <c r="AO39" s="56">
        <v>3280517</v>
      </c>
      <c r="AP39" s="56">
        <v>30243073</v>
      </c>
      <c r="AQ39" s="56">
        <v>29730987</v>
      </c>
      <c r="AR39" s="56">
        <v>52984942</v>
      </c>
      <c r="AS39" s="56">
        <v>0</v>
      </c>
      <c r="AT39" s="56">
        <v>2622111</v>
      </c>
      <c r="AU39" s="56">
        <v>0</v>
      </c>
      <c r="AV39" s="56">
        <v>0</v>
      </c>
      <c r="AW39" s="56">
        <v>4056808</v>
      </c>
      <c r="AX39" s="56">
        <v>0</v>
      </c>
      <c r="AY39" s="56">
        <v>86700</v>
      </c>
      <c r="AZ39" s="1">
        <v>1780409.93</v>
      </c>
      <c r="BA39" s="1">
        <v>908009</v>
      </c>
      <c r="BB39" s="69">
        <v>44595854.920000002</v>
      </c>
      <c r="BC39" s="69">
        <v>1064490</v>
      </c>
      <c r="BD39" s="69">
        <v>2087235</v>
      </c>
      <c r="BE39" s="69">
        <v>13742626</v>
      </c>
      <c r="BF39" s="69">
        <v>13742626</v>
      </c>
      <c r="BG39" s="69">
        <v>16934179</v>
      </c>
      <c r="BH39" s="69">
        <v>12378846</v>
      </c>
      <c r="BI39" s="69">
        <v>0</v>
      </c>
      <c r="BJ39" s="69">
        <v>3120544</v>
      </c>
      <c r="BK39" s="63"/>
      <c r="BL39" s="5">
        <v>318069058</v>
      </c>
      <c r="BM39" s="5">
        <v>249849037</v>
      </c>
      <c r="BN39" s="15">
        <v>1143242</v>
      </c>
      <c r="BO39" s="3"/>
      <c r="BP39" s="5"/>
      <c r="BQ39" s="1"/>
      <c r="BR39" s="1"/>
      <c r="BS39" s="5"/>
      <c r="BT39" s="5"/>
    </row>
    <row r="40" spans="1:72" x14ac:dyDescent="0.25">
      <c r="A40" s="6" t="s">
        <v>94</v>
      </c>
      <c r="B40" s="56">
        <v>235917269</v>
      </c>
      <c r="C40" s="56">
        <v>62983660</v>
      </c>
      <c r="D40" s="56">
        <v>91550994</v>
      </c>
      <c r="E40" s="56">
        <v>67612959</v>
      </c>
      <c r="F40" s="56">
        <v>14888369</v>
      </c>
      <c r="G40" s="56">
        <v>5290500</v>
      </c>
      <c r="H40" s="56">
        <v>4776000</v>
      </c>
      <c r="I40" s="56">
        <v>779300</v>
      </c>
      <c r="J40" s="56">
        <v>0</v>
      </c>
      <c r="K40" s="56">
        <v>0</v>
      </c>
      <c r="L40" s="56">
        <v>168192859</v>
      </c>
      <c r="M40" s="56">
        <v>50629120</v>
      </c>
      <c r="N40" s="56">
        <v>567</v>
      </c>
      <c r="O40" s="56">
        <v>180</v>
      </c>
      <c r="P40" s="56">
        <v>1258400</v>
      </c>
      <c r="Q40" s="56">
        <v>703550</v>
      </c>
      <c r="R40" s="56">
        <v>992900</v>
      </c>
      <c r="S40" s="56">
        <v>4412705</v>
      </c>
      <c r="T40" s="56">
        <v>2820965</v>
      </c>
      <c r="U40" s="56">
        <v>1210234</v>
      </c>
      <c r="V40" s="56">
        <v>1258400</v>
      </c>
      <c r="W40" s="56">
        <v>164705</v>
      </c>
      <c r="X40" s="56">
        <v>992900</v>
      </c>
      <c r="Y40" s="56">
        <v>4412705</v>
      </c>
      <c r="Z40" s="56">
        <v>1875303</v>
      </c>
      <c r="AA40" s="56">
        <v>1210234</v>
      </c>
      <c r="AB40" s="56">
        <v>-679665</v>
      </c>
      <c r="AC40" s="56">
        <v>0</v>
      </c>
      <c r="AD40" s="56">
        <v>23288</v>
      </c>
      <c r="AE40" s="56">
        <v>0</v>
      </c>
      <c r="AF40" s="56">
        <v>0</v>
      </c>
      <c r="AG40" s="56">
        <v>46893</v>
      </c>
      <c r="AH40" s="56">
        <v>0</v>
      </c>
      <c r="AI40" s="56">
        <v>1874647.5409836068</v>
      </c>
      <c r="AJ40" s="72">
        <v>0</v>
      </c>
      <c r="AK40" s="1">
        <v>48279758</v>
      </c>
      <c r="AL40" s="1">
        <v>2619845</v>
      </c>
      <c r="AM40" s="56">
        <v>580410</v>
      </c>
      <c r="AN40" s="56">
        <v>28088807</v>
      </c>
      <c r="AO40" s="56">
        <v>5332386</v>
      </c>
      <c r="AP40" s="56">
        <v>218636277</v>
      </c>
      <c r="AQ40" s="56">
        <v>61214645</v>
      </c>
      <c r="AR40" s="56">
        <v>74202705</v>
      </c>
      <c r="AS40" s="56">
        <v>30748955</v>
      </c>
      <c r="AT40" s="56">
        <v>241710</v>
      </c>
      <c r="AU40" s="56">
        <v>0</v>
      </c>
      <c r="AV40" s="56">
        <v>0</v>
      </c>
      <c r="AW40" s="56">
        <v>16622108</v>
      </c>
      <c r="AX40" s="56">
        <v>136962</v>
      </c>
      <c r="AY40" s="56">
        <v>0</v>
      </c>
      <c r="AZ40" s="1">
        <v>2365606.2200000002</v>
      </c>
      <c r="BA40" s="1">
        <v>1206459</v>
      </c>
      <c r="BB40" s="69">
        <v>18113989.640000001</v>
      </c>
      <c r="BC40" s="69">
        <v>698325</v>
      </c>
      <c r="BD40" s="69">
        <v>1369264</v>
      </c>
      <c r="BE40" s="69">
        <v>5781579</v>
      </c>
      <c r="BF40" s="69">
        <v>5781579</v>
      </c>
      <c r="BG40" s="69">
        <v>24215460.5</v>
      </c>
      <c r="BH40" s="69">
        <v>23098453</v>
      </c>
      <c r="BI40" s="69">
        <v>0</v>
      </c>
      <c r="BJ40" s="69">
        <v>0</v>
      </c>
      <c r="BK40" s="63"/>
      <c r="BL40" s="5">
        <v>568646827.54098368</v>
      </c>
      <c r="BM40" s="5">
        <v>486962408.54098362</v>
      </c>
      <c r="BN40" s="15">
        <v>435984</v>
      </c>
      <c r="BO40" s="3"/>
      <c r="BP40" s="5"/>
      <c r="BQ40" s="1"/>
      <c r="BR40" s="1"/>
      <c r="BS40" s="5"/>
      <c r="BT40" s="5"/>
    </row>
    <row r="41" spans="1:72" x14ac:dyDescent="0.25">
      <c r="A41" s="6" t="s">
        <v>95</v>
      </c>
      <c r="B41" s="56">
        <v>488587980</v>
      </c>
      <c r="C41" s="56">
        <v>128353138</v>
      </c>
      <c r="D41" s="56">
        <v>55687412</v>
      </c>
      <c r="E41" s="56">
        <v>0</v>
      </c>
      <c r="F41" s="56">
        <v>43025800</v>
      </c>
      <c r="G41" s="56">
        <v>10443000</v>
      </c>
      <c r="H41" s="56">
        <v>12835900</v>
      </c>
      <c r="I41" s="56">
        <v>2346500</v>
      </c>
      <c r="J41" s="56">
        <v>108000</v>
      </c>
      <c r="K41" s="56">
        <v>36000</v>
      </c>
      <c r="L41" s="56">
        <v>205716622</v>
      </c>
      <c r="M41" s="56">
        <v>92158950</v>
      </c>
      <c r="N41" s="56">
        <v>1586</v>
      </c>
      <c r="O41" s="56">
        <v>381</v>
      </c>
      <c r="P41" s="56">
        <v>2727500</v>
      </c>
      <c r="Q41" s="56">
        <v>1136000</v>
      </c>
      <c r="R41" s="56">
        <v>25000</v>
      </c>
      <c r="S41" s="56">
        <v>4922191</v>
      </c>
      <c r="T41" s="56">
        <v>788700</v>
      </c>
      <c r="U41" s="56">
        <v>359650</v>
      </c>
      <c r="V41" s="56">
        <v>2727500</v>
      </c>
      <c r="W41" s="56">
        <v>1131000</v>
      </c>
      <c r="X41" s="56">
        <v>25000</v>
      </c>
      <c r="Y41" s="56">
        <v>4922191</v>
      </c>
      <c r="Z41" s="56">
        <v>2102350</v>
      </c>
      <c r="AA41" s="56">
        <v>359650</v>
      </c>
      <c r="AB41" s="56">
        <v>-2402200</v>
      </c>
      <c r="AC41" s="56">
        <v>-33135</v>
      </c>
      <c r="AD41" s="56">
        <v>0</v>
      </c>
      <c r="AE41" s="56">
        <v>0</v>
      </c>
      <c r="AF41" s="56">
        <v>0</v>
      </c>
      <c r="AG41" s="56">
        <v>130032</v>
      </c>
      <c r="AH41" s="56">
        <v>0</v>
      </c>
      <c r="AI41" s="56">
        <v>68213.114754098366</v>
      </c>
      <c r="AJ41" s="72">
        <v>0</v>
      </c>
      <c r="AK41" s="1">
        <v>100428893</v>
      </c>
      <c r="AL41" s="1">
        <v>5935718</v>
      </c>
      <c r="AM41" s="56">
        <v>234916</v>
      </c>
      <c r="AN41" s="56">
        <v>6863246</v>
      </c>
      <c r="AO41" s="56">
        <v>679060</v>
      </c>
      <c r="AP41" s="56">
        <v>8616988</v>
      </c>
      <c r="AQ41" s="56">
        <v>6443959</v>
      </c>
      <c r="AR41" s="56">
        <v>3381993</v>
      </c>
      <c r="AS41" s="56">
        <v>0</v>
      </c>
      <c r="AT41" s="56">
        <v>1172188</v>
      </c>
      <c r="AU41" s="56">
        <v>0</v>
      </c>
      <c r="AV41" s="56">
        <v>0</v>
      </c>
      <c r="AW41" s="56">
        <v>2200</v>
      </c>
      <c r="AX41" s="56">
        <v>259448</v>
      </c>
      <c r="AY41" s="56">
        <v>0</v>
      </c>
      <c r="AZ41" s="1">
        <v>4920803.7300000004</v>
      </c>
      <c r="BA41" s="1">
        <v>2509610</v>
      </c>
      <c r="BB41" s="69">
        <v>0</v>
      </c>
      <c r="BC41" s="69">
        <v>0</v>
      </c>
      <c r="BD41" s="69">
        <v>0</v>
      </c>
      <c r="BE41" s="69">
        <v>22043920</v>
      </c>
      <c r="BF41" s="69">
        <v>22043920</v>
      </c>
      <c r="BG41" s="69">
        <v>32957187</v>
      </c>
      <c r="BH41" s="69">
        <v>32957187</v>
      </c>
      <c r="BI41" s="69">
        <v>0</v>
      </c>
      <c r="BJ41" s="69">
        <v>0</v>
      </c>
      <c r="BK41" s="63"/>
      <c r="BL41" s="5">
        <v>850558336.11475408</v>
      </c>
      <c r="BM41" s="5">
        <v>686683008.11475408</v>
      </c>
      <c r="BN41" s="15">
        <v>791750</v>
      </c>
      <c r="BO41" s="3"/>
      <c r="BP41" s="5"/>
      <c r="BQ41" s="1"/>
      <c r="BR41" s="1"/>
      <c r="BS41" s="5"/>
      <c r="BT41" s="5"/>
    </row>
    <row r="42" spans="1:72" x14ac:dyDescent="0.25">
      <c r="A42" s="6" t="s">
        <v>96</v>
      </c>
      <c r="B42" s="56">
        <v>591834860</v>
      </c>
      <c r="C42" s="4">
        <v>208833899</v>
      </c>
      <c r="D42" s="56">
        <v>194746774</v>
      </c>
      <c r="E42" s="56">
        <v>600000</v>
      </c>
      <c r="F42" s="56">
        <v>40923280</v>
      </c>
      <c r="G42" s="56">
        <v>7458400</v>
      </c>
      <c r="H42" s="56">
        <v>19614500</v>
      </c>
      <c r="I42" s="56">
        <v>1869000</v>
      </c>
      <c r="J42" s="56">
        <v>216000</v>
      </c>
      <c r="K42" s="56">
        <v>0</v>
      </c>
      <c r="L42" s="56">
        <v>293276073</v>
      </c>
      <c r="M42" s="56">
        <v>168990700</v>
      </c>
      <c r="N42" s="56">
        <v>1742</v>
      </c>
      <c r="O42" s="56">
        <v>288</v>
      </c>
      <c r="P42" s="56">
        <v>1711200</v>
      </c>
      <c r="Q42" s="56">
        <v>1522000</v>
      </c>
      <c r="R42" s="56">
        <v>450000</v>
      </c>
      <c r="S42" s="56">
        <v>6109325</v>
      </c>
      <c r="T42" s="56">
        <v>377900</v>
      </c>
      <c r="U42" s="56">
        <v>802050</v>
      </c>
      <c r="V42" s="56">
        <v>1711200</v>
      </c>
      <c r="W42" s="56">
        <v>1524900</v>
      </c>
      <c r="X42" s="56">
        <v>450000</v>
      </c>
      <c r="Y42" s="56">
        <v>6109325</v>
      </c>
      <c r="Z42" s="56">
        <v>1093300</v>
      </c>
      <c r="AA42" s="56">
        <v>802050</v>
      </c>
      <c r="AB42" s="56">
        <v>-1033800</v>
      </c>
      <c r="AC42" s="56">
        <v>-475364</v>
      </c>
      <c r="AD42" s="56">
        <v>69149</v>
      </c>
      <c r="AE42" s="56">
        <v>64</v>
      </c>
      <c r="AF42" s="56">
        <v>0</v>
      </c>
      <c r="AG42" s="56">
        <v>145286</v>
      </c>
      <c r="AH42" s="56">
        <v>0</v>
      </c>
      <c r="AI42" s="56">
        <v>0</v>
      </c>
      <c r="AJ42" s="72">
        <v>0</v>
      </c>
      <c r="AK42" s="1">
        <v>135188639</v>
      </c>
      <c r="AL42" s="1">
        <v>3670371</v>
      </c>
      <c r="AM42" s="56">
        <v>0</v>
      </c>
      <c r="AN42" s="56">
        <v>22931060</v>
      </c>
      <c r="AO42" s="56">
        <v>846002</v>
      </c>
      <c r="AP42" s="56">
        <v>31364821</v>
      </c>
      <c r="AQ42" s="56">
        <v>29395529</v>
      </c>
      <c r="AR42" s="56">
        <v>31718961</v>
      </c>
      <c r="AS42" s="56">
        <v>6861587</v>
      </c>
      <c r="AT42" s="56">
        <v>38172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1">
        <v>6623957.9000000004</v>
      </c>
      <c r="BA42" s="1">
        <v>3378219</v>
      </c>
      <c r="BB42" s="69">
        <v>0</v>
      </c>
      <c r="BC42" s="69">
        <v>2518219</v>
      </c>
      <c r="BD42" s="69">
        <v>4937685</v>
      </c>
      <c r="BE42" s="69">
        <v>34127091</v>
      </c>
      <c r="BF42" s="69">
        <v>34127091</v>
      </c>
      <c r="BG42" s="69">
        <v>64084598.5</v>
      </c>
      <c r="BH42" s="69">
        <v>58060525</v>
      </c>
      <c r="BI42" s="69">
        <v>0</v>
      </c>
      <c r="BJ42" s="69">
        <v>0</v>
      </c>
      <c r="BK42" s="63"/>
      <c r="BL42" s="5">
        <v>1285531188</v>
      </c>
      <c r="BM42" s="5">
        <v>1048588124</v>
      </c>
      <c r="BN42" s="15">
        <v>1610600</v>
      </c>
      <c r="BO42" s="3"/>
      <c r="BP42" s="5"/>
      <c r="BQ42" s="1"/>
      <c r="BR42" s="1"/>
      <c r="BS42" s="5"/>
      <c r="BT42" s="5"/>
    </row>
    <row r="43" spans="1:72" x14ac:dyDescent="0.25">
      <c r="A43" s="6" t="s">
        <v>97</v>
      </c>
      <c r="B43" s="56">
        <v>750037872</v>
      </c>
      <c r="C43" s="56">
        <v>372894996</v>
      </c>
      <c r="D43" s="56">
        <v>272277713</v>
      </c>
      <c r="E43" s="56">
        <v>0</v>
      </c>
      <c r="F43" s="56">
        <v>95242736</v>
      </c>
      <c r="G43" s="56">
        <v>22746250</v>
      </c>
      <c r="H43" s="56">
        <v>24701800</v>
      </c>
      <c r="I43" s="56">
        <v>3970650</v>
      </c>
      <c r="J43" s="56">
        <v>70000</v>
      </c>
      <c r="K43" s="56">
        <v>83000</v>
      </c>
      <c r="L43" s="56">
        <v>975803621</v>
      </c>
      <c r="M43" s="56">
        <v>199560883</v>
      </c>
      <c r="N43" s="56">
        <v>3494</v>
      </c>
      <c r="O43" s="56">
        <v>827</v>
      </c>
      <c r="P43" s="56">
        <v>4980102</v>
      </c>
      <c r="Q43" s="56">
        <v>2584900</v>
      </c>
      <c r="R43" s="56">
        <v>8154399</v>
      </c>
      <c r="S43" s="56">
        <v>7170456</v>
      </c>
      <c r="T43" s="56">
        <v>958050</v>
      </c>
      <c r="U43" s="56">
        <v>4082168</v>
      </c>
      <c r="V43" s="56">
        <v>4980102</v>
      </c>
      <c r="W43" s="56">
        <v>3624025</v>
      </c>
      <c r="X43" s="56">
        <v>8154399</v>
      </c>
      <c r="Y43" s="56">
        <v>7170456</v>
      </c>
      <c r="Z43" s="56">
        <v>1326150</v>
      </c>
      <c r="AA43" s="56">
        <v>4082168</v>
      </c>
      <c r="AB43" s="56">
        <v>-4775089</v>
      </c>
      <c r="AC43" s="56">
        <v>-304183</v>
      </c>
      <c r="AD43" s="56">
        <v>56025</v>
      </c>
      <c r="AE43" s="56">
        <v>0</v>
      </c>
      <c r="AF43" s="56">
        <v>1996162</v>
      </c>
      <c r="AG43" s="56">
        <v>313892</v>
      </c>
      <c r="AH43" s="56">
        <v>0</v>
      </c>
      <c r="AI43" s="56">
        <v>467500</v>
      </c>
      <c r="AJ43" s="72">
        <v>0</v>
      </c>
      <c r="AK43" s="1">
        <v>207529923</v>
      </c>
      <c r="AL43" s="1">
        <v>6465876</v>
      </c>
      <c r="AM43" s="56">
        <v>0</v>
      </c>
      <c r="AN43" s="56">
        <v>56626386</v>
      </c>
      <c r="AO43" s="56">
        <v>6233940</v>
      </c>
      <c r="AP43" s="56">
        <v>36861842</v>
      </c>
      <c r="AQ43" s="56">
        <v>87791655</v>
      </c>
      <c r="AR43" s="56">
        <v>73331251</v>
      </c>
      <c r="AS43" s="56">
        <v>882237</v>
      </c>
      <c r="AT43" s="56">
        <v>4140101</v>
      </c>
      <c r="AU43" s="56">
        <v>0</v>
      </c>
      <c r="AV43" s="56">
        <v>0</v>
      </c>
      <c r="AW43" s="56">
        <v>11568013</v>
      </c>
      <c r="AX43" s="56">
        <v>189872</v>
      </c>
      <c r="AY43" s="56">
        <v>0</v>
      </c>
      <c r="AZ43" s="1">
        <v>10168528.1</v>
      </c>
      <c r="BA43" s="1">
        <v>5185949</v>
      </c>
      <c r="BB43" s="69">
        <v>0</v>
      </c>
      <c r="BC43" s="69">
        <v>2278967</v>
      </c>
      <c r="BD43" s="69">
        <v>4468563</v>
      </c>
      <c r="BE43" s="69">
        <v>75284776</v>
      </c>
      <c r="BF43" s="69">
        <v>73167493</v>
      </c>
      <c r="BG43" s="69">
        <v>117431182.5</v>
      </c>
      <c r="BH43" s="69">
        <v>101422637</v>
      </c>
      <c r="BI43" s="69">
        <v>0</v>
      </c>
      <c r="BJ43" s="69">
        <v>8079628</v>
      </c>
      <c r="BK43" s="63"/>
      <c r="BL43" s="5">
        <v>1950460535</v>
      </c>
      <c r="BM43" s="5">
        <v>1546330062</v>
      </c>
      <c r="BN43" s="15">
        <v>4403844</v>
      </c>
      <c r="BO43" s="3"/>
      <c r="BP43" s="5"/>
      <c r="BQ43" s="1"/>
      <c r="BR43" s="1"/>
      <c r="BS43" s="5"/>
      <c r="BT43" s="5"/>
    </row>
    <row r="44" spans="1:72" x14ac:dyDescent="0.25">
      <c r="A44" s="6" t="s">
        <v>98</v>
      </c>
      <c r="B44" s="56">
        <v>667788449</v>
      </c>
      <c r="C44" s="56">
        <v>196319585</v>
      </c>
      <c r="D44" s="56">
        <v>163036360</v>
      </c>
      <c r="E44" s="56">
        <v>19750000</v>
      </c>
      <c r="F44" s="56">
        <v>57538015</v>
      </c>
      <c r="G44" s="56">
        <v>14545732</v>
      </c>
      <c r="H44" s="56">
        <v>21649800</v>
      </c>
      <c r="I44" s="56">
        <v>3077900</v>
      </c>
      <c r="J44" s="56">
        <v>335000</v>
      </c>
      <c r="K44" s="56">
        <v>0</v>
      </c>
      <c r="L44" s="56">
        <v>280169452</v>
      </c>
      <c r="M44" s="56">
        <v>121063524</v>
      </c>
      <c r="N44" s="56">
        <v>2348</v>
      </c>
      <c r="O44" s="56">
        <v>566</v>
      </c>
      <c r="P44" s="56">
        <v>12788324</v>
      </c>
      <c r="Q44" s="56">
        <v>2247500</v>
      </c>
      <c r="R44" s="56">
        <v>1496500</v>
      </c>
      <c r="S44" s="56">
        <v>8330229</v>
      </c>
      <c r="T44" s="56">
        <v>2428377</v>
      </c>
      <c r="U44" s="56">
        <v>7266854</v>
      </c>
      <c r="V44" s="56">
        <v>12788324</v>
      </c>
      <c r="W44" s="56">
        <v>2483162</v>
      </c>
      <c r="X44" s="56">
        <v>1496500</v>
      </c>
      <c r="Y44" s="56">
        <v>8330229</v>
      </c>
      <c r="Z44" s="56">
        <v>2186021</v>
      </c>
      <c r="AA44" s="56">
        <v>7266854</v>
      </c>
      <c r="AB44" s="56">
        <v>-4667500</v>
      </c>
      <c r="AC44" s="56">
        <v>-18457</v>
      </c>
      <c r="AD44" s="56">
        <v>125887</v>
      </c>
      <c r="AE44" s="56">
        <v>5504</v>
      </c>
      <c r="AF44" s="56">
        <v>4740696</v>
      </c>
      <c r="AG44" s="56">
        <v>271015</v>
      </c>
      <c r="AH44" s="56">
        <v>19532.7868852459</v>
      </c>
      <c r="AI44" s="56">
        <v>819790.16393442638</v>
      </c>
      <c r="AJ44" s="72">
        <v>0</v>
      </c>
      <c r="AK44" s="1">
        <v>139595401</v>
      </c>
      <c r="AL44" s="1">
        <v>15097085</v>
      </c>
      <c r="AM44" s="56">
        <v>218120</v>
      </c>
      <c r="AN44" s="56">
        <v>33427857</v>
      </c>
      <c r="AO44" s="56">
        <v>4676341</v>
      </c>
      <c r="AP44" s="56">
        <v>88593625</v>
      </c>
      <c r="AQ44" s="56">
        <v>47617327</v>
      </c>
      <c r="AR44" s="56">
        <v>53041738</v>
      </c>
      <c r="AS44" s="56">
        <v>11796534</v>
      </c>
      <c r="AT44" s="56">
        <v>54161</v>
      </c>
      <c r="AU44" s="56">
        <v>0</v>
      </c>
      <c r="AV44" s="56">
        <v>0</v>
      </c>
      <c r="AW44" s="56">
        <v>83147</v>
      </c>
      <c r="AX44" s="56">
        <v>725847</v>
      </c>
      <c r="AY44" s="56">
        <v>280705</v>
      </c>
      <c r="AZ44" s="1">
        <v>6839879.9400000004</v>
      </c>
      <c r="BA44" s="1">
        <v>3488339</v>
      </c>
      <c r="BB44" s="69">
        <v>0</v>
      </c>
      <c r="BC44" s="69">
        <v>2082829</v>
      </c>
      <c r="BD44" s="69">
        <v>4083979</v>
      </c>
      <c r="BE44" s="69">
        <v>11699213</v>
      </c>
      <c r="BF44" s="69">
        <v>7916643</v>
      </c>
      <c r="BG44" s="69">
        <v>50135478</v>
      </c>
      <c r="BH44" s="69">
        <v>48102486</v>
      </c>
      <c r="BI44" s="69">
        <v>0</v>
      </c>
      <c r="BJ44" s="69">
        <v>0</v>
      </c>
      <c r="BK44" s="63"/>
      <c r="BL44" s="5">
        <v>1329988024.9508197</v>
      </c>
      <c r="BM44" s="5">
        <v>1113705241.9508197</v>
      </c>
      <c r="BN44" s="15">
        <v>1434270</v>
      </c>
      <c r="BO44" s="3"/>
      <c r="BP44" s="5"/>
      <c r="BQ44" s="1"/>
      <c r="BR44" s="1"/>
      <c r="BS44" s="5"/>
      <c r="BT44" s="5"/>
    </row>
    <row r="45" spans="1:72" x14ac:dyDescent="0.25">
      <c r="A45" s="6" t="s">
        <v>99</v>
      </c>
      <c r="B45" s="56">
        <v>161527566</v>
      </c>
      <c r="C45" s="56">
        <v>117048254</v>
      </c>
      <c r="D45" s="56">
        <v>36708706</v>
      </c>
      <c r="E45" s="56">
        <v>0</v>
      </c>
      <c r="F45" s="56">
        <v>30771375</v>
      </c>
      <c r="G45" s="56">
        <v>6843550</v>
      </c>
      <c r="H45" s="56">
        <v>14655150</v>
      </c>
      <c r="I45" s="56">
        <v>1972250</v>
      </c>
      <c r="J45" s="56">
        <v>66000</v>
      </c>
      <c r="K45" s="56">
        <v>36000</v>
      </c>
      <c r="L45" s="56">
        <v>227392071</v>
      </c>
      <c r="M45" s="56">
        <v>67558301</v>
      </c>
      <c r="N45" s="56">
        <v>1345</v>
      </c>
      <c r="O45" s="56">
        <v>279</v>
      </c>
      <c r="P45" s="56">
        <v>921142</v>
      </c>
      <c r="Q45" s="56">
        <v>2111640</v>
      </c>
      <c r="R45" s="56">
        <v>376912</v>
      </c>
      <c r="S45" s="56">
        <v>2038411</v>
      </c>
      <c r="T45" s="56">
        <v>793650</v>
      </c>
      <c r="U45" s="56">
        <v>167250</v>
      </c>
      <c r="V45" s="56">
        <v>921142</v>
      </c>
      <c r="W45" s="56">
        <v>2194400</v>
      </c>
      <c r="X45" s="56">
        <v>376912</v>
      </c>
      <c r="Y45" s="56">
        <v>2038411</v>
      </c>
      <c r="Z45" s="56">
        <v>1528592</v>
      </c>
      <c r="AA45" s="56">
        <v>167250</v>
      </c>
      <c r="AB45" s="56">
        <v>-1215930</v>
      </c>
      <c r="AC45" s="56">
        <v>-63144</v>
      </c>
      <c r="AD45" s="56">
        <v>39301</v>
      </c>
      <c r="AE45" s="56">
        <v>0</v>
      </c>
      <c r="AF45" s="56">
        <v>0</v>
      </c>
      <c r="AG45" s="56">
        <v>302655</v>
      </c>
      <c r="AH45" s="56">
        <v>4107147.5409836071</v>
      </c>
      <c r="AI45" s="56">
        <v>164000.00000000003</v>
      </c>
      <c r="AJ45" s="72">
        <v>0</v>
      </c>
      <c r="AK45" s="1">
        <v>57333193</v>
      </c>
      <c r="AL45" s="1">
        <v>1193158</v>
      </c>
      <c r="AM45" s="56">
        <v>0</v>
      </c>
      <c r="AN45" s="56">
        <v>7670075</v>
      </c>
      <c r="AO45" s="56">
        <v>140592</v>
      </c>
      <c r="AP45" s="56">
        <v>3497205</v>
      </c>
      <c r="AQ45" s="56">
        <v>7009367</v>
      </c>
      <c r="AR45" s="56">
        <v>1621876</v>
      </c>
      <c r="AS45" s="56">
        <v>0</v>
      </c>
      <c r="AT45" s="56">
        <v>159817</v>
      </c>
      <c r="AU45" s="56">
        <v>0</v>
      </c>
      <c r="AV45" s="56">
        <v>0</v>
      </c>
      <c r="AW45" s="56">
        <v>0</v>
      </c>
      <c r="AX45" s="56">
        <v>3180</v>
      </c>
      <c r="AY45" s="56">
        <v>0</v>
      </c>
      <c r="AZ45" s="1">
        <v>2809205.42</v>
      </c>
      <c r="BA45" s="1">
        <v>1432695</v>
      </c>
      <c r="BB45" s="69">
        <v>0</v>
      </c>
      <c r="BC45" s="69">
        <v>0</v>
      </c>
      <c r="BD45" s="69">
        <v>0</v>
      </c>
      <c r="BE45" s="69">
        <v>15375731</v>
      </c>
      <c r="BF45" s="69">
        <v>15375731</v>
      </c>
      <c r="BG45" s="69">
        <v>28776154.5</v>
      </c>
      <c r="BH45" s="69">
        <v>28704216</v>
      </c>
      <c r="BI45" s="69">
        <v>0</v>
      </c>
      <c r="BJ45" s="69">
        <v>0</v>
      </c>
      <c r="BK45" s="63"/>
      <c r="BL45" s="5">
        <v>438414700.54098362</v>
      </c>
      <c r="BM45" s="5">
        <v>334375707.54098362</v>
      </c>
      <c r="BN45" s="15">
        <v>285762</v>
      </c>
      <c r="BO45" s="3"/>
      <c r="BP45" s="5"/>
      <c r="BQ45" s="1"/>
      <c r="BR45" s="1"/>
      <c r="BS45" s="5"/>
      <c r="BT45" s="5"/>
    </row>
    <row r="46" spans="1:72" x14ac:dyDescent="0.25">
      <c r="A46" s="6" t="s">
        <v>100</v>
      </c>
      <c r="B46" s="56">
        <v>889716834</v>
      </c>
      <c r="C46" s="56">
        <v>122251219</v>
      </c>
      <c r="D46" s="56">
        <v>277265495</v>
      </c>
      <c r="E46" s="56">
        <v>0</v>
      </c>
      <c r="F46" s="56">
        <v>118743187</v>
      </c>
      <c r="G46" s="56">
        <v>36093436</v>
      </c>
      <c r="H46" s="56">
        <v>16230776</v>
      </c>
      <c r="I46" s="56">
        <v>5779808</v>
      </c>
      <c r="J46" s="56">
        <v>179000</v>
      </c>
      <c r="K46" s="56">
        <v>36000</v>
      </c>
      <c r="L46" s="56">
        <v>109159085</v>
      </c>
      <c r="M46" s="56">
        <v>104124989</v>
      </c>
      <c r="N46" s="56">
        <v>4062</v>
      </c>
      <c r="O46" s="56">
        <v>1378</v>
      </c>
      <c r="P46" s="56">
        <v>4888430</v>
      </c>
      <c r="Q46" s="56">
        <v>994094</v>
      </c>
      <c r="R46" s="56">
        <v>984077</v>
      </c>
      <c r="S46" s="56">
        <v>1913155</v>
      </c>
      <c r="T46" s="56">
        <v>445960</v>
      </c>
      <c r="U46" s="56">
        <v>378287</v>
      </c>
      <c r="V46" s="56">
        <v>4888430</v>
      </c>
      <c r="W46" s="56">
        <v>1253191</v>
      </c>
      <c r="X46" s="56">
        <v>984077</v>
      </c>
      <c r="Y46" s="56">
        <v>1913155</v>
      </c>
      <c r="Z46" s="56">
        <v>797764</v>
      </c>
      <c r="AA46" s="56">
        <v>378287</v>
      </c>
      <c r="AB46" s="56">
        <v>-12240197</v>
      </c>
      <c r="AC46" s="56">
        <v>-30267</v>
      </c>
      <c r="AD46" s="56">
        <v>147045</v>
      </c>
      <c r="AE46" s="56">
        <v>0</v>
      </c>
      <c r="AF46" s="56">
        <v>0</v>
      </c>
      <c r="AG46" s="56">
        <v>187029</v>
      </c>
      <c r="AH46" s="56">
        <v>8557672.1311475411</v>
      </c>
      <c r="AI46" s="56">
        <v>508809.83606557379</v>
      </c>
      <c r="AJ46" s="72">
        <v>0</v>
      </c>
      <c r="AK46" s="1">
        <v>235022234</v>
      </c>
      <c r="AL46" s="1">
        <v>5874391</v>
      </c>
      <c r="AM46" s="56">
        <v>25000</v>
      </c>
      <c r="AN46" s="56">
        <v>47831639</v>
      </c>
      <c r="AO46" s="56">
        <v>1255815</v>
      </c>
      <c r="AP46" s="56">
        <v>102601019</v>
      </c>
      <c r="AQ46" s="56">
        <v>59658199</v>
      </c>
      <c r="AR46" s="56">
        <v>77735291</v>
      </c>
      <c r="AS46" s="56">
        <v>96215254</v>
      </c>
      <c r="AT46" s="56">
        <v>673016</v>
      </c>
      <c r="AU46" s="56">
        <v>0</v>
      </c>
      <c r="AV46" s="56">
        <v>0</v>
      </c>
      <c r="AW46" s="56">
        <v>0</v>
      </c>
      <c r="AX46" s="56">
        <v>26841</v>
      </c>
      <c r="AY46" s="56">
        <v>599000</v>
      </c>
      <c r="AZ46" s="1">
        <v>11515593.289999999</v>
      </c>
      <c r="BA46" s="1">
        <v>5872953</v>
      </c>
      <c r="BB46" s="69">
        <v>31896373.059999999</v>
      </c>
      <c r="BC46" s="69">
        <v>28552370</v>
      </c>
      <c r="BD46" s="69">
        <v>55985040</v>
      </c>
      <c r="BE46" s="69">
        <v>63975359</v>
      </c>
      <c r="BF46" s="69">
        <v>63975359</v>
      </c>
      <c r="BG46" s="69">
        <v>92961837</v>
      </c>
      <c r="BH46" s="69">
        <v>79942679</v>
      </c>
      <c r="BI46" s="69">
        <v>0</v>
      </c>
      <c r="BJ46" s="69">
        <v>0</v>
      </c>
      <c r="BK46" s="63"/>
      <c r="BL46" s="5">
        <v>1826285668.9672132</v>
      </c>
      <c r="BM46" s="5">
        <v>1407045682.9672132</v>
      </c>
      <c r="BN46" s="15"/>
      <c r="BO46" s="3"/>
      <c r="BP46" s="5"/>
      <c r="BQ46" s="1"/>
      <c r="BR46" s="1"/>
      <c r="BS46" s="5"/>
      <c r="BT46" s="5"/>
    </row>
    <row r="47" spans="1:72" x14ac:dyDescent="0.25">
      <c r="A47" s="6" t="s">
        <v>101</v>
      </c>
      <c r="B47" s="56">
        <v>155197630</v>
      </c>
      <c r="C47" s="56">
        <v>80061150</v>
      </c>
      <c r="D47" s="56">
        <v>114197118</v>
      </c>
      <c r="E47" s="56">
        <v>340000000</v>
      </c>
      <c r="F47" s="56">
        <v>19899900</v>
      </c>
      <c r="G47" s="56">
        <v>3746800</v>
      </c>
      <c r="H47" s="56">
        <v>9546300</v>
      </c>
      <c r="I47" s="56">
        <v>1106600</v>
      </c>
      <c r="J47" s="56">
        <v>0</v>
      </c>
      <c r="K47" s="56">
        <v>0</v>
      </c>
      <c r="L47" s="56">
        <v>172290550</v>
      </c>
      <c r="M47" s="56">
        <v>60706650</v>
      </c>
      <c r="N47" s="56">
        <v>865</v>
      </c>
      <c r="O47" s="56">
        <v>158</v>
      </c>
      <c r="P47" s="56">
        <v>3980200</v>
      </c>
      <c r="Q47" s="56">
        <v>1419800</v>
      </c>
      <c r="R47" s="56">
        <v>525400</v>
      </c>
      <c r="S47" s="56">
        <v>1246690</v>
      </c>
      <c r="T47" s="56">
        <v>1272100</v>
      </c>
      <c r="U47" s="56">
        <v>170200</v>
      </c>
      <c r="V47" s="56">
        <v>3980200</v>
      </c>
      <c r="W47" s="56">
        <v>1641000</v>
      </c>
      <c r="X47" s="56">
        <v>525400</v>
      </c>
      <c r="Y47" s="56">
        <v>1246690</v>
      </c>
      <c r="Z47" s="56">
        <v>1811100</v>
      </c>
      <c r="AA47" s="56">
        <v>170200</v>
      </c>
      <c r="AB47" s="56">
        <v>-358900</v>
      </c>
      <c r="AC47" s="56">
        <v>0</v>
      </c>
      <c r="AD47" s="56">
        <v>90122</v>
      </c>
      <c r="AE47" s="56">
        <v>0</v>
      </c>
      <c r="AF47" s="56">
        <v>0</v>
      </c>
      <c r="AG47" s="56">
        <v>107888</v>
      </c>
      <c r="AH47" s="56">
        <v>1172385.2459016393</v>
      </c>
      <c r="AI47" s="56">
        <v>242696.72131147544</v>
      </c>
      <c r="AJ47" s="72">
        <v>0</v>
      </c>
      <c r="AK47" s="1">
        <v>57686806</v>
      </c>
      <c r="AL47" s="1">
        <v>1699486</v>
      </c>
      <c r="AM47" s="56">
        <v>0</v>
      </c>
      <c r="AN47" s="56">
        <v>27872241</v>
      </c>
      <c r="AO47" s="56">
        <v>44425642</v>
      </c>
      <c r="AP47" s="56">
        <v>483654380</v>
      </c>
      <c r="AQ47" s="56">
        <v>18779760</v>
      </c>
      <c r="AR47" s="56">
        <v>128441110</v>
      </c>
      <c r="AS47" s="56">
        <v>35671706</v>
      </c>
      <c r="AT47" s="56">
        <v>1668887</v>
      </c>
      <c r="AU47" s="56">
        <v>0</v>
      </c>
      <c r="AV47" s="56">
        <v>0</v>
      </c>
      <c r="AW47" s="56">
        <v>0</v>
      </c>
      <c r="AX47" s="56">
        <v>2520</v>
      </c>
      <c r="AY47" s="56">
        <v>467400</v>
      </c>
      <c r="AZ47" s="1">
        <v>2826531.71</v>
      </c>
      <c r="BA47" s="1">
        <v>1441531</v>
      </c>
      <c r="BB47" s="69">
        <v>29435233.16</v>
      </c>
      <c r="BC47" s="69">
        <v>1548459</v>
      </c>
      <c r="BD47" s="69">
        <v>3036194</v>
      </c>
      <c r="BE47" s="69">
        <v>17246221</v>
      </c>
      <c r="BF47" s="69">
        <v>17246221</v>
      </c>
      <c r="BG47" s="69">
        <v>33912362</v>
      </c>
      <c r="BH47" s="69">
        <v>32157083</v>
      </c>
      <c r="BI47" s="69">
        <v>0</v>
      </c>
      <c r="BJ47" s="69">
        <v>0</v>
      </c>
      <c r="BK47" s="63"/>
      <c r="BL47" s="5">
        <v>553728208.96721315</v>
      </c>
      <c r="BM47" s="5">
        <v>441948622.96721309</v>
      </c>
      <c r="BN47" s="15">
        <v>468310</v>
      </c>
      <c r="BO47" s="3"/>
      <c r="BP47" s="5"/>
      <c r="BQ47" s="1"/>
      <c r="BR47" s="1"/>
      <c r="BS47" s="5"/>
      <c r="BT47" s="5"/>
    </row>
    <row r="48" spans="1:72" x14ac:dyDescent="0.25">
      <c r="A48" s="6" t="s">
        <v>102</v>
      </c>
      <c r="B48" s="56">
        <v>3801668350</v>
      </c>
      <c r="C48" s="56">
        <v>366875010</v>
      </c>
      <c r="D48" s="56">
        <v>1422941548</v>
      </c>
      <c r="E48" s="56">
        <v>15190000</v>
      </c>
      <c r="F48" s="56">
        <v>223951300</v>
      </c>
      <c r="G48" s="56">
        <v>25134300</v>
      </c>
      <c r="H48" s="56">
        <v>27395200</v>
      </c>
      <c r="I48" s="56">
        <v>2094900</v>
      </c>
      <c r="J48" s="56">
        <v>432000</v>
      </c>
      <c r="K48" s="56">
        <v>36000</v>
      </c>
      <c r="L48" s="56">
        <v>637294020</v>
      </c>
      <c r="M48" s="56">
        <v>1033659130</v>
      </c>
      <c r="N48" s="56">
        <v>7151</v>
      </c>
      <c r="O48" s="56">
        <v>820</v>
      </c>
      <c r="P48" s="56">
        <v>50050800</v>
      </c>
      <c r="Q48" s="56">
        <v>6355200</v>
      </c>
      <c r="R48" s="56">
        <v>20098200</v>
      </c>
      <c r="S48" s="56">
        <v>17105200</v>
      </c>
      <c r="T48" s="56">
        <v>2637100</v>
      </c>
      <c r="U48" s="56">
        <v>14543600</v>
      </c>
      <c r="V48" s="56">
        <v>50050800</v>
      </c>
      <c r="W48" s="56">
        <v>6355200</v>
      </c>
      <c r="X48" s="56">
        <v>20098200</v>
      </c>
      <c r="Y48" s="56">
        <v>17105200</v>
      </c>
      <c r="Z48" s="56">
        <v>2637100</v>
      </c>
      <c r="AA48" s="56">
        <v>14543600</v>
      </c>
      <c r="AB48" s="56">
        <v>-13139900</v>
      </c>
      <c r="AC48" s="56">
        <v>-660160</v>
      </c>
      <c r="AD48" s="56">
        <v>90191</v>
      </c>
      <c r="AE48" s="56">
        <v>0</v>
      </c>
      <c r="AF48" s="56">
        <v>0</v>
      </c>
      <c r="AG48" s="56">
        <v>264079</v>
      </c>
      <c r="AH48" s="56">
        <v>0</v>
      </c>
      <c r="AI48" s="56">
        <v>1218634.4262295081</v>
      </c>
      <c r="AJ48" s="72">
        <v>0</v>
      </c>
      <c r="AK48" s="1">
        <v>636541108</v>
      </c>
      <c r="AL48" s="1">
        <v>15228372</v>
      </c>
      <c r="AM48" s="56">
        <v>55000</v>
      </c>
      <c r="AN48" s="56">
        <v>169924685</v>
      </c>
      <c r="AO48" s="56">
        <v>18653598</v>
      </c>
      <c r="AP48" s="56">
        <v>515013501</v>
      </c>
      <c r="AQ48" s="56">
        <v>179852566</v>
      </c>
      <c r="AR48" s="56">
        <v>196165290</v>
      </c>
      <c r="AS48" s="56">
        <v>60592339</v>
      </c>
      <c r="AT48" s="56">
        <v>0</v>
      </c>
      <c r="AU48" s="56">
        <v>0</v>
      </c>
      <c r="AV48" s="56">
        <v>30856</v>
      </c>
      <c r="AW48" s="56">
        <v>276605</v>
      </c>
      <c r="AX48" s="56">
        <v>2253373</v>
      </c>
      <c r="AY48" s="56">
        <v>1167521</v>
      </c>
      <c r="AZ48" s="1">
        <v>31189170.440000001</v>
      </c>
      <c r="BA48" s="1">
        <v>15906477</v>
      </c>
      <c r="BB48" s="69">
        <v>2756476.68</v>
      </c>
      <c r="BC48" s="69">
        <v>5158494</v>
      </c>
      <c r="BD48" s="69">
        <v>10114694</v>
      </c>
      <c r="BE48" s="69">
        <v>58635600</v>
      </c>
      <c r="BF48" s="69">
        <v>48548533</v>
      </c>
      <c r="BG48" s="69">
        <v>205132860</v>
      </c>
      <c r="BH48" s="69">
        <v>195381821</v>
      </c>
      <c r="BI48" s="69">
        <v>0</v>
      </c>
      <c r="BJ48" s="69">
        <v>0</v>
      </c>
      <c r="BK48" s="63"/>
      <c r="BL48" s="5">
        <v>6877899196.4262295</v>
      </c>
      <c r="BM48" s="5">
        <v>5961134391.4262295</v>
      </c>
      <c r="BN48" s="15">
        <v>788921</v>
      </c>
      <c r="BO48" s="3"/>
      <c r="BP48" s="5"/>
      <c r="BQ48" s="1"/>
      <c r="BR48" s="1"/>
      <c r="BS48" s="5"/>
      <c r="BT48" s="5"/>
    </row>
    <row r="49" spans="1:72" x14ac:dyDescent="0.25">
      <c r="A49" s="6" t="s">
        <v>103</v>
      </c>
      <c r="B49" s="56">
        <v>393400491</v>
      </c>
      <c r="C49" s="56">
        <v>41381926</v>
      </c>
      <c r="D49" s="56">
        <v>145439334</v>
      </c>
      <c r="E49" s="56">
        <v>0</v>
      </c>
      <c r="F49" s="56">
        <v>56855004</v>
      </c>
      <c r="G49" s="56">
        <v>69143116</v>
      </c>
      <c r="H49" s="56">
        <v>2436255</v>
      </c>
      <c r="I49" s="56">
        <v>1324160</v>
      </c>
      <c r="J49" s="56">
        <v>236200</v>
      </c>
      <c r="K49" s="56">
        <v>128450</v>
      </c>
      <c r="L49" s="56">
        <v>94125195</v>
      </c>
      <c r="M49" s="56">
        <v>16889708</v>
      </c>
      <c r="N49" s="56">
        <v>1964</v>
      </c>
      <c r="O49" s="56">
        <v>2469</v>
      </c>
      <c r="P49" s="56">
        <v>6520855</v>
      </c>
      <c r="Q49" s="56">
        <v>1320700</v>
      </c>
      <c r="R49" s="56">
        <v>4227634</v>
      </c>
      <c r="S49" s="56">
        <v>4636119</v>
      </c>
      <c r="T49" s="56">
        <v>693601</v>
      </c>
      <c r="U49" s="56">
        <v>6327441</v>
      </c>
      <c r="V49" s="56">
        <v>6520855</v>
      </c>
      <c r="W49" s="56">
        <v>2150075</v>
      </c>
      <c r="X49" s="56">
        <v>6327441</v>
      </c>
      <c r="Y49" s="56">
        <v>4636119</v>
      </c>
      <c r="Z49" s="56">
        <v>326676</v>
      </c>
      <c r="AA49" s="56">
        <v>6327441</v>
      </c>
      <c r="AB49" s="56">
        <v>-3709200</v>
      </c>
      <c r="AC49" s="56">
        <v>-1630396</v>
      </c>
      <c r="AD49" s="56">
        <v>238250</v>
      </c>
      <c r="AE49" s="56">
        <v>0</v>
      </c>
      <c r="AF49" s="56">
        <v>0</v>
      </c>
      <c r="AG49" s="56">
        <v>211029</v>
      </c>
      <c r="AH49" s="56">
        <v>9285516.3934426233</v>
      </c>
      <c r="AI49" s="56">
        <v>27026657.377049182</v>
      </c>
      <c r="AJ49" s="72">
        <v>323266882</v>
      </c>
      <c r="AK49" s="1">
        <v>157122154</v>
      </c>
      <c r="AL49" s="1">
        <v>1904202</v>
      </c>
      <c r="AM49" s="56">
        <v>0</v>
      </c>
      <c r="AN49" s="56">
        <v>148658828</v>
      </c>
      <c r="AO49" s="56">
        <v>4101271</v>
      </c>
      <c r="AP49" s="56">
        <v>129497895</v>
      </c>
      <c r="AQ49" s="56">
        <v>50159391</v>
      </c>
      <c r="AR49" s="56">
        <v>14260271</v>
      </c>
      <c r="AS49" s="56">
        <v>3875780</v>
      </c>
      <c r="AT49" s="56">
        <v>16093</v>
      </c>
      <c r="AU49" s="56">
        <v>0</v>
      </c>
      <c r="AV49" s="56">
        <v>0</v>
      </c>
      <c r="AW49" s="56">
        <v>0</v>
      </c>
      <c r="AX49" s="56">
        <v>29248</v>
      </c>
      <c r="AY49" s="56">
        <v>176000</v>
      </c>
      <c r="AZ49" s="1">
        <v>7698653.8300000001</v>
      </c>
      <c r="BA49" s="1">
        <v>3926313</v>
      </c>
      <c r="BB49" s="69">
        <v>0</v>
      </c>
      <c r="BC49" s="69">
        <v>7941470</v>
      </c>
      <c r="BD49" s="69">
        <v>15571509</v>
      </c>
      <c r="BE49" s="69">
        <v>22118789</v>
      </c>
      <c r="BF49" s="69">
        <v>22118789</v>
      </c>
      <c r="BG49" s="69">
        <v>59305299</v>
      </c>
      <c r="BH49" s="69">
        <v>54151461</v>
      </c>
      <c r="BI49" s="69">
        <v>0</v>
      </c>
      <c r="BJ49" s="69">
        <v>0</v>
      </c>
      <c r="BK49" s="63"/>
      <c r="BL49" s="5">
        <v>1389884685.7704918</v>
      </c>
      <c r="BM49" s="5">
        <v>1142720296.7704918</v>
      </c>
      <c r="BN49" s="15"/>
      <c r="BO49" s="3"/>
      <c r="BP49" s="5"/>
      <c r="BQ49" s="1"/>
      <c r="BR49" s="1"/>
      <c r="BS49" s="5"/>
      <c r="BT49" s="5"/>
    </row>
    <row r="50" spans="1:72" x14ac:dyDescent="0.25">
      <c r="A50" s="6" t="s">
        <v>104</v>
      </c>
      <c r="B50" s="56">
        <v>457046930</v>
      </c>
      <c r="C50" s="56">
        <v>220951584</v>
      </c>
      <c r="D50" s="56">
        <v>108684711</v>
      </c>
      <c r="E50" s="56">
        <v>0</v>
      </c>
      <c r="F50" s="56">
        <v>37996966</v>
      </c>
      <c r="G50" s="56">
        <v>5029110</v>
      </c>
      <c r="H50" s="56">
        <v>15054387</v>
      </c>
      <c r="I50" s="56">
        <v>1682422</v>
      </c>
      <c r="J50" s="56">
        <v>72000</v>
      </c>
      <c r="K50" s="56">
        <v>18000</v>
      </c>
      <c r="L50" s="56">
        <v>305954413</v>
      </c>
      <c r="M50" s="56">
        <v>155053295</v>
      </c>
      <c r="N50" s="56">
        <v>1495</v>
      </c>
      <c r="O50" s="56">
        <v>192</v>
      </c>
      <c r="P50" s="56">
        <v>1332100</v>
      </c>
      <c r="Q50" s="56">
        <v>2554311</v>
      </c>
      <c r="R50" s="56">
        <v>1631025</v>
      </c>
      <c r="S50" s="56">
        <v>206380</v>
      </c>
      <c r="T50" s="56">
        <v>198036</v>
      </c>
      <c r="U50" s="56">
        <v>157000</v>
      </c>
      <c r="V50" s="56">
        <v>1332100</v>
      </c>
      <c r="W50" s="56">
        <v>2554311</v>
      </c>
      <c r="X50" s="56">
        <v>1631025</v>
      </c>
      <c r="Y50" s="56">
        <v>206380</v>
      </c>
      <c r="Z50" s="56">
        <v>198036</v>
      </c>
      <c r="AA50" s="56">
        <v>157000</v>
      </c>
      <c r="AB50" s="56">
        <v>-2547808</v>
      </c>
      <c r="AC50" s="56">
        <v>0</v>
      </c>
      <c r="AD50" s="56">
        <v>0</v>
      </c>
      <c r="AE50" s="56">
        <v>0</v>
      </c>
      <c r="AF50" s="56">
        <v>0</v>
      </c>
      <c r="AG50" s="56">
        <v>194846</v>
      </c>
      <c r="AH50" s="56">
        <v>0</v>
      </c>
      <c r="AI50" s="56">
        <v>0</v>
      </c>
      <c r="AJ50" s="72">
        <v>0</v>
      </c>
      <c r="AK50" s="1">
        <v>117938513</v>
      </c>
      <c r="AL50" s="1">
        <v>2441337</v>
      </c>
      <c r="AM50" s="56">
        <v>0</v>
      </c>
      <c r="AN50" s="56">
        <v>20854059</v>
      </c>
      <c r="AO50" s="56">
        <v>3750044</v>
      </c>
      <c r="AP50" s="56">
        <v>80131904</v>
      </c>
      <c r="AQ50" s="56">
        <v>19855755</v>
      </c>
      <c r="AR50" s="56">
        <v>19974609</v>
      </c>
      <c r="AS50" s="56">
        <v>538839</v>
      </c>
      <c r="AT50" s="56">
        <v>1746502</v>
      </c>
      <c r="AU50" s="56">
        <v>0</v>
      </c>
      <c r="AV50" s="56">
        <v>13548</v>
      </c>
      <c r="AW50" s="56">
        <v>2694672</v>
      </c>
      <c r="AX50" s="56">
        <v>0</v>
      </c>
      <c r="AY50" s="56">
        <v>600180</v>
      </c>
      <c r="AZ50" s="1">
        <v>5778738.1500000004</v>
      </c>
      <c r="BA50" s="1">
        <v>2947156</v>
      </c>
      <c r="BB50" s="69">
        <v>0</v>
      </c>
      <c r="BC50" s="69">
        <v>2060969</v>
      </c>
      <c r="BD50" s="69">
        <v>4041115</v>
      </c>
      <c r="BE50" s="69">
        <v>17185679</v>
      </c>
      <c r="BF50" s="69">
        <v>17185679</v>
      </c>
      <c r="BG50" s="69">
        <v>47311431.5</v>
      </c>
      <c r="BH50" s="69">
        <v>43206172</v>
      </c>
      <c r="BI50" s="69">
        <v>0</v>
      </c>
      <c r="BJ50" s="69">
        <v>0</v>
      </c>
      <c r="BK50" s="63"/>
      <c r="BL50" s="5">
        <v>1016922909</v>
      </c>
      <c r="BM50" s="5">
        <v>831143083</v>
      </c>
      <c r="BN50" s="15">
        <v>1111603</v>
      </c>
      <c r="BO50" s="3"/>
      <c r="BP50" s="5"/>
      <c r="BQ50" s="1"/>
      <c r="BR50" s="1"/>
      <c r="BS50" s="5"/>
      <c r="BT50" s="5"/>
    </row>
    <row r="51" spans="1:72" x14ac:dyDescent="0.25">
      <c r="A51" s="6" t="s">
        <v>105</v>
      </c>
      <c r="B51" s="56">
        <v>281631075</v>
      </c>
      <c r="C51" s="56">
        <v>214419950</v>
      </c>
      <c r="D51" s="56">
        <v>138686208</v>
      </c>
      <c r="E51" s="56">
        <v>13211327</v>
      </c>
      <c r="F51" s="56">
        <v>38900800</v>
      </c>
      <c r="G51" s="56">
        <v>10875750</v>
      </c>
      <c r="H51" s="56">
        <v>18784200</v>
      </c>
      <c r="I51" s="56">
        <v>3115900</v>
      </c>
      <c r="J51" s="56">
        <v>144000</v>
      </c>
      <c r="K51" s="56">
        <v>0</v>
      </c>
      <c r="L51" s="56">
        <v>280079880</v>
      </c>
      <c r="M51" s="56">
        <v>129811520</v>
      </c>
      <c r="N51" s="56">
        <v>1715</v>
      </c>
      <c r="O51" s="56">
        <v>468</v>
      </c>
      <c r="P51" s="56">
        <v>1833000</v>
      </c>
      <c r="Q51" s="56">
        <v>1297300</v>
      </c>
      <c r="R51" s="56">
        <v>1502700</v>
      </c>
      <c r="S51" s="56">
        <v>2313401</v>
      </c>
      <c r="T51" s="56">
        <v>439300</v>
      </c>
      <c r="U51" s="56">
        <v>2487776</v>
      </c>
      <c r="V51" s="56">
        <v>1833000</v>
      </c>
      <c r="W51" s="56">
        <v>2812200</v>
      </c>
      <c r="X51" s="56">
        <v>1502700</v>
      </c>
      <c r="Y51" s="56">
        <v>2313401</v>
      </c>
      <c r="Z51" s="56">
        <v>558800</v>
      </c>
      <c r="AA51" s="56">
        <v>2487776</v>
      </c>
      <c r="AB51" s="56">
        <v>-2442000</v>
      </c>
      <c r="AC51" s="56">
        <v>-2466</v>
      </c>
      <c r="AD51" s="56">
        <v>103584</v>
      </c>
      <c r="AE51" s="56">
        <v>0</v>
      </c>
      <c r="AF51" s="56">
        <v>0</v>
      </c>
      <c r="AG51" s="56">
        <v>234231</v>
      </c>
      <c r="AH51" s="56">
        <v>2485459.0163934431</v>
      </c>
      <c r="AI51" s="56">
        <v>206877.04918032786</v>
      </c>
      <c r="AJ51" s="72">
        <v>0</v>
      </c>
      <c r="AK51" s="1">
        <v>80467657</v>
      </c>
      <c r="AL51" s="1">
        <v>3250734</v>
      </c>
      <c r="AM51" s="56">
        <v>0</v>
      </c>
      <c r="AN51" s="56">
        <v>12699137</v>
      </c>
      <c r="AO51" s="56">
        <v>1105116</v>
      </c>
      <c r="AP51" s="56">
        <v>177131205</v>
      </c>
      <c r="AQ51" s="56">
        <v>56806088</v>
      </c>
      <c r="AR51" s="56">
        <v>58104027</v>
      </c>
      <c r="AS51" s="56">
        <v>83990</v>
      </c>
      <c r="AT51" s="56">
        <v>1072541</v>
      </c>
      <c r="AU51" s="56">
        <v>0</v>
      </c>
      <c r="AV51" s="56">
        <v>32770</v>
      </c>
      <c r="AW51" s="56">
        <v>4962155</v>
      </c>
      <c r="AX51" s="56">
        <v>183765</v>
      </c>
      <c r="AY51" s="56">
        <v>0</v>
      </c>
      <c r="AZ51" s="1">
        <v>3942745.31</v>
      </c>
      <c r="BA51" s="1">
        <v>2010800</v>
      </c>
      <c r="BB51" s="69">
        <v>0</v>
      </c>
      <c r="BC51" s="69">
        <v>1353535</v>
      </c>
      <c r="BD51" s="69">
        <v>2653991</v>
      </c>
      <c r="BE51" s="69">
        <v>15589115</v>
      </c>
      <c r="BF51" s="69">
        <v>15589115</v>
      </c>
      <c r="BG51" s="69">
        <v>59720251.5</v>
      </c>
      <c r="BH51" s="69">
        <v>56766930</v>
      </c>
      <c r="BI51" s="69">
        <v>0</v>
      </c>
      <c r="BJ51" s="69">
        <v>0</v>
      </c>
      <c r="BK51" s="63"/>
      <c r="BL51" s="5">
        <v>867478681.06557369</v>
      </c>
      <c r="BM51" s="5">
        <v>708039910.06557369</v>
      </c>
      <c r="BN51" s="15">
        <v>749915</v>
      </c>
      <c r="BO51" s="3"/>
      <c r="BP51" s="5"/>
      <c r="BQ51" s="1"/>
      <c r="BR51" s="1"/>
      <c r="BS51" s="5"/>
      <c r="BT51" s="5"/>
    </row>
    <row r="52" spans="1:72" x14ac:dyDescent="0.25">
      <c r="A52" s="6" t="s">
        <v>106</v>
      </c>
      <c r="B52" s="56">
        <v>1275078766</v>
      </c>
      <c r="C52" s="56">
        <v>255155651</v>
      </c>
      <c r="D52" s="56">
        <v>519944886</v>
      </c>
      <c r="E52" s="56">
        <v>146488535</v>
      </c>
      <c r="F52" s="56">
        <v>122480999</v>
      </c>
      <c r="G52" s="56">
        <v>15045365</v>
      </c>
      <c r="H52" s="56">
        <v>10010261</v>
      </c>
      <c r="I52" s="56">
        <v>626400</v>
      </c>
      <c r="J52" s="56">
        <v>180000</v>
      </c>
      <c r="K52" s="56">
        <v>0</v>
      </c>
      <c r="L52" s="56">
        <v>863391666</v>
      </c>
      <c r="M52" s="56">
        <v>96630100</v>
      </c>
      <c r="N52" s="56">
        <v>3833</v>
      </c>
      <c r="O52" s="56">
        <v>495</v>
      </c>
      <c r="P52" s="56">
        <v>10749500</v>
      </c>
      <c r="Q52" s="56">
        <v>2554700</v>
      </c>
      <c r="R52" s="56">
        <v>8213500</v>
      </c>
      <c r="S52" s="56">
        <v>9667766</v>
      </c>
      <c r="T52" s="56">
        <v>3885560</v>
      </c>
      <c r="U52" s="56">
        <v>4135135</v>
      </c>
      <c r="V52" s="56">
        <v>10749500</v>
      </c>
      <c r="W52" s="56">
        <v>7138600</v>
      </c>
      <c r="X52" s="56">
        <v>8213500</v>
      </c>
      <c r="Y52" s="56">
        <v>9649766</v>
      </c>
      <c r="Z52" s="56">
        <v>7251131</v>
      </c>
      <c r="AA52" s="56">
        <v>4135135</v>
      </c>
      <c r="AB52" s="56">
        <v>-3319150</v>
      </c>
      <c r="AC52" s="56">
        <v>-15006669</v>
      </c>
      <c r="AD52" s="56">
        <v>37895</v>
      </c>
      <c r="AE52" s="56">
        <v>5169</v>
      </c>
      <c r="AF52" s="56">
        <v>20014912</v>
      </c>
      <c r="AG52" s="56">
        <v>243889</v>
      </c>
      <c r="AH52" s="56">
        <v>40141229.508196726</v>
      </c>
      <c r="AI52" s="56">
        <v>0</v>
      </c>
      <c r="AJ52" s="71">
        <v>46908983.606557377</v>
      </c>
      <c r="AK52" s="1">
        <v>304004354</v>
      </c>
      <c r="AL52" s="1">
        <v>14307168</v>
      </c>
      <c r="AM52" s="56">
        <v>45083</v>
      </c>
      <c r="AN52" s="56">
        <v>103928644</v>
      </c>
      <c r="AO52" s="56">
        <v>16806384</v>
      </c>
      <c r="AP52" s="56">
        <v>217584499</v>
      </c>
      <c r="AQ52" s="56">
        <v>105347056</v>
      </c>
      <c r="AR52" s="56">
        <v>177950048</v>
      </c>
      <c r="AS52" s="56">
        <v>99843054</v>
      </c>
      <c r="AT52" s="56">
        <v>4529012</v>
      </c>
      <c r="AU52" s="56">
        <v>0</v>
      </c>
      <c r="AV52" s="56">
        <v>1929242</v>
      </c>
      <c r="AW52" s="56">
        <v>43935884</v>
      </c>
      <c r="AX52" s="56">
        <v>2545151</v>
      </c>
      <c r="AY52" s="56">
        <v>1327976</v>
      </c>
      <c r="AZ52" s="1">
        <v>14895571.539999999</v>
      </c>
      <c r="BA52" s="1">
        <v>7596741</v>
      </c>
      <c r="BB52" s="69">
        <v>74129533.680000007</v>
      </c>
      <c r="BC52" s="69">
        <v>2612949</v>
      </c>
      <c r="BD52" s="69">
        <v>5123429</v>
      </c>
      <c r="BE52" s="69">
        <v>29997787</v>
      </c>
      <c r="BF52" s="69">
        <v>29997787</v>
      </c>
      <c r="BG52" s="69">
        <v>118804604</v>
      </c>
      <c r="BH52" s="69">
        <v>115305417</v>
      </c>
      <c r="BI52" s="69">
        <v>0</v>
      </c>
      <c r="BJ52" s="69">
        <v>0</v>
      </c>
      <c r="BK52" s="63"/>
      <c r="BL52" s="5">
        <v>2837136016.1147542</v>
      </c>
      <c r="BM52" s="5">
        <v>2363311600.1147542</v>
      </c>
      <c r="BN52" s="15">
        <v>4351550</v>
      </c>
      <c r="BO52" s="3"/>
      <c r="BP52" s="5"/>
      <c r="BQ52" s="1"/>
      <c r="BR52" s="1"/>
      <c r="BS52" s="5"/>
      <c r="BT52" s="5"/>
    </row>
    <row r="53" spans="1:72" x14ac:dyDescent="0.25">
      <c r="A53" s="6" t="s">
        <v>107</v>
      </c>
      <c r="B53" s="56">
        <v>412602300</v>
      </c>
      <c r="C53" s="56">
        <v>200736600</v>
      </c>
      <c r="D53" s="56">
        <v>71600263</v>
      </c>
      <c r="E53" s="56">
        <v>0</v>
      </c>
      <c r="F53" s="56">
        <v>36612800</v>
      </c>
      <c r="G53" s="56">
        <v>5774600</v>
      </c>
      <c r="H53" s="56">
        <v>11603000</v>
      </c>
      <c r="I53" s="56">
        <v>725300</v>
      </c>
      <c r="J53" s="56">
        <v>72000</v>
      </c>
      <c r="K53" s="56">
        <v>0</v>
      </c>
      <c r="L53" s="56">
        <v>297308833</v>
      </c>
      <c r="M53" s="56">
        <v>138173500</v>
      </c>
      <c r="N53" s="56">
        <v>1373</v>
      </c>
      <c r="O53" s="56">
        <v>188</v>
      </c>
      <c r="P53" s="56">
        <v>3032500</v>
      </c>
      <c r="Q53" s="56">
        <v>3116000</v>
      </c>
      <c r="R53" s="56">
        <v>1051163</v>
      </c>
      <c r="S53" s="56">
        <v>6185100</v>
      </c>
      <c r="T53" s="56">
        <v>618400</v>
      </c>
      <c r="U53" s="56">
        <v>1646900</v>
      </c>
      <c r="V53" s="56">
        <v>3032500</v>
      </c>
      <c r="W53" s="56">
        <v>3486500</v>
      </c>
      <c r="X53" s="56">
        <v>1051163</v>
      </c>
      <c r="Y53" s="56">
        <v>6185100</v>
      </c>
      <c r="Z53" s="56">
        <v>903000</v>
      </c>
      <c r="AA53" s="56">
        <v>1646900</v>
      </c>
      <c r="AB53" s="56">
        <v>-4737700</v>
      </c>
      <c r="AC53" s="56">
        <v>-180946</v>
      </c>
      <c r="AD53" s="56">
        <v>31647</v>
      </c>
      <c r="AE53" s="56">
        <v>85503</v>
      </c>
      <c r="AF53" s="56">
        <v>148379900</v>
      </c>
      <c r="AG53" s="56">
        <v>168522</v>
      </c>
      <c r="AH53" s="56">
        <v>0</v>
      </c>
      <c r="AI53" s="56">
        <v>420000</v>
      </c>
      <c r="AJ53" s="72">
        <v>0</v>
      </c>
      <c r="AK53" s="1">
        <v>98745379</v>
      </c>
      <c r="AL53" s="1">
        <v>3565661</v>
      </c>
      <c r="AM53" s="56">
        <v>0</v>
      </c>
      <c r="AN53" s="56">
        <v>18908405</v>
      </c>
      <c r="AO53" s="56">
        <v>1218450</v>
      </c>
      <c r="AP53" s="56">
        <v>28596305</v>
      </c>
      <c r="AQ53" s="56">
        <v>18284830</v>
      </c>
      <c r="AR53" s="56">
        <v>47621094</v>
      </c>
      <c r="AS53" s="56">
        <v>8747771</v>
      </c>
      <c r="AT53" s="56">
        <v>1434816</v>
      </c>
      <c r="AU53" s="56">
        <v>0</v>
      </c>
      <c r="AV53" s="56">
        <v>0</v>
      </c>
      <c r="AW53" s="56">
        <v>28005</v>
      </c>
      <c r="AX53" s="56">
        <v>166795</v>
      </c>
      <c r="AY53" s="56">
        <v>158750</v>
      </c>
      <c r="AZ53" s="1">
        <v>4838315.0999999996</v>
      </c>
      <c r="BA53" s="1">
        <v>2467541</v>
      </c>
      <c r="BB53" s="69">
        <v>4873056.99</v>
      </c>
      <c r="BC53" s="69">
        <v>910858</v>
      </c>
      <c r="BD53" s="69">
        <v>1785997</v>
      </c>
      <c r="BE53" s="69">
        <v>11755202</v>
      </c>
      <c r="BF53" s="69">
        <v>11755202</v>
      </c>
      <c r="BG53" s="69">
        <v>37664038</v>
      </c>
      <c r="BH53" s="69">
        <v>36178520</v>
      </c>
      <c r="BI53" s="69">
        <v>0</v>
      </c>
      <c r="BJ53" s="69">
        <v>0</v>
      </c>
      <c r="BK53" s="63"/>
      <c r="BL53" s="5">
        <v>877394009</v>
      </c>
      <c r="BM53" s="5">
        <v>723770848</v>
      </c>
      <c r="BN53" s="15">
        <v>440200</v>
      </c>
      <c r="BO53" s="3"/>
      <c r="BP53" s="5"/>
      <c r="BQ53" s="1"/>
      <c r="BR53" s="1"/>
      <c r="BS53" s="5"/>
      <c r="BT53" s="5"/>
    </row>
    <row r="54" spans="1:72" x14ac:dyDescent="0.25">
      <c r="A54" s="6" t="s">
        <v>108</v>
      </c>
      <c r="B54" s="56">
        <v>66526987</v>
      </c>
      <c r="C54" s="56">
        <v>88417088</v>
      </c>
      <c r="D54" s="56">
        <v>13917345</v>
      </c>
      <c r="E54" s="56">
        <v>0</v>
      </c>
      <c r="F54" s="56">
        <v>13924750</v>
      </c>
      <c r="G54" s="56">
        <v>2935150</v>
      </c>
      <c r="H54" s="56">
        <v>5531675</v>
      </c>
      <c r="I54" s="56">
        <v>324000</v>
      </c>
      <c r="J54" s="56">
        <v>10000</v>
      </c>
      <c r="K54" s="56">
        <v>0</v>
      </c>
      <c r="L54" s="56">
        <v>198088015</v>
      </c>
      <c r="M54" s="56">
        <v>27385500</v>
      </c>
      <c r="N54" s="56">
        <v>603</v>
      </c>
      <c r="O54" s="56">
        <v>117</v>
      </c>
      <c r="P54" s="56">
        <v>637550</v>
      </c>
      <c r="Q54" s="56">
        <v>1054846</v>
      </c>
      <c r="R54" s="56">
        <v>2000</v>
      </c>
      <c r="S54" s="56">
        <v>1034434</v>
      </c>
      <c r="T54" s="56">
        <v>116400</v>
      </c>
      <c r="U54" s="56">
        <v>21850</v>
      </c>
      <c r="V54" s="56">
        <v>637550</v>
      </c>
      <c r="W54" s="56">
        <v>1091620</v>
      </c>
      <c r="X54" s="56">
        <v>2000</v>
      </c>
      <c r="Y54" s="56">
        <v>1034434</v>
      </c>
      <c r="Z54" s="56">
        <v>73000</v>
      </c>
      <c r="AA54" s="56">
        <v>21850</v>
      </c>
      <c r="AB54" s="56">
        <v>-565000</v>
      </c>
      <c r="AC54" s="56">
        <v>-212849</v>
      </c>
      <c r="AD54" s="56">
        <v>26965</v>
      </c>
      <c r="AE54" s="56">
        <v>0</v>
      </c>
      <c r="AF54" s="56">
        <v>92012088</v>
      </c>
      <c r="AG54" s="56">
        <v>144418</v>
      </c>
      <c r="AH54" s="56">
        <v>0</v>
      </c>
      <c r="AI54" s="56">
        <v>7221.3114754098369</v>
      </c>
      <c r="AJ54" s="72">
        <v>0</v>
      </c>
      <c r="AK54" s="1">
        <v>34758943</v>
      </c>
      <c r="AL54" s="1">
        <v>793847</v>
      </c>
      <c r="AM54" s="56">
        <v>0</v>
      </c>
      <c r="AN54" s="56">
        <v>10173243</v>
      </c>
      <c r="AO54" s="56">
        <v>86318</v>
      </c>
      <c r="AP54" s="56">
        <v>386363</v>
      </c>
      <c r="AQ54" s="56">
        <v>14338958</v>
      </c>
      <c r="AR54" s="56">
        <v>10184055</v>
      </c>
      <c r="AS54" s="56">
        <v>1222918</v>
      </c>
      <c r="AT54" s="56">
        <v>1821123</v>
      </c>
      <c r="AU54" s="56">
        <v>0</v>
      </c>
      <c r="AV54" s="56">
        <v>0</v>
      </c>
      <c r="AW54" s="56">
        <v>2675802</v>
      </c>
      <c r="AX54" s="56">
        <v>0</v>
      </c>
      <c r="AY54" s="56">
        <v>0</v>
      </c>
      <c r="AZ54" s="1">
        <v>1703114.82</v>
      </c>
      <c r="BA54" s="1">
        <v>868589</v>
      </c>
      <c r="BB54" s="69">
        <v>9549222.8000000007</v>
      </c>
      <c r="BC54" s="69">
        <v>1451301</v>
      </c>
      <c r="BD54" s="69">
        <v>2845688</v>
      </c>
      <c r="BE54" s="69">
        <v>34141240</v>
      </c>
      <c r="BF54" s="69">
        <v>34141240</v>
      </c>
      <c r="BG54" s="69">
        <v>43564249.5</v>
      </c>
      <c r="BH54" s="69">
        <v>31357385</v>
      </c>
      <c r="BI54" s="69">
        <v>0</v>
      </c>
      <c r="BJ54" s="69">
        <v>0</v>
      </c>
      <c r="BK54" s="63"/>
      <c r="BL54" s="5">
        <v>296838465.3114754</v>
      </c>
      <c r="BM54" s="5">
        <v>193467160.3114754</v>
      </c>
      <c r="BN54" s="15"/>
      <c r="BO54" s="3"/>
      <c r="BP54" s="5"/>
      <c r="BQ54" s="1"/>
      <c r="BR54" s="1"/>
      <c r="BS54" s="5"/>
      <c r="BT54" s="5"/>
    </row>
    <row r="55" spans="1:72" x14ac:dyDescent="0.25">
      <c r="A55" s="6" t="s">
        <v>109</v>
      </c>
      <c r="B55" s="56">
        <v>1105728959</v>
      </c>
      <c r="C55" s="56">
        <v>249455309</v>
      </c>
      <c r="D55" s="56">
        <v>412838560</v>
      </c>
      <c r="E55" s="56">
        <v>0</v>
      </c>
      <c r="F55" s="56">
        <v>111065600</v>
      </c>
      <c r="G55" s="56">
        <v>35169573</v>
      </c>
      <c r="H55" s="56">
        <v>15053100</v>
      </c>
      <c r="I55" s="56">
        <v>3200200</v>
      </c>
      <c r="J55" s="56">
        <v>215000</v>
      </c>
      <c r="K55" s="56">
        <v>35500</v>
      </c>
      <c r="L55" s="56">
        <v>291587079</v>
      </c>
      <c r="M55" s="56">
        <v>145017410</v>
      </c>
      <c r="N55" s="56">
        <v>3755</v>
      </c>
      <c r="O55" s="56">
        <v>1238</v>
      </c>
      <c r="P55" s="56">
        <v>22575450</v>
      </c>
      <c r="Q55" s="56">
        <v>3719950</v>
      </c>
      <c r="R55" s="56">
        <v>9839535</v>
      </c>
      <c r="S55" s="56">
        <v>20389051</v>
      </c>
      <c r="T55" s="56">
        <v>4456900</v>
      </c>
      <c r="U55" s="56">
        <v>6205583</v>
      </c>
      <c r="V55" s="56">
        <v>22575450</v>
      </c>
      <c r="W55" s="56">
        <v>5620500</v>
      </c>
      <c r="X55" s="56">
        <v>9839535</v>
      </c>
      <c r="Y55" s="56">
        <v>20389051</v>
      </c>
      <c r="Z55" s="56">
        <v>7126835</v>
      </c>
      <c r="AA55" s="56">
        <v>6205583</v>
      </c>
      <c r="AB55" s="56">
        <v>-8896603</v>
      </c>
      <c r="AC55" s="56">
        <v>-485541</v>
      </c>
      <c r="AD55" s="56">
        <v>87803</v>
      </c>
      <c r="AE55" s="56">
        <v>105181</v>
      </c>
      <c r="AF55" s="56">
        <v>16392075</v>
      </c>
      <c r="AG55" s="56">
        <v>331901</v>
      </c>
      <c r="AH55" s="56">
        <v>10744122.950819673</v>
      </c>
      <c r="AI55" s="56">
        <v>614877.04918032791</v>
      </c>
      <c r="AJ55" s="72">
        <v>42791997</v>
      </c>
      <c r="AK55" s="1">
        <v>318872894</v>
      </c>
      <c r="AL55" s="1">
        <v>9227420</v>
      </c>
      <c r="AM55" s="56">
        <v>5830</v>
      </c>
      <c r="AN55" s="56">
        <v>217347583</v>
      </c>
      <c r="AO55" s="56">
        <v>10107465</v>
      </c>
      <c r="AP55" s="56">
        <v>148086618</v>
      </c>
      <c r="AQ55" s="56">
        <v>105621681</v>
      </c>
      <c r="AR55" s="56">
        <v>63297144</v>
      </c>
      <c r="AS55" s="56">
        <v>118182342</v>
      </c>
      <c r="AT55" s="56">
        <v>8028693</v>
      </c>
      <c r="AU55" s="56">
        <v>0</v>
      </c>
      <c r="AV55" s="56">
        <v>0</v>
      </c>
      <c r="AW55" s="56">
        <v>6458126</v>
      </c>
      <c r="AX55" s="56">
        <v>3524737</v>
      </c>
      <c r="AY55" s="56">
        <v>3911840</v>
      </c>
      <c r="AZ55" s="1">
        <v>15624098.609999999</v>
      </c>
      <c r="BA55" s="1">
        <v>7968290</v>
      </c>
      <c r="BB55" s="69">
        <v>1082901.55</v>
      </c>
      <c r="BC55" s="69">
        <v>9329010</v>
      </c>
      <c r="BD55" s="69">
        <v>18292177</v>
      </c>
      <c r="BE55" s="69">
        <v>76026591</v>
      </c>
      <c r="BF55" s="69">
        <v>72002714</v>
      </c>
      <c r="BG55" s="69">
        <v>152490306</v>
      </c>
      <c r="BH55" s="69">
        <v>144035846</v>
      </c>
      <c r="BI55" s="69">
        <v>0</v>
      </c>
      <c r="BJ55" s="69">
        <v>0</v>
      </c>
      <c r="BK55" s="63"/>
      <c r="BL55" s="5">
        <v>2716686728</v>
      </c>
      <c r="BM55" s="5">
        <v>2155250554</v>
      </c>
      <c r="BN55" s="15"/>
      <c r="BO55" s="3"/>
      <c r="BP55" s="5"/>
      <c r="BQ55" s="1"/>
      <c r="BR55" s="1"/>
      <c r="BS55" s="5"/>
      <c r="BT55" s="5"/>
    </row>
    <row r="56" spans="1:72" x14ac:dyDescent="0.25">
      <c r="A56" s="6" t="s">
        <v>110</v>
      </c>
      <c r="B56" s="40">
        <v>133989650</v>
      </c>
      <c r="C56" s="40">
        <v>68984865</v>
      </c>
      <c r="D56" s="40">
        <v>38870200</v>
      </c>
      <c r="E56" s="40">
        <v>0</v>
      </c>
      <c r="F56" s="40">
        <v>22941300</v>
      </c>
      <c r="G56" s="40">
        <v>18209000</v>
      </c>
      <c r="H56" s="40">
        <v>13790375</v>
      </c>
      <c r="I56" s="40">
        <v>4427000</v>
      </c>
      <c r="J56" s="40">
        <v>66000</v>
      </c>
      <c r="K56" s="40">
        <v>0</v>
      </c>
      <c r="L56" s="40">
        <v>107037945</v>
      </c>
      <c r="M56" s="40">
        <v>60424303</v>
      </c>
      <c r="N56" s="56">
        <v>1198</v>
      </c>
      <c r="O56" s="56">
        <v>789</v>
      </c>
      <c r="P56" s="40">
        <v>1708500</v>
      </c>
      <c r="Q56" s="40">
        <v>672050</v>
      </c>
      <c r="R56" s="40">
        <v>20000</v>
      </c>
      <c r="S56" s="40">
        <v>1869250</v>
      </c>
      <c r="T56" s="40">
        <v>951975</v>
      </c>
      <c r="U56" s="40">
        <v>363000</v>
      </c>
      <c r="V56" s="40">
        <v>1708500</v>
      </c>
      <c r="W56" s="40">
        <v>786500</v>
      </c>
      <c r="X56" s="40">
        <v>20000</v>
      </c>
      <c r="Y56" s="40">
        <v>1869250</v>
      </c>
      <c r="Z56" s="40">
        <v>1686650</v>
      </c>
      <c r="AA56" s="40">
        <v>363000</v>
      </c>
      <c r="AB56" s="40">
        <v>-2288050</v>
      </c>
      <c r="AC56" s="40">
        <v>0</v>
      </c>
      <c r="AD56" s="40">
        <v>75818</v>
      </c>
      <c r="AE56" s="40">
        <v>3183</v>
      </c>
      <c r="AF56" s="40">
        <v>3305251</v>
      </c>
      <c r="AG56" s="40">
        <v>143539</v>
      </c>
      <c r="AH56" s="40">
        <v>0</v>
      </c>
      <c r="AI56" s="40">
        <v>216500</v>
      </c>
      <c r="AJ56" s="72">
        <v>0</v>
      </c>
      <c r="AK56" s="1">
        <v>52712597</v>
      </c>
      <c r="AL56" s="1">
        <v>1059235</v>
      </c>
      <c r="AM56" s="40">
        <v>0</v>
      </c>
      <c r="AN56" s="40">
        <v>5845684</v>
      </c>
      <c r="AO56" s="40">
        <v>168183</v>
      </c>
      <c r="AP56" s="40">
        <v>5018608</v>
      </c>
      <c r="AQ56" s="40">
        <v>7187777</v>
      </c>
      <c r="AR56" s="40">
        <v>1748084</v>
      </c>
      <c r="AS56" s="40">
        <v>0</v>
      </c>
      <c r="AT56" s="40">
        <v>482197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1">
        <v>2582805.9700000002</v>
      </c>
      <c r="BA56" s="1">
        <v>1317231</v>
      </c>
      <c r="BB56" s="69">
        <v>0</v>
      </c>
      <c r="BC56" s="69">
        <v>0</v>
      </c>
      <c r="BD56" s="69">
        <v>0</v>
      </c>
      <c r="BE56" s="69">
        <v>7132526</v>
      </c>
      <c r="BF56" s="69">
        <v>7132526</v>
      </c>
      <c r="BG56" s="69">
        <v>61823890</v>
      </c>
      <c r="BH56" s="69">
        <v>61773361</v>
      </c>
      <c r="BI56" s="69">
        <v>0</v>
      </c>
      <c r="BJ56" s="69">
        <v>0</v>
      </c>
      <c r="BK56" s="44"/>
      <c r="BL56" s="5">
        <v>379257809</v>
      </c>
      <c r="BM56" s="5">
        <v>255262859</v>
      </c>
      <c r="BN56" s="15">
        <v>3888000</v>
      </c>
      <c r="BO56" s="3"/>
      <c r="BP56" s="5"/>
      <c r="BQ56" s="1"/>
      <c r="BR56" s="1"/>
      <c r="BS56" s="5"/>
      <c r="BT56" s="5"/>
    </row>
    <row r="57" spans="1:72" x14ac:dyDescent="0.25">
      <c r="A57" s="6" t="s">
        <v>111</v>
      </c>
      <c r="B57" s="56">
        <v>36703436197</v>
      </c>
      <c r="C57" s="56">
        <v>130661210</v>
      </c>
      <c r="D57" s="56">
        <v>16068311422</v>
      </c>
      <c r="E57" s="56">
        <v>206735690</v>
      </c>
      <c r="F57" s="56">
        <v>2003105120</v>
      </c>
      <c r="G57" s="56">
        <v>165379420</v>
      </c>
      <c r="H57" s="56">
        <v>6444000</v>
      </c>
      <c r="I57" s="56">
        <v>324000</v>
      </c>
      <c r="J57" s="56">
        <v>4860000</v>
      </c>
      <c r="K57" s="56">
        <v>330780</v>
      </c>
      <c r="L57" s="56">
        <v>543175230</v>
      </c>
      <c r="M57" s="56">
        <v>680604440</v>
      </c>
      <c r="N57" s="56">
        <v>56637</v>
      </c>
      <c r="O57" s="56">
        <v>4816</v>
      </c>
      <c r="P57" s="56">
        <v>301679040</v>
      </c>
      <c r="Q57" s="56">
        <v>3939370</v>
      </c>
      <c r="R57" s="56">
        <v>272428320</v>
      </c>
      <c r="S57" s="56">
        <v>297724096</v>
      </c>
      <c r="T57" s="56">
        <v>3558530</v>
      </c>
      <c r="U57" s="56">
        <v>311965315</v>
      </c>
      <c r="V57" s="56">
        <v>301679040</v>
      </c>
      <c r="W57" s="56">
        <v>10204550</v>
      </c>
      <c r="X57" s="56">
        <v>272428320</v>
      </c>
      <c r="Y57" s="56">
        <v>297724096</v>
      </c>
      <c r="Z57" s="56">
        <v>29218880</v>
      </c>
      <c r="AA57" s="56">
        <v>311965315</v>
      </c>
      <c r="AB57" s="56">
        <v>13925026</v>
      </c>
      <c r="AC57" s="56">
        <v>-7623984</v>
      </c>
      <c r="AD57" s="56">
        <v>0</v>
      </c>
      <c r="AE57" s="56">
        <v>0</v>
      </c>
      <c r="AF57" s="56">
        <v>0</v>
      </c>
      <c r="AG57" s="56">
        <v>0</v>
      </c>
      <c r="AH57" s="56">
        <v>0</v>
      </c>
      <c r="AI57" s="56">
        <v>231590.16393442624</v>
      </c>
      <c r="AJ57" s="72">
        <v>0</v>
      </c>
      <c r="AK57" s="1">
        <v>4679013912</v>
      </c>
      <c r="AL57" s="1">
        <v>72684336</v>
      </c>
      <c r="AM57" s="56">
        <v>5654075</v>
      </c>
      <c r="AN57" s="56">
        <v>2379204572</v>
      </c>
      <c r="AO57" s="56">
        <v>121949438</v>
      </c>
      <c r="AP57" s="56">
        <v>2375156910</v>
      </c>
      <c r="AQ57" s="56">
        <v>2126382398</v>
      </c>
      <c r="AR57" s="56">
        <v>1292611860</v>
      </c>
      <c r="AS57" s="56">
        <v>1399084687</v>
      </c>
      <c r="AT57" s="56">
        <v>1905811996</v>
      </c>
      <c r="AU57" s="56">
        <v>0</v>
      </c>
      <c r="AV57" s="56">
        <v>0</v>
      </c>
      <c r="AW57" s="56">
        <v>44004060</v>
      </c>
      <c r="AX57" s="56">
        <v>40749535</v>
      </c>
      <c r="AY57" s="56">
        <v>79843409</v>
      </c>
      <c r="AZ57" s="1">
        <v>229261803.47999999</v>
      </c>
      <c r="BA57" s="1">
        <v>116923520</v>
      </c>
      <c r="BB57" s="69">
        <v>36818652.850000001</v>
      </c>
      <c r="BC57" s="69">
        <v>19034509</v>
      </c>
      <c r="BD57" s="69">
        <v>37322566</v>
      </c>
      <c r="BE57" s="69">
        <v>651660800</v>
      </c>
      <c r="BF57" s="69">
        <v>647565550</v>
      </c>
      <c r="BG57" s="69">
        <v>1365278788.5</v>
      </c>
      <c r="BH57" s="69">
        <v>1281371675</v>
      </c>
      <c r="BI57" s="69">
        <v>280681766</v>
      </c>
      <c r="BJ57" s="69">
        <v>0</v>
      </c>
      <c r="BK57" s="63"/>
      <c r="BL57" s="5">
        <v>64627452095.163933</v>
      </c>
      <c r="BM57" s="5">
        <v>57530176827.163933</v>
      </c>
      <c r="BN57" s="15">
        <v>149545230</v>
      </c>
      <c r="BO57" s="3"/>
      <c r="BP57" s="5"/>
      <c r="BQ57" s="1"/>
      <c r="BR57" s="1"/>
      <c r="BS57" s="5"/>
      <c r="BT57" s="5"/>
    </row>
    <row r="58" spans="1:72" x14ac:dyDescent="0.25">
      <c r="A58" s="6" t="s">
        <v>112</v>
      </c>
      <c r="B58" s="56">
        <v>2481378121</v>
      </c>
      <c r="C58" s="56">
        <v>238211851</v>
      </c>
      <c r="D58" s="56">
        <v>604820210</v>
      </c>
      <c r="E58" s="56">
        <v>0</v>
      </c>
      <c r="F58" s="56">
        <v>98754867</v>
      </c>
      <c r="G58" s="56">
        <v>14524735</v>
      </c>
      <c r="H58" s="56">
        <v>10028913</v>
      </c>
      <c r="I58" s="56">
        <v>889242</v>
      </c>
      <c r="J58" s="56">
        <v>72000</v>
      </c>
      <c r="K58" s="56">
        <v>0</v>
      </c>
      <c r="L58" s="56">
        <v>556767912</v>
      </c>
      <c r="M58" s="56">
        <v>177355505</v>
      </c>
      <c r="N58" s="56">
        <v>3063</v>
      </c>
      <c r="O58" s="56">
        <v>446</v>
      </c>
      <c r="P58" s="56">
        <v>44058951</v>
      </c>
      <c r="Q58" s="56">
        <v>5509182</v>
      </c>
      <c r="R58" s="56">
        <v>5416000</v>
      </c>
      <c r="S58" s="56">
        <v>12290659</v>
      </c>
      <c r="T58" s="56">
        <v>3465387</v>
      </c>
      <c r="U58" s="56">
        <v>13013700</v>
      </c>
      <c r="V58" s="56">
        <v>44058951</v>
      </c>
      <c r="W58" s="56">
        <v>6421260</v>
      </c>
      <c r="X58" s="56">
        <v>5416000</v>
      </c>
      <c r="Y58" s="56">
        <v>12290659</v>
      </c>
      <c r="Z58" s="56">
        <v>14889253</v>
      </c>
      <c r="AA58" s="56">
        <v>13013700</v>
      </c>
      <c r="AB58" s="56">
        <v>-6876301</v>
      </c>
      <c r="AC58" s="56">
        <v>-351144</v>
      </c>
      <c r="AD58" s="56">
        <v>0</v>
      </c>
      <c r="AE58" s="56">
        <v>0</v>
      </c>
      <c r="AF58" s="56">
        <v>0</v>
      </c>
      <c r="AG58" s="56">
        <v>88908.22</v>
      </c>
      <c r="AH58" s="56">
        <v>0</v>
      </c>
      <c r="AI58" s="56">
        <v>216573.7704918033</v>
      </c>
      <c r="AJ58" s="72">
        <v>0</v>
      </c>
      <c r="AK58" s="1">
        <v>330711332</v>
      </c>
      <c r="AL58" s="1">
        <v>8711071</v>
      </c>
      <c r="AM58" s="56">
        <v>0</v>
      </c>
      <c r="AN58" s="56">
        <v>99983557</v>
      </c>
      <c r="AO58" s="56">
        <v>2479688</v>
      </c>
      <c r="AP58" s="56">
        <v>107694606</v>
      </c>
      <c r="AQ58" s="56">
        <v>103400670</v>
      </c>
      <c r="AR58" s="56">
        <v>89568658</v>
      </c>
      <c r="AS58" s="56">
        <v>45025452</v>
      </c>
      <c r="AT58" s="56">
        <v>4615046</v>
      </c>
      <c r="AU58" s="56">
        <v>0</v>
      </c>
      <c r="AV58" s="56">
        <v>0</v>
      </c>
      <c r="AW58" s="56">
        <v>111806</v>
      </c>
      <c r="AX58" s="56">
        <v>85598</v>
      </c>
      <c r="AY58" s="56">
        <v>16645690</v>
      </c>
      <c r="AZ58" s="1">
        <v>16204157.08</v>
      </c>
      <c r="BA58" s="1">
        <v>8264120</v>
      </c>
      <c r="BB58" s="69">
        <v>0</v>
      </c>
      <c r="BC58" s="69">
        <v>1461017</v>
      </c>
      <c r="BD58" s="69">
        <v>2864739</v>
      </c>
      <c r="BE58" s="69">
        <v>39425612</v>
      </c>
      <c r="BF58" s="69">
        <v>39425612</v>
      </c>
      <c r="BG58" s="69">
        <v>57667187.5</v>
      </c>
      <c r="BH58" s="69">
        <v>53824100</v>
      </c>
      <c r="BI58" s="69">
        <v>31466923</v>
      </c>
      <c r="BJ58" s="69">
        <v>0</v>
      </c>
      <c r="BK58" s="63"/>
      <c r="BL58" s="5">
        <v>4004354845.7704916</v>
      </c>
      <c r="BM58" s="5">
        <v>3530490670.7704916</v>
      </c>
      <c r="BN58" s="15">
        <v>2160250</v>
      </c>
      <c r="BO58" s="3"/>
      <c r="BP58" s="5"/>
      <c r="BQ58" s="1"/>
      <c r="BR58" s="1"/>
      <c r="BS58" s="5"/>
      <c r="BT58" s="5"/>
    </row>
    <row r="59" spans="1:72" x14ac:dyDescent="0.25">
      <c r="A59" s="6" t="s">
        <v>113</v>
      </c>
      <c r="B59" s="40">
        <v>426410012</v>
      </c>
      <c r="C59" s="40">
        <v>97410741</v>
      </c>
      <c r="D59" s="40">
        <v>181985181</v>
      </c>
      <c r="E59" s="40">
        <v>0</v>
      </c>
      <c r="F59" s="40">
        <v>45967550</v>
      </c>
      <c r="G59" s="40">
        <v>34667950</v>
      </c>
      <c r="H59" s="40">
        <v>16124862</v>
      </c>
      <c r="I59" s="40">
        <v>6844906</v>
      </c>
      <c r="J59" s="40">
        <v>108000</v>
      </c>
      <c r="K59" s="40">
        <v>36000</v>
      </c>
      <c r="L59" s="40">
        <v>102958942</v>
      </c>
      <c r="M59" s="40">
        <v>91956850</v>
      </c>
      <c r="N59" s="40">
        <v>1928</v>
      </c>
      <c r="O59" s="40">
        <v>1396</v>
      </c>
      <c r="P59" s="40">
        <v>933000</v>
      </c>
      <c r="Q59" s="40">
        <v>881800</v>
      </c>
      <c r="R59" s="40">
        <v>0</v>
      </c>
      <c r="S59" s="40">
        <v>3019240</v>
      </c>
      <c r="T59" s="40">
        <v>586675</v>
      </c>
      <c r="U59" s="40">
        <v>927100</v>
      </c>
      <c r="V59" s="40">
        <v>933000</v>
      </c>
      <c r="W59" s="40">
        <v>839300</v>
      </c>
      <c r="X59" s="40">
        <v>0</v>
      </c>
      <c r="Y59" s="40">
        <v>3019240</v>
      </c>
      <c r="Z59" s="40">
        <v>628225</v>
      </c>
      <c r="AA59" s="40">
        <v>927100</v>
      </c>
      <c r="AB59" s="56">
        <v>-953300</v>
      </c>
      <c r="AC59" s="56">
        <v>-95363</v>
      </c>
      <c r="AD59" s="40">
        <v>126866</v>
      </c>
      <c r="AE59" s="40">
        <v>1</v>
      </c>
      <c r="AF59" s="40">
        <v>0</v>
      </c>
      <c r="AG59" s="40">
        <v>133463</v>
      </c>
      <c r="AH59" s="40">
        <v>994139.34426229505</v>
      </c>
      <c r="AI59" s="40">
        <v>9117154.9180327877</v>
      </c>
      <c r="AJ59" s="72">
        <v>25819378</v>
      </c>
      <c r="AK59" s="1">
        <v>145061092</v>
      </c>
      <c r="AL59" s="1">
        <v>4985268</v>
      </c>
      <c r="AM59" s="40">
        <v>188000</v>
      </c>
      <c r="AN59" s="40">
        <v>54395567</v>
      </c>
      <c r="AO59" s="40">
        <v>1302637</v>
      </c>
      <c r="AP59" s="40">
        <v>2854953</v>
      </c>
      <c r="AQ59" s="40">
        <v>28765892</v>
      </c>
      <c r="AR59" s="40">
        <v>5171838</v>
      </c>
      <c r="AS59" s="40">
        <v>1066479</v>
      </c>
      <c r="AT59" s="40">
        <v>85235</v>
      </c>
      <c r="AU59" s="40">
        <v>0</v>
      </c>
      <c r="AV59" s="40">
        <v>0</v>
      </c>
      <c r="AW59" s="40">
        <v>0</v>
      </c>
      <c r="AX59" s="40">
        <v>17893</v>
      </c>
      <c r="AY59" s="40">
        <v>199500</v>
      </c>
      <c r="AZ59" s="1">
        <v>7107687.2599999998</v>
      </c>
      <c r="BA59" s="1">
        <v>3624921</v>
      </c>
      <c r="BB59" s="69">
        <v>0</v>
      </c>
      <c r="BC59" s="69">
        <v>2467819</v>
      </c>
      <c r="BD59" s="69">
        <v>4838860</v>
      </c>
      <c r="BE59" s="69">
        <v>67115773</v>
      </c>
      <c r="BF59" s="69">
        <v>67115773</v>
      </c>
      <c r="BG59" s="69">
        <v>79329255.5</v>
      </c>
      <c r="BH59" s="69">
        <v>77535521</v>
      </c>
      <c r="BI59" s="69">
        <v>0</v>
      </c>
      <c r="BJ59" s="69">
        <v>0</v>
      </c>
      <c r="BK59" s="44"/>
      <c r="BL59" s="5">
        <v>1126991096.262295</v>
      </c>
      <c r="BM59" s="5">
        <v>826200702.26229501</v>
      </c>
      <c r="BN59" s="15">
        <v>9373195</v>
      </c>
      <c r="BO59" s="3"/>
      <c r="BP59" s="5"/>
      <c r="BQ59" s="1"/>
      <c r="BR59" s="1"/>
      <c r="BS59" s="5"/>
      <c r="BT59" s="5"/>
    </row>
    <row r="60" spans="1:72" x14ac:dyDescent="0.25">
      <c r="A60" s="6" t="s">
        <v>114</v>
      </c>
      <c r="B60" s="56">
        <v>7406596587</v>
      </c>
      <c r="C60" s="56">
        <v>111188030</v>
      </c>
      <c r="D60" s="56">
        <v>2284452230</v>
      </c>
      <c r="E60" s="56">
        <v>0</v>
      </c>
      <c r="F60" s="56">
        <v>347773300</v>
      </c>
      <c r="G60" s="56">
        <v>36954200</v>
      </c>
      <c r="H60" s="56">
        <v>6506200</v>
      </c>
      <c r="I60" s="56">
        <v>494600</v>
      </c>
      <c r="J60" s="56">
        <v>972000</v>
      </c>
      <c r="K60" s="56">
        <v>144000</v>
      </c>
      <c r="L60" s="56">
        <v>221949070</v>
      </c>
      <c r="M60" s="56">
        <v>73000</v>
      </c>
      <c r="N60" s="56">
        <v>9961</v>
      </c>
      <c r="O60" s="56">
        <v>1086</v>
      </c>
      <c r="P60" s="56">
        <v>67353900</v>
      </c>
      <c r="Q60" s="56">
        <v>1725800</v>
      </c>
      <c r="R60" s="56">
        <v>77111000</v>
      </c>
      <c r="S60" s="56">
        <v>62328000</v>
      </c>
      <c r="T60" s="56">
        <v>2463100</v>
      </c>
      <c r="U60" s="56">
        <v>15250500</v>
      </c>
      <c r="V60" s="56">
        <v>67353900</v>
      </c>
      <c r="W60" s="56">
        <v>1725800</v>
      </c>
      <c r="X60" s="56">
        <v>77111000</v>
      </c>
      <c r="Y60" s="56">
        <v>62328000</v>
      </c>
      <c r="Z60" s="56">
        <v>2463100</v>
      </c>
      <c r="AA60" s="56">
        <v>15250500</v>
      </c>
      <c r="AB60" s="56">
        <v>-18721900</v>
      </c>
      <c r="AC60" s="56">
        <v>-3542226</v>
      </c>
      <c r="AD60" s="56">
        <v>0</v>
      </c>
      <c r="AE60" s="56">
        <v>0</v>
      </c>
      <c r="AF60" s="56">
        <v>0</v>
      </c>
      <c r="AG60" s="56">
        <v>0</v>
      </c>
      <c r="AH60" s="56">
        <v>0</v>
      </c>
      <c r="AI60" s="56">
        <v>0</v>
      </c>
      <c r="AJ60" s="72">
        <v>0</v>
      </c>
      <c r="AK60" s="1">
        <v>917763811</v>
      </c>
      <c r="AL60" s="1">
        <v>17604107</v>
      </c>
      <c r="AM60" s="56">
        <v>22000</v>
      </c>
      <c r="AN60" s="56">
        <v>280881521</v>
      </c>
      <c r="AO60" s="56">
        <v>5614076</v>
      </c>
      <c r="AP60" s="56">
        <v>315832274</v>
      </c>
      <c r="AQ60" s="56">
        <v>250123775</v>
      </c>
      <c r="AR60" s="56">
        <v>225350197</v>
      </c>
      <c r="AS60" s="56">
        <v>220767600</v>
      </c>
      <c r="AT60" s="56">
        <v>3546</v>
      </c>
      <c r="AU60" s="56">
        <v>0</v>
      </c>
      <c r="AV60" s="56">
        <v>0</v>
      </c>
      <c r="AW60" s="56">
        <v>19642</v>
      </c>
      <c r="AX60" s="56">
        <v>286327</v>
      </c>
      <c r="AY60" s="56">
        <v>0</v>
      </c>
      <c r="AZ60" s="1">
        <v>44968489.18</v>
      </c>
      <c r="BA60" s="1">
        <v>22933929</v>
      </c>
      <c r="BB60" s="69">
        <v>10533678.756476684</v>
      </c>
      <c r="BC60" s="69">
        <v>12401032</v>
      </c>
      <c r="BD60" s="69">
        <v>24315748</v>
      </c>
      <c r="BE60" s="69">
        <v>164805865</v>
      </c>
      <c r="BF60" s="69">
        <v>164805865</v>
      </c>
      <c r="BG60" s="69">
        <v>240176049.5</v>
      </c>
      <c r="BH60" s="69">
        <v>230336543</v>
      </c>
      <c r="BI60" s="69">
        <v>0</v>
      </c>
      <c r="BJ60" s="69">
        <v>0</v>
      </c>
      <c r="BK60" s="63"/>
      <c r="BL60" s="5">
        <v>11704701506</v>
      </c>
      <c r="BM60" s="5">
        <v>10338856219</v>
      </c>
      <c r="BN60" s="15">
        <v>4790700</v>
      </c>
      <c r="BO60" s="3"/>
      <c r="BP60" s="5"/>
      <c r="BQ60" s="1"/>
      <c r="BR60" s="1"/>
      <c r="BS60" s="5"/>
      <c r="BT60" s="5"/>
    </row>
    <row r="61" spans="1:72" x14ac:dyDescent="0.25">
      <c r="A61" s="6" t="s">
        <v>115</v>
      </c>
      <c r="B61" s="56">
        <v>162312733</v>
      </c>
      <c r="C61" s="56">
        <v>51143311</v>
      </c>
      <c r="D61" s="56">
        <v>83204698</v>
      </c>
      <c r="E61" s="56">
        <v>0</v>
      </c>
      <c r="F61" s="56">
        <v>32798666</v>
      </c>
      <c r="G61" s="56">
        <v>26301800</v>
      </c>
      <c r="H61" s="56">
        <v>14186755</v>
      </c>
      <c r="I61" s="56">
        <v>6074150</v>
      </c>
      <c r="J61" s="56">
        <v>144000</v>
      </c>
      <c r="K61" s="56">
        <v>36000</v>
      </c>
      <c r="L61" s="56">
        <v>62526964</v>
      </c>
      <c r="M61" s="56">
        <v>58323175</v>
      </c>
      <c r="N61" s="56">
        <v>1463</v>
      </c>
      <c r="O61" s="56">
        <v>1086</v>
      </c>
      <c r="P61" s="56">
        <v>1700500</v>
      </c>
      <c r="Q61" s="56">
        <v>405500</v>
      </c>
      <c r="R61" s="56">
        <v>197000</v>
      </c>
      <c r="S61" s="56">
        <v>3043195</v>
      </c>
      <c r="T61" s="56">
        <v>554200</v>
      </c>
      <c r="U61" s="56">
        <v>168200</v>
      </c>
      <c r="V61" s="56">
        <v>1700500</v>
      </c>
      <c r="W61" s="56">
        <v>436000</v>
      </c>
      <c r="X61" s="56">
        <v>197000</v>
      </c>
      <c r="Y61" s="56">
        <v>3043195</v>
      </c>
      <c r="Z61" s="56">
        <v>622700</v>
      </c>
      <c r="AA61" s="56">
        <v>168200</v>
      </c>
      <c r="AB61" s="56">
        <v>-3319154</v>
      </c>
      <c r="AC61" s="56">
        <v>-46044</v>
      </c>
      <c r="AD61" s="56">
        <v>186134</v>
      </c>
      <c r="AE61" s="56">
        <v>0</v>
      </c>
      <c r="AF61" s="56">
        <v>0</v>
      </c>
      <c r="AG61" s="56">
        <v>120438</v>
      </c>
      <c r="AH61" s="56">
        <v>8129622.9508196721</v>
      </c>
      <c r="AI61" s="56">
        <v>73061490.983606577</v>
      </c>
      <c r="AJ61" s="72">
        <v>260259516</v>
      </c>
      <c r="AK61" s="1">
        <v>97618975</v>
      </c>
      <c r="AL61" s="1">
        <v>1706754</v>
      </c>
      <c r="AM61" s="56">
        <v>90000</v>
      </c>
      <c r="AN61" s="56">
        <v>77746548</v>
      </c>
      <c r="AO61" s="56">
        <v>2368579</v>
      </c>
      <c r="AP61" s="56">
        <v>26150535</v>
      </c>
      <c r="AQ61" s="56">
        <v>4299894</v>
      </c>
      <c r="AR61" s="56">
        <v>3019150</v>
      </c>
      <c r="AS61" s="56">
        <v>0</v>
      </c>
      <c r="AT61" s="56">
        <v>0</v>
      </c>
      <c r="AU61" s="56">
        <v>0</v>
      </c>
      <c r="AV61" s="56">
        <v>0</v>
      </c>
      <c r="AW61" s="56">
        <v>0</v>
      </c>
      <c r="AX61" s="56">
        <v>14445</v>
      </c>
      <c r="AY61" s="56">
        <v>0</v>
      </c>
      <c r="AZ61" s="1">
        <v>4783123.68</v>
      </c>
      <c r="BA61" s="1">
        <v>2439393</v>
      </c>
      <c r="BB61" s="69">
        <v>0</v>
      </c>
      <c r="BC61" s="69">
        <v>1105175</v>
      </c>
      <c r="BD61" s="69">
        <v>2167009</v>
      </c>
      <c r="BE61" s="69">
        <v>25924868</v>
      </c>
      <c r="BF61" s="69">
        <v>25924868</v>
      </c>
      <c r="BG61" s="69">
        <v>131762558</v>
      </c>
      <c r="BH61" s="69">
        <v>131033007</v>
      </c>
      <c r="BI61" s="69">
        <v>0</v>
      </c>
      <c r="BJ61" s="69">
        <v>0</v>
      </c>
      <c r="BK61" s="63"/>
      <c r="BL61" s="5">
        <v>982354564.93442631</v>
      </c>
      <c r="BM61" s="5">
        <v>722526392.93442631</v>
      </c>
      <c r="BN61" s="15">
        <v>2290650</v>
      </c>
      <c r="BO61" s="3"/>
      <c r="BP61" s="5"/>
      <c r="BQ61" s="1"/>
      <c r="BR61" s="1"/>
      <c r="BS61" s="5"/>
      <c r="BT61" s="5"/>
    </row>
    <row r="62" spans="1:72" x14ac:dyDescent="0.25">
      <c r="A62" s="6" t="s">
        <v>116</v>
      </c>
      <c r="B62" s="56">
        <v>504002714</v>
      </c>
      <c r="C62" s="56">
        <v>90754969</v>
      </c>
      <c r="D62" s="56">
        <v>225637341</v>
      </c>
      <c r="E62" s="56">
        <v>0</v>
      </c>
      <c r="F62" s="56">
        <v>72367765</v>
      </c>
      <c r="G62" s="56">
        <v>31417463</v>
      </c>
      <c r="H62" s="56">
        <v>16625738</v>
      </c>
      <c r="I62" s="56">
        <v>4231386</v>
      </c>
      <c r="J62" s="56">
        <v>324000</v>
      </c>
      <c r="K62" s="56">
        <v>72000</v>
      </c>
      <c r="L62" s="56">
        <v>152312499</v>
      </c>
      <c r="M62" s="56">
        <v>0</v>
      </c>
      <c r="N62" s="56">
        <v>2908</v>
      </c>
      <c r="O62" s="56">
        <v>1369</v>
      </c>
      <c r="P62" s="56">
        <v>6279184</v>
      </c>
      <c r="Q62" s="56">
        <v>1498476</v>
      </c>
      <c r="R62" s="56">
        <v>10254000</v>
      </c>
      <c r="S62" s="56">
        <v>3348782</v>
      </c>
      <c r="T62" s="56">
        <v>825745</v>
      </c>
      <c r="U62" s="56">
        <v>2432969</v>
      </c>
      <c r="V62" s="56">
        <v>6279184</v>
      </c>
      <c r="W62" s="56">
        <v>1637900</v>
      </c>
      <c r="X62" s="56">
        <v>10254000</v>
      </c>
      <c r="Y62" s="56">
        <v>3348782</v>
      </c>
      <c r="Z62" s="56">
        <v>1514550</v>
      </c>
      <c r="AA62" s="56">
        <v>2432969</v>
      </c>
      <c r="AB62" s="56">
        <v>-5018728</v>
      </c>
      <c r="AC62" s="56">
        <v>-21412</v>
      </c>
      <c r="AD62" s="56">
        <v>0</v>
      </c>
      <c r="AE62" s="56">
        <v>0</v>
      </c>
      <c r="AF62" s="56">
        <v>0</v>
      </c>
      <c r="AG62" s="56">
        <v>0</v>
      </c>
      <c r="AH62" s="56">
        <v>10823016.393442623</v>
      </c>
      <c r="AI62" s="56">
        <v>12309167.213114753</v>
      </c>
      <c r="AJ62" s="72">
        <v>16672209</v>
      </c>
      <c r="AK62" s="1">
        <v>150142246</v>
      </c>
      <c r="AL62" s="1">
        <v>3719504</v>
      </c>
      <c r="AM62" s="56">
        <v>0</v>
      </c>
      <c r="AN62" s="56">
        <v>48231303</v>
      </c>
      <c r="AO62" s="56">
        <v>968987</v>
      </c>
      <c r="AP62" s="56">
        <v>10172084</v>
      </c>
      <c r="AQ62" s="56">
        <v>28469607</v>
      </c>
      <c r="AR62" s="56">
        <v>25595311</v>
      </c>
      <c r="AS62" s="56">
        <v>7995283</v>
      </c>
      <c r="AT62" s="56">
        <v>393650</v>
      </c>
      <c r="AU62" s="56">
        <v>0</v>
      </c>
      <c r="AV62" s="56">
        <v>0</v>
      </c>
      <c r="AW62" s="56">
        <v>0</v>
      </c>
      <c r="AX62" s="56">
        <v>307979</v>
      </c>
      <c r="AY62" s="56">
        <v>4500</v>
      </c>
      <c r="AZ62" s="1">
        <v>7356653.0800000001</v>
      </c>
      <c r="BA62" s="1">
        <v>3751893</v>
      </c>
      <c r="BB62" s="69">
        <v>0</v>
      </c>
      <c r="BC62" s="69">
        <v>2744112</v>
      </c>
      <c r="BD62" s="69">
        <v>5380612</v>
      </c>
      <c r="BE62" s="69">
        <v>25012577</v>
      </c>
      <c r="BF62" s="69">
        <v>25012577</v>
      </c>
      <c r="BG62" s="69">
        <v>52546245</v>
      </c>
      <c r="BH62" s="69">
        <v>49600922</v>
      </c>
      <c r="BI62" s="69">
        <v>0</v>
      </c>
      <c r="BJ62" s="69">
        <v>0</v>
      </c>
      <c r="BK62" s="63"/>
      <c r="BL62" s="5">
        <v>1172840567.6065574</v>
      </c>
      <c r="BM62" s="5">
        <v>937869313.60655737</v>
      </c>
      <c r="BN62" s="15">
        <v>243490</v>
      </c>
      <c r="BO62" s="3"/>
      <c r="BP62" s="5"/>
      <c r="BQ62" s="1"/>
      <c r="BR62" s="1"/>
      <c r="BS62" s="5"/>
      <c r="BT62" s="5"/>
    </row>
    <row r="63" spans="1:72" x14ac:dyDescent="0.25">
      <c r="A63" s="6" t="s">
        <v>117</v>
      </c>
      <c r="B63" s="56">
        <v>323512705</v>
      </c>
      <c r="C63" s="56">
        <v>145523520</v>
      </c>
      <c r="D63" s="56">
        <v>61966624</v>
      </c>
      <c r="E63" s="56">
        <v>0</v>
      </c>
      <c r="F63" s="56">
        <v>37074800</v>
      </c>
      <c r="G63" s="56">
        <v>7951300</v>
      </c>
      <c r="H63" s="56">
        <v>14354640</v>
      </c>
      <c r="I63" s="56">
        <v>1347100</v>
      </c>
      <c r="J63" s="56">
        <v>144000</v>
      </c>
      <c r="K63" s="56">
        <v>36000</v>
      </c>
      <c r="L63" s="56">
        <v>253604279</v>
      </c>
      <c r="M63" s="56">
        <v>106813473</v>
      </c>
      <c r="N63" s="56">
        <v>1473</v>
      </c>
      <c r="O63" s="56">
        <v>280</v>
      </c>
      <c r="P63" s="56">
        <v>5981257</v>
      </c>
      <c r="Q63" s="56">
        <v>2999380</v>
      </c>
      <c r="R63" s="56">
        <v>679000</v>
      </c>
      <c r="S63" s="56">
        <v>4958442</v>
      </c>
      <c r="T63" s="56">
        <v>2158230</v>
      </c>
      <c r="U63" s="56">
        <v>512000</v>
      </c>
      <c r="V63" s="56">
        <v>5981257</v>
      </c>
      <c r="W63" s="56">
        <v>5731197</v>
      </c>
      <c r="X63" s="56">
        <v>679000</v>
      </c>
      <c r="Y63" s="56">
        <v>4958442</v>
      </c>
      <c r="Z63" s="56">
        <v>4641013</v>
      </c>
      <c r="AA63" s="56">
        <v>512000</v>
      </c>
      <c r="AB63" s="56">
        <v>-2423061</v>
      </c>
      <c r="AC63" s="56">
        <v>-9123</v>
      </c>
      <c r="AD63" s="56">
        <v>151955</v>
      </c>
      <c r="AE63" s="56">
        <v>0</v>
      </c>
      <c r="AF63" s="56">
        <v>0</v>
      </c>
      <c r="AG63" s="56">
        <v>151955</v>
      </c>
      <c r="AH63" s="56">
        <v>0</v>
      </c>
      <c r="AI63" s="56">
        <v>0</v>
      </c>
      <c r="AJ63" s="72">
        <v>0</v>
      </c>
      <c r="AK63" s="1">
        <v>86023387</v>
      </c>
      <c r="AL63" s="1">
        <v>2214305</v>
      </c>
      <c r="AM63" s="56">
        <v>0</v>
      </c>
      <c r="AN63" s="56">
        <v>10029350</v>
      </c>
      <c r="AO63" s="56">
        <v>259723</v>
      </c>
      <c r="AP63" s="56">
        <v>9949406</v>
      </c>
      <c r="AQ63" s="56">
        <v>11696757</v>
      </c>
      <c r="AR63" s="56">
        <v>5854186</v>
      </c>
      <c r="AS63" s="56">
        <v>0</v>
      </c>
      <c r="AT63" s="56">
        <v>1343111</v>
      </c>
      <c r="AU63" s="56">
        <v>0</v>
      </c>
      <c r="AV63" s="56">
        <v>83616</v>
      </c>
      <c r="AW63" s="56">
        <v>0</v>
      </c>
      <c r="AX63" s="56">
        <v>4223</v>
      </c>
      <c r="AY63" s="56">
        <v>22700</v>
      </c>
      <c r="AZ63" s="1">
        <v>4214964.3499999996</v>
      </c>
      <c r="BA63" s="1">
        <v>2149632</v>
      </c>
      <c r="BB63" s="69">
        <v>0</v>
      </c>
      <c r="BC63" s="69">
        <v>74083</v>
      </c>
      <c r="BD63" s="69">
        <v>145261</v>
      </c>
      <c r="BE63" s="69">
        <v>21882702</v>
      </c>
      <c r="BF63" s="69">
        <v>21882702</v>
      </c>
      <c r="BG63" s="69">
        <v>37890939.5</v>
      </c>
      <c r="BH63" s="69">
        <v>37852064</v>
      </c>
      <c r="BI63" s="69">
        <v>0</v>
      </c>
      <c r="BJ63" s="69">
        <v>0</v>
      </c>
      <c r="BK63" s="63"/>
      <c r="BL63" s="5">
        <v>703184852</v>
      </c>
      <c r="BM63" s="5">
        <v>552988679</v>
      </c>
      <c r="BN63" s="15">
        <v>1115776</v>
      </c>
      <c r="BO63" s="3"/>
      <c r="BP63" s="5"/>
      <c r="BQ63" s="1"/>
      <c r="BR63" s="1"/>
      <c r="BS63" s="5"/>
      <c r="BT63" s="5"/>
    </row>
    <row r="64" spans="1:72" x14ac:dyDescent="0.25">
      <c r="A64" s="6" t="s">
        <v>118</v>
      </c>
      <c r="B64" s="56">
        <v>1387893329</v>
      </c>
      <c r="C64" s="56">
        <v>192706828</v>
      </c>
      <c r="D64" s="56">
        <v>698578861</v>
      </c>
      <c r="E64" s="56">
        <v>33512748</v>
      </c>
      <c r="F64" s="56">
        <v>137836329</v>
      </c>
      <c r="G64" s="56">
        <v>48673355</v>
      </c>
      <c r="H64" s="56">
        <v>28359516</v>
      </c>
      <c r="I64" s="56">
        <v>4775176</v>
      </c>
      <c r="J64" s="56">
        <v>288000</v>
      </c>
      <c r="K64" s="56">
        <v>143000</v>
      </c>
      <c r="L64" s="56">
        <v>400667280</v>
      </c>
      <c r="M64" s="56">
        <v>175323300</v>
      </c>
      <c r="N64" s="56">
        <v>4949</v>
      </c>
      <c r="O64" s="56">
        <v>1737</v>
      </c>
      <c r="P64" s="56">
        <v>9739255</v>
      </c>
      <c r="Q64" s="56">
        <v>3591000</v>
      </c>
      <c r="R64" s="56">
        <v>9119244</v>
      </c>
      <c r="S64" s="56">
        <v>9472375</v>
      </c>
      <c r="T64" s="56">
        <v>309700</v>
      </c>
      <c r="U64" s="56">
        <v>3383753</v>
      </c>
      <c r="V64" s="56">
        <v>9739255</v>
      </c>
      <c r="W64" s="56">
        <v>3509400</v>
      </c>
      <c r="X64" s="56">
        <v>9119244</v>
      </c>
      <c r="Y64" s="56">
        <v>9472375</v>
      </c>
      <c r="Z64" s="56">
        <v>1054200</v>
      </c>
      <c r="AA64" s="56">
        <v>3383753</v>
      </c>
      <c r="AB64" s="56">
        <v>-7330760</v>
      </c>
      <c r="AC64" s="56">
        <v>-391094</v>
      </c>
      <c r="AD64" s="56">
        <v>85117</v>
      </c>
      <c r="AE64" s="56">
        <v>0</v>
      </c>
      <c r="AF64" s="56">
        <v>0</v>
      </c>
      <c r="AG64" s="56">
        <v>158376</v>
      </c>
      <c r="AH64" s="56">
        <v>893590.16393442627</v>
      </c>
      <c r="AI64" s="56">
        <v>80542.622950819685</v>
      </c>
      <c r="AJ64" s="72">
        <v>494434.42622950824</v>
      </c>
      <c r="AK64" s="1">
        <v>360218880</v>
      </c>
      <c r="AL64" s="1">
        <v>15839243</v>
      </c>
      <c r="AM64" s="56">
        <v>2309163</v>
      </c>
      <c r="AN64" s="56">
        <v>140328947</v>
      </c>
      <c r="AO64" s="56">
        <v>31628274</v>
      </c>
      <c r="AP64" s="56">
        <v>174144319</v>
      </c>
      <c r="AQ64" s="56">
        <v>130929502</v>
      </c>
      <c r="AR64" s="56">
        <v>74056794</v>
      </c>
      <c r="AS64" s="56">
        <v>34314129</v>
      </c>
      <c r="AT64" s="56">
        <v>4160637</v>
      </c>
      <c r="AU64" s="56">
        <v>0</v>
      </c>
      <c r="AV64" s="56">
        <v>45955</v>
      </c>
      <c r="AW64" s="56">
        <v>12923916</v>
      </c>
      <c r="AX64" s="56">
        <v>1067722</v>
      </c>
      <c r="AY64" s="56">
        <v>2304920</v>
      </c>
      <c r="AZ64" s="1">
        <v>17649964.640000001</v>
      </c>
      <c r="BA64" s="1">
        <v>9001482</v>
      </c>
      <c r="BB64" s="69">
        <v>0</v>
      </c>
      <c r="BC64" s="69">
        <v>2286861</v>
      </c>
      <c r="BD64" s="69">
        <v>4484042</v>
      </c>
      <c r="BE64" s="69">
        <v>41538558</v>
      </c>
      <c r="BF64" s="69">
        <v>41538558</v>
      </c>
      <c r="BG64" s="69">
        <v>107888648</v>
      </c>
      <c r="BH64" s="69">
        <v>101551536</v>
      </c>
      <c r="BI64" s="69">
        <v>0</v>
      </c>
      <c r="BJ64" s="69">
        <v>0</v>
      </c>
      <c r="BK64" s="63"/>
      <c r="BL64" s="5">
        <v>3113970868.2131147</v>
      </c>
      <c r="BM64" s="5">
        <v>2583534308.2131147</v>
      </c>
      <c r="BN64" s="15">
        <v>2375600</v>
      </c>
      <c r="BO64" s="3"/>
      <c r="BP64" s="5"/>
      <c r="BQ64" s="1"/>
      <c r="BR64" s="1"/>
      <c r="BS64" s="5"/>
      <c r="BT64" s="5"/>
    </row>
    <row r="65" spans="1:72" x14ac:dyDescent="0.25">
      <c r="A65" s="6" t="s">
        <v>119</v>
      </c>
      <c r="B65" s="56">
        <v>241607716</v>
      </c>
      <c r="C65" s="56">
        <v>99359524</v>
      </c>
      <c r="D65" s="56">
        <v>96448964</v>
      </c>
      <c r="E65" s="56">
        <v>0</v>
      </c>
      <c r="F65" s="56">
        <v>28459465</v>
      </c>
      <c r="G65" s="56">
        <v>16653500</v>
      </c>
      <c r="H65" s="56">
        <v>15418473</v>
      </c>
      <c r="I65" s="56">
        <v>5684682</v>
      </c>
      <c r="J65" s="56">
        <v>324000</v>
      </c>
      <c r="K65" s="56">
        <v>0</v>
      </c>
      <c r="L65" s="56">
        <v>117092266</v>
      </c>
      <c r="M65" s="56">
        <v>78414150</v>
      </c>
      <c r="N65" s="56">
        <v>1428</v>
      </c>
      <c r="O65" s="56">
        <v>772</v>
      </c>
      <c r="P65" s="56">
        <v>6228200</v>
      </c>
      <c r="Q65" s="56">
        <v>1346600</v>
      </c>
      <c r="R65" s="56">
        <v>770000</v>
      </c>
      <c r="S65" s="56">
        <v>1036500</v>
      </c>
      <c r="T65" s="56">
        <v>400200</v>
      </c>
      <c r="U65" s="56">
        <v>37000</v>
      </c>
      <c r="V65" s="56">
        <v>6228200</v>
      </c>
      <c r="W65" s="56">
        <v>1483800</v>
      </c>
      <c r="X65" s="56">
        <v>770000</v>
      </c>
      <c r="Y65" s="56">
        <v>1036500</v>
      </c>
      <c r="Z65" s="56">
        <v>413200</v>
      </c>
      <c r="AA65" s="56">
        <v>37000</v>
      </c>
      <c r="AB65" s="56">
        <v>-4183930</v>
      </c>
      <c r="AC65" s="56">
        <v>-365233</v>
      </c>
      <c r="AD65" s="56">
        <v>187270</v>
      </c>
      <c r="AE65" s="56">
        <v>0</v>
      </c>
      <c r="AF65" s="56">
        <v>0</v>
      </c>
      <c r="AG65" s="56">
        <v>221548</v>
      </c>
      <c r="AH65" s="56">
        <v>6966245.9016393442</v>
      </c>
      <c r="AI65" s="56">
        <v>7787884.4262295095</v>
      </c>
      <c r="AJ65" s="72">
        <v>15638852.459016396</v>
      </c>
      <c r="AK65" s="1">
        <v>88248532</v>
      </c>
      <c r="AL65" s="1">
        <v>3730624</v>
      </c>
      <c r="AM65" s="56">
        <v>445170</v>
      </c>
      <c r="AN65" s="56">
        <v>36688699</v>
      </c>
      <c r="AO65" s="56">
        <v>312481</v>
      </c>
      <c r="AP65" s="56">
        <v>4773943</v>
      </c>
      <c r="AQ65" s="56">
        <v>17407472</v>
      </c>
      <c r="AR65" s="56">
        <v>1143600</v>
      </c>
      <c r="AS65" s="56">
        <v>46</v>
      </c>
      <c r="AT65" s="56">
        <v>231531</v>
      </c>
      <c r="AU65" s="56">
        <v>0</v>
      </c>
      <c r="AV65" s="56">
        <v>0</v>
      </c>
      <c r="AW65" s="56">
        <v>0</v>
      </c>
      <c r="AX65" s="56">
        <v>0</v>
      </c>
      <c r="AY65" s="56">
        <v>0</v>
      </c>
      <c r="AZ65" s="1">
        <v>4323991.76</v>
      </c>
      <c r="BA65" s="1">
        <v>2205236</v>
      </c>
      <c r="BB65" s="69">
        <v>0</v>
      </c>
      <c r="BC65" s="69">
        <v>2827304</v>
      </c>
      <c r="BD65" s="69">
        <v>5543733</v>
      </c>
      <c r="BE65" s="69">
        <v>80770909</v>
      </c>
      <c r="BF65" s="69">
        <v>80770909</v>
      </c>
      <c r="BG65" s="69">
        <v>97507880</v>
      </c>
      <c r="BH65" s="69">
        <v>94276652</v>
      </c>
      <c r="BI65" s="69">
        <v>0</v>
      </c>
      <c r="BJ65" s="69">
        <v>0</v>
      </c>
      <c r="BK65" s="63"/>
      <c r="BL65" s="5">
        <v>794277095.78688526</v>
      </c>
      <c r="BM65" s="5">
        <v>522217838.78688526</v>
      </c>
      <c r="BN65" s="15">
        <v>541500</v>
      </c>
      <c r="BO65" s="3"/>
      <c r="BP65" s="5"/>
      <c r="BQ65" s="1"/>
      <c r="BR65" s="1"/>
      <c r="BS65" s="5"/>
      <c r="BT65" s="5"/>
    </row>
    <row r="66" spans="1:72" x14ac:dyDescent="0.25">
      <c r="A66" s="6" t="s">
        <v>120</v>
      </c>
      <c r="B66" s="56">
        <v>86576530</v>
      </c>
      <c r="C66" s="56">
        <v>41319947</v>
      </c>
      <c r="D66" s="56">
        <v>51944474</v>
      </c>
      <c r="E66" s="56">
        <v>0</v>
      </c>
      <c r="F66" s="56">
        <v>14045500</v>
      </c>
      <c r="G66" s="56">
        <v>9654603</v>
      </c>
      <c r="H66" s="56">
        <v>6131300</v>
      </c>
      <c r="I66" s="56">
        <v>2797078</v>
      </c>
      <c r="J66" s="56">
        <v>36000</v>
      </c>
      <c r="K66" s="56">
        <v>25002</v>
      </c>
      <c r="L66" s="56">
        <v>58689291</v>
      </c>
      <c r="M66" s="56">
        <v>29020869</v>
      </c>
      <c r="N66" s="56">
        <v>656</v>
      </c>
      <c r="O66" s="56">
        <v>487</v>
      </c>
      <c r="P66" s="56">
        <v>2011700</v>
      </c>
      <c r="Q66" s="56">
        <v>179000</v>
      </c>
      <c r="R66" s="56">
        <v>407750</v>
      </c>
      <c r="S66" s="56">
        <v>1515904</v>
      </c>
      <c r="T66" s="56">
        <v>362150</v>
      </c>
      <c r="U66" s="56">
        <v>78600</v>
      </c>
      <c r="V66" s="56">
        <v>2011700</v>
      </c>
      <c r="W66" s="56">
        <v>276000</v>
      </c>
      <c r="X66" s="56">
        <v>407750</v>
      </c>
      <c r="Y66" s="56">
        <v>1515904</v>
      </c>
      <c r="Z66" s="56">
        <v>417450</v>
      </c>
      <c r="AA66" s="56">
        <v>78600</v>
      </c>
      <c r="AB66" s="56">
        <v>-1749874</v>
      </c>
      <c r="AC66" s="56">
        <v>0</v>
      </c>
      <c r="AD66" s="56">
        <v>101337</v>
      </c>
      <c r="AE66" s="56">
        <v>0</v>
      </c>
      <c r="AF66" s="56">
        <v>0</v>
      </c>
      <c r="AG66" s="56">
        <v>107493</v>
      </c>
      <c r="AH66" s="56">
        <v>44049598.36065574</v>
      </c>
      <c r="AI66" s="56">
        <v>0</v>
      </c>
      <c r="AJ66" s="72">
        <v>0</v>
      </c>
      <c r="AK66" s="1">
        <v>33256856</v>
      </c>
      <c r="AL66" s="1">
        <v>666004</v>
      </c>
      <c r="AM66" s="56">
        <v>0</v>
      </c>
      <c r="AN66" s="56">
        <v>7778783</v>
      </c>
      <c r="AO66" s="56">
        <v>59320</v>
      </c>
      <c r="AP66" s="56">
        <v>847398</v>
      </c>
      <c r="AQ66" s="56">
        <v>3585965</v>
      </c>
      <c r="AR66" s="56">
        <v>692771</v>
      </c>
      <c r="AS66" s="56">
        <v>0</v>
      </c>
      <c r="AT66" s="56">
        <v>98293</v>
      </c>
      <c r="AU66" s="56">
        <v>0</v>
      </c>
      <c r="AV66" s="56">
        <v>0</v>
      </c>
      <c r="AW66" s="56">
        <v>0</v>
      </c>
      <c r="AX66" s="56">
        <v>0</v>
      </c>
      <c r="AY66" s="56">
        <v>40000</v>
      </c>
      <c r="AZ66" s="1">
        <v>1629515.73</v>
      </c>
      <c r="BA66" s="1">
        <v>831053</v>
      </c>
      <c r="BB66" s="69">
        <v>0</v>
      </c>
      <c r="BC66" s="69">
        <v>2029999</v>
      </c>
      <c r="BD66" s="69">
        <v>3980391</v>
      </c>
      <c r="BE66" s="69">
        <v>14111417</v>
      </c>
      <c r="BF66" s="69">
        <v>14111417</v>
      </c>
      <c r="BG66" s="69">
        <v>27878096</v>
      </c>
      <c r="BH66" s="69">
        <v>22656896</v>
      </c>
      <c r="BI66" s="69">
        <v>0</v>
      </c>
      <c r="BJ66" s="69">
        <v>0</v>
      </c>
      <c r="BK66" s="63"/>
      <c r="BL66" s="5">
        <v>308866842.36065573</v>
      </c>
      <c r="BM66" s="5">
        <v>235314617.36065573</v>
      </c>
      <c r="BN66" s="15">
        <v>160000</v>
      </c>
      <c r="BO66" s="3"/>
      <c r="BP66" s="5"/>
      <c r="BQ66" s="1"/>
      <c r="BR66" s="1"/>
      <c r="BS66" s="5"/>
      <c r="BT66" s="5"/>
    </row>
    <row r="67" spans="1:72" x14ac:dyDescent="0.25">
      <c r="A67" s="6" t="s">
        <v>121</v>
      </c>
      <c r="B67" s="40">
        <v>113574421</v>
      </c>
      <c r="C67" s="40">
        <v>55180907</v>
      </c>
      <c r="D67" s="40">
        <v>30673860</v>
      </c>
      <c r="E67" s="40">
        <v>0</v>
      </c>
      <c r="F67" s="40">
        <v>23022520</v>
      </c>
      <c r="G67" s="40">
        <v>22503602</v>
      </c>
      <c r="H67" s="40">
        <v>7414950</v>
      </c>
      <c r="I67" s="40">
        <v>3432661</v>
      </c>
      <c r="J67" s="40">
        <v>139500</v>
      </c>
      <c r="K67" s="40">
        <v>0</v>
      </c>
      <c r="L67" s="40">
        <v>43214234</v>
      </c>
      <c r="M67" s="40">
        <v>0</v>
      </c>
      <c r="N67" s="40">
        <v>1063</v>
      </c>
      <c r="O67" s="40">
        <v>971</v>
      </c>
      <c r="P67" s="40">
        <v>1269920</v>
      </c>
      <c r="Q67" s="40">
        <v>244100</v>
      </c>
      <c r="R67" s="40">
        <v>7500</v>
      </c>
      <c r="S67" s="40">
        <v>3424180</v>
      </c>
      <c r="T67" s="40">
        <v>386645</v>
      </c>
      <c r="U67" s="40">
        <v>342520</v>
      </c>
      <c r="V67" s="40">
        <v>1269920</v>
      </c>
      <c r="W67" s="40">
        <v>238850</v>
      </c>
      <c r="X67" s="40">
        <v>7500</v>
      </c>
      <c r="Y67" s="40">
        <v>3424180</v>
      </c>
      <c r="Z67" s="40">
        <v>373795</v>
      </c>
      <c r="AA67" s="40">
        <v>342520</v>
      </c>
      <c r="AB67" s="40">
        <v>-2210520</v>
      </c>
      <c r="AC67" s="40">
        <v>-28700</v>
      </c>
      <c r="AD67" s="40">
        <v>178251</v>
      </c>
      <c r="AE67" s="40">
        <v>0</v>
      </c>
      <c r="AF67" s="40">
        <v>0</v>
      </c>
      <c r="AG67" s="40">
        <v>189190</v>
      </c>
      <c r="AH67" s="40">
        <v>26240926.229508199</v>
      </c>
      <c r="AI67" s="40">
        <v>16538798.360655736</v>
      </c>
      <c r="AJ67" s="72">
        <v>187049846</v>
      </c>
      <c r="AK67" s="1">
        <v>66374007</v>
      </c>
      <c r="AL67" s="1">
        <v>2489130</v>
      </c>
      <c r="AM67" s="40">
        <v>0</v>
      </c>
      <c r="AN67" s="40">
        <v>34903386</v>
      </c>
      <c r="AO67" s="40">
        <v>11779407</v>
      </c>
      <c r="AP67" s="40">
        <v>3406595</v>
      </c>
      <c r="AQ67" s="40">
        <v>3407679</v>
      </c>
      <c r="AR67" s="40">
        <v>184051</v>
      </c>
      <c r="AS67" s="40">
        <v>0</v>
      </c>
      <c r="AT67" s="40">
        <v>0</v>
      </c>
      <c r="AU67" s="40">
        <v>0</v>
      </c>
      <c r="AV67" s="40">
        <v>0</v>
      </c>
      <c r="AW67" s="40">
        <v>0</v>
      </c>
      <c r="AX67" s="40">
        <v>0</v>
      </c>
      <c r="AY67" s="40">
        <v>0</v>
      </c>
      <c r="AZ67" s="1">
        <v>3252186.22</v>
      </c>
      <c r="BA67" s="1">
        <v>1658615</v>
      </c>
      <c r="BB67" s="69">
        <v>0</v>
      </c>
      <c r="BC67" s="69">
        <v>0</v>
      </c>
      <c r="BD67" s="69">
        <v>0</v>
      </c>
      <c r="BE67" s="69">
        <v>4660899</v>
      </c>
      <c r="BF67" s="69">
        <v>4660899</v>
      </c>
      <c r="BG67" s="69">
        <v>50320469.5</v>
      </c>
      <c r="BH67" s="69">
        <v>50241489</v>
      </c>
      <c r="BI67" s="69">
        <v>0</v>
      </c>
      <c r="BJ67" s="69">
        <v>0</v>
      </c>
      <c r="BK67" s="44"/>
      <c r="BL67" s="5">
        <v>604773370.59016395</v>
      </c>
      <c r="BM67" s="5">
        <v>479349230.59016395</v>
      </c>
      <c r="BN67" s="15">
        <v>542535</v>
      </c>
      <c r="BO67" s="3"/>
      <c r="BP67" s="5"/>
      <c r="BQ67" s="1"/>
      <c r="BR67" s="1"/>
      <c r="BS67" s="5"/>
      <c r="BT67" s="5"/>
    </row>
    <row r="68" spans="1:72" x14ac:dyDescent="0.25">
      <c r="A68" s="6" t="s">
        <v>122</v>
      </c>
      <c r="B68" s="56">
        <v>216190627</v>
      </c>
      <c r="C68" s="56">
        <v>46657386</v>
      </c>
      <c r="D68" s="56">
        <v>116954571</v>
      </c>
      <c r="E68" s="56">
        <v>0</v>
      </c>
      <c r="F68" s="56">
        <v>53275050</v>
      </c>
      <c r="G68" s="56">
        <v>27189569</v>
      </c>
      <c r="H68" s="56">
        <v>14509600</v>
      </c>
      <c r="I68" s="56">
        <v>4768050</v>
      </c>
      <c r="J68" s="56">
        <v>0</v>
      </c>
      <c r="K68" s="56">
        <v>0</v>
      </c>
      <c r="L68" s="56">
        <v>73281914</v>
      </c>
      <c r="M68" s="56">
        <v>56916</v>
      </c>
      <c r="N68" s="56">
        <v>2557</v>
      </c>
      <c r="O68" s="56">
        <v>1265</v>
      </c>
      <c r="P68" s="56">
        <v>1550400</v>
      </c>
      <c r="Q68" s="56">
        <v>0</v>
      </c>
      <c r="R68" s="56">
        <v>0</v>
      </c>
      <c r="S68" s="56">
        <v>427800</v>
      </c>
      <c r="T68" s="56">
        <v>35000</v>
      </c>
      <c r="U68" s="56">
        <v>17500</v>
      </c>
      <c r="V68" s="56">
        <v>1550400</v>
      </c>
      <c r="W68" s="56">
        <v>0</v>
      </c>
      <c r="X68" s="56">
        <v>427000</v>
      </c>
      <c r="Y68" s="56">
        <v>427800</v>
      </c>
      <c r="Z68" s="56">
        <v>125000</v>
      </c>
      <c r="AA68" s="56">
        <v>17500</v>
      </c>
      <c r="AB68" s="56">
        <v>-3748332</v>
      </c>
      <c r="AC68" s="56">
        <v>0</v>
      </c>
      <c r="AD68" s="56">
        <v>0</v>
      </c>
      <c r="AE68" s="56">
        <v>0</v>
      </c>
      <c r="AF68" s="56">
        <v>0</v>
      </c>
      <c r="AG68" s="56">
        <v>0</v>
      </c>
      <c r="AH68" s="56">
        <v>24716221.311475411</v>
      </c>
      <c r="AI68" s="56">
        <v>91868078.688524589</v>
      </c>
      <c r="AJ68" s="72">
        <v>196236857</v>
      </c>
      <c r="AK68" s="1">
        <v>129891423</v>
      </c>
      <c r="AL68" s="1">
        <v>3648669</v>
      </c>
      <c r="AM68" s="56">
        <v>0</v>
      </c>
      <c r="AN68" s="56">
        <v>101901244</v>
      </c>
      <c r="AO68" s="56">
        <v>4268021</v>
      </c>
      <c r="AP68" s="56">
        <v>17940467</v>
      </c>
      <c r="AQ68" s="56">
        <v>23139527</v>
      </c>
      <c r="AR68" s="56">
        <v>13078117</v>
      </c>
      <c r="AS68" s="56">
        <v>0</v>
      </c>
      <c r="AT68" s="56">
        <v>115744</v>
      </c>
      <c r="AU68" s="56">
        <v>0</v>
      </c>
      <c r="AV68" s="56">
        <v>0</v>
      </c>
      <c r="AW68" s="56">
        <v>0</v>
      </c>
      <c r="AX68" s="56">
        <v>23713</v>
      </c>
      <c r="AY68" s="56">
        <v>0</v>
      </c>
      <c r="AZ68" s="1">
        <v>6364405.5</v>
      </c>
      <c r="BA68" s="1">
        <v>3245847</v>
      </c>
      <c r="BB68" s="69">
        <v>0</v>
      </c>
      <c r="BC68" s="69">
        <v>2483607</v>
      </c>
      <c r="BD68" s="69">
        <v>4869817</v>
      </c>
      <c r="BE68" s="69">
        <v>35381730</v>
      </c>
      <c r="BF68" s="69">
        <v>35381730</v>
      </c>
      <c r="BG68" s="69">
        <v>137453675</v>
      </c>
      <c r="BH68" s="69">
        <v>134586349</v>
      </c>
      <c r="BI68" s="69">
        <v>0</v>
      </c>
      <c r="BJ68" s="69">
        <v>0</v>
      </c>
      <c r="BK68" s="63"/>
      <c r="BL68" s="5">
        <v>1131170158</v>
      </c>
      <c r="BM68" s="5">
        <v>821932533</v>
      </c>
      <c r="BN68" s="15">
        <v>151750</v>
      </c>
      <c r="BO68" s="3"/>
      <c r="BP68" s="5"/>
      <c r="BQ68" s="1"/>
      <c r="BR68" s="1"/>
      <c r="BS68" s="5"/>
      <c r="BT68" s="5"/>
    </row>
    <row r="69" spans="1:72" x14ac:dyDescent="0.25">
      <c r="A69" s="6" t="s">
        <v>123</v>
      </c>
      <c r="B69" s="56">
        <v>180756029</v>
      </c>
      <c r="C69" s="56">
        <v>108567740</v>
      </c>
      <c r="D69" s="56">
        <v>35277650</v>
      </c>
      <c r="E69" s="56">
        <v>0</v>
      </c>
      <c r="F69" s="56">
        <v>27142400</v>
      </c>
      <c r="G69" s="56">
        <v>11246600</v>
      </c>
      <c r="H69" s="56">
        <v>10500200</v>
      </c>
      <c r="I69" s="56">
        <v>1970350</v>
      </c>
      <c r="J69" s="56">
        <v>64400</v>
      </c>
      <c r="K69" s="56">
        <v>0</v>
      </c>
      <c r="L69" s="56">
        <v>158460160</v>
      </c>
      <c r="M69" s="56">
        <v>47317820</v>
      </c>
      <c r="N69" s="56">
        <v>1227</v>
      </c>
      <c r="O69" s="56">
        <v>472</v>
      </c>
      <c r="P69" s="56">
        <v>3432500</v>
      </c>
      <c r="Q69" s="56">
        <v>2378550</v>
      </c>
      <c r="R69" s="56">
        <v>1010500</v>
      </c>
      <c r="S69" s="56">
        <v>2236300</v>
      </c>
      <c r="T69" s="56">
        <v>995500</v>
      </c>
      <c r="U69" s="56">
        <v>275800</v>
      </c>
      <c r="V69" s="56">
        <v>3432500</v>
      </c>
      <c r="W69" s="56">
        <v>2503050</v>
      </c>
      <c r="X69" s="56">
        <v>1010500</v>
      </c>
      <c r="Y69" s="56">
        <v>2236300</v>
      </c>
      <c r="Z69" s="56">
        <v>1475500</v>
      </c>
      <c r="AA69" s="56">
        <v>275800</v>
      </c>
      <c r="AB69" s="56">
        <v>-1951410</v>
      </c>
      <c r="AC69" s="56">
        <v>0</v>
      </c>
      <c r="AD69" s="56">
        <v>194812</v>
      </c>
      <c r="AE69" s="56">
        <v>0</v>
      </c>
      <c r="AF69" s="56">
        <v>0</v>
      </c>
      <c r="AG69" s="56">
        <v>288830</v>
      </c>
      <c r="AH69" s="56">
        <v>0</v>
      </c>
      <c r="AI69" s="56">
        <v>61778.688524590172</v>
      </c>
      <c r="AJ69" s="72">
        <v>0</v>
      </c>
      <c r="AK69" s="1">
        <v>70437761</v>
      </c>
      <c r="AL69" s="1">
        <v>1054008</v>
      </c>
      <c r="AM69" s="56">
        <v>0</v>
      </c>
      <c r="AN69" s="56">
        <v>10006285</v>
      </c>
      <c r="AO69" s="56">
        <v>1540466</v>
      </c>
      <c r="AP69" s="56">
        <v>4698153</v>
      </c>
      <c r="AQ69" s="56">
        <v>4855857</v>
      </c>
      <c r="AR69" s="56">
        <v>630283</v>
      </c>
      <c r="AS69" s="56">
        <v>0</v>
      </c>
      <c r="AT69" s="56">
        <v>97823</v>
      </c>
      <c r="AU69" s="56">
        <v>0</v>
      </c>
      <c r="AV69" s="56">
        <v>0</v>
      </c>
      <c r="AW69" s="56">
        <v>0</v>
      </c>
      <c r="AX69" s="56">
        <v>0</v>
      </c>
      <c r="AY69" s="56">
        <v>28000</v>
      </c>
      <c r="AZ69" s="1">
        <v>3451301.58</v>
      </c>
      <c r="BA69" s="1">
        <v>1760164</v>
      </c>
      <c r="BB69" s="69">
        <v>43316062.176165804</v>
      </c>
      <c r="BC69" s="69">
        <v>2524292</v>
      </c>
      <c r="BD69" s="69">
        <v>4949592</v>
      </c>
      <c r="BE69" s="69">
        <v>54238184</v>
      </c>
      <c r="BF69" s="69">
        <v>54238184</v>
      </c>
      <c r="BG69" s="69">
        <v>54957010.5</v>
      </c>
      <c r="BH69" s="69">
        <v>45647104</v>
      </c>
      <c r="BI69" s="69">
        <v>0</v>
      </c>
      <c r="BJ69" s="69">
        <v>0</v>
      </c>
      <c r="BK69" s="63"/>
      <c r="BL69" s="5">
        <v>516727318.6885246</v>
      </c>
      <c r="BM69" s="5">
        <v>341065805.6885246</v>
      </c>
      <c r="BN69" s="15">
        <v>2048000</v>
      </c>
      <c r="BO69" s="3"/>
      <c r="BP69" s="5"/>
      <c r="BQ69" s="1"/>
      <c r="BR69" s="1"/>
      <c r="BS69" s="5"/>
      <c r="BT69" s="5"/>
    </row>
    <row r="70" spans="1:72" x14ac:dyDescent="0.25">
      <c r="A70" s="6" t="s">
        <v>124</v>
      </c>
      <c r="B70" s="56">
        <v>472460831</v>
      </c>
      <c r="C70" s="56">
        <v>168128852</v>
      </c>
      <c r="D70" s="56">
        <v>118087843</v>
      </c>
      <c r="E70" s="56">
        <v>0</v>
      </c>
      <c r="F70" s="56">
        <v>64817705</v>
      </c>
      <c r="G70" s="56">
        <v>17604290</v>
      </c>
      <c r="H70" s="56">
        <v>20639400</v>
      </c>
      <c r="I70" s="56">
        <v>2031970</v>
      </c>
      <c r="J70" s="56">
        <v>324000</v>
      </c>
      <c r="K70" s="56">
        <v>106000</v>
      </c>
      <c r="L70" s="56">
        <v>295461161</v>
      </c>
      <c r="M70" s="56">
        <v>111194985</v>
      </c>
      <c r="N70" s="56">
        <v>2639</v>
      </c>
      <c r="O70" s="56">
        <v>688</v>
      </c>
      <c r="P70" s="56">
        <v>3144080</v>
      </c>
      <c r="Q70" s="56">
        <v>2134750</v>
      </c>
      <c r="R70" s="56">
        <v>2019100</v>
      </c>
      <c r="S70" s="56">
        <v>6287192</v>
      </c>
      <c r="T70" s="56">
        <v>1593130</v>
      </c>
      <c r="U70" s="56">
        <v>483500</v>
      </c>
      <c r="V70" s="56">
        <v>3144080</v>
      </c>
      <c r="W70" s="56">
        <v>1771250</v>
      </c>
      <c r="X70" s="56">
        <v>2019100</v>
      </c>
      <c r="Y70" s="56">
        <v>6287192</v>
      </c>
      <c r="Z70" s="56">
        <v>666700</v>
      </c>
      <c r="AA70" s="56">
        <v>483500</v>
      </c>
      <c r="AB70" s="56">
        <v>-2406709</v>
      </c>
      <c r="AC70" s="56">
        <v>-574262</v>
      </c>
      <c r="AD70" s="56">
        <v>0</v>
      </c>
      <c r="AE70" s="56">
        <v>0</v>
      </c>
      <c r="AF70" s="56">
        <v>0</v>
      </c>
      <c r="AG70" s="56">
        <v>0</v>
      </c>
      <c r="AH70" s="56">
        <v>72229.508196721319</v>
      </c>
      <c r="AI70" s="56">
        <v>0</v>
      </c>
      <c r="AJ70" s="72">
        <v>0</v>
      </c>
      <c r="AK70" s="1">
        <v>99874593</v>
      </c>
      <c r="AL70" s="1">
        <v>3496562</v>
      </c>
      <c r="AM70" s="56">
        <v>0</v>
      </c>
      <c r="AN70" s="56">
        <v>10938126</v>
      </c>
      <c r="AO70" s="56">
        <v>2703952</v>
      </c>
      <c r="AP70" s="56">
        <v>17805434</v>
      </c>
      <c r="AQ70" s="56">
        <v>19840552</v>
      </c>
      <c r="AR70" s="56">
        <v>12586615</v>
      </c>
      <c r="AS70" s="56">
        <v>45823</v>
      </c>
      <c r="AT70" s="56">
        <v>6040553</v>
      </c>
      <c r="AU70" s="56">
        <v>0</v>
      </c>
      <c r="AV70" s="56">
        <v>0</v>
      </c>
      <c r="AW70" s="56">
        <v>14295</v>
      </c>
      <c r="AX70" s="56">
        <v>805053</v>
      </c>
      <c r="AY70" s="56">
        <v>0</v>
      </c>
      <c r="AZ70" s="1">
        <v>4893644.2</v>
      </c>
      <c r="BA70" s="1">
        <v>2495759</v>
      </c>
      <c r="BB70" s="69">
        <v>0</v>
      </c>
      <c r="BC70" s="69">
        <v>2178773</v>
      </c>
      <c r="BD70" s="69">
        <v>4272104</v>
      </c>
      <c r="BE70" s="69">
        <v>42024593</v>
      </c>
      <c r="BF70" s="69">
        <v>42024593</v>
      </c>
      <c r="BG70" s="69">
        <v>61547332</v>
      </c>
      <c r="BH70" s="69">
        <v>55678608</v>
      </c>
      <c r="BI70" s="69">
        <v>0</v>
      </c>
      <c r="BJ70" s="69">
        <v>0</v>
      </c>
      <c r="BK70" s="63"/>
      <c r="BL70" s="5">
        <v>997981273.50819671</v>
      </c>
      <c r="BM70" s="5">
        <v>792232385.50819671</v>
      </c>
      <c r="BN70" s="15"/>
      <c r="BO70" s="3"/>
      <c r="BP70" s="5"/>
      <c r="BQ70" s="1"/>
      <c r="BR70" s="1"/>
      <c r="BS70" s="5"/>
      <c r="BT70" s="5"/>
    </row>
    <row r="71" spans="1:72" x14ac:dyDescent="0.25">
      <c r="A71" s="6" t="s">
        <v>125</v>
      </c>
      <c r="B71" s="56">
        <v>237391509</v>
      </c>
      <c r="C71" s="56">
        <v>109134725</v>
      </c>
      <c r="D71" s="56">
        <v>87302563</v>
      </c>
      <c r="E71" s="56">
        <v>0</v>
      </c>
      <c r="F71" s="56">
        <v>28611700</v>
      </c>
      <c r="G71" s="56">
        <v>6479300</v>
      </c>
      <c r="H71" s="56">
        <v>8323800</v>
      </c>
      <c r="I71" s="56">
        <v>1298900</v>
      </c>
      <c r="J71" s="56">
        <v>72000</v>
      </c>
      <c r="K71" s="56">
        <v>0</v>
      </c>
      <c r="L71" s="56">
        <v>196194455</v>
      </c>
      <c r="M71" s="56">
        <v>63643350</v>
      </c>
      <c r="N71" s="56">
        <v>1107</v>
      </c>
      <c r="O71" s="56">
        <v>251</v>
      </c>
      <c r="P71" s="56">
        <v>2349305</v>
      </c>
      <c r="Q71" s="56">
        <v>2068548</v>
      </c>
      <c r="R71" s="56">
        <v>1334140</v>
      </c>
      <c r="S71" s="56">
        <v>2497670</v>
      </c>
      <c r="T71" s="56">
        <v>872728</v>
      </c>
      <c r="U71" s="56">
        <v>13950350</v>
      </c>
      <c r="V71" s="56">
        <v>2349305</v>
      </c>
      <c r="W71" s="56">
        <v>2060500</v>
      </c>
      <c r="X71" s="56">
        <v>1334140</v>
      </c>
      <c r="Y71" s="56">
        <v>2497670</v>
      </c>
      <c r="Z71" s="56">
        <v>2506150</v>
      </c>
      <c r="AA71" s="56">
        <v>13950350</v>
      </c>
      <c r="AB71" s="56">
        <v>-1666647</v>
      </c>
      <c r="AC71" s="56">
        <v>-56964</v>
      </c>
      <c r="AD71" s="56">
        <v>88690</v>
      </c>
      <c r="AE71" s="56">
        <v>0</v>
      </c>
      <c r="AF71" s="56">
        <v>0</v>
      </c>
      <c r="AG71" s="56">
        <v>176487</v>
      </c>
      <c r="AH71" s="56">
        <v>0</v>
      </c>
      <c r="AI71" s="56">
        <v>16762122.950819671</v>
      </c>
      <c r="AJ71" s="72">
        <v>0</v>
      </c>
      <c r="AK71" s="1">
        <v>73269457</v>
      </c>
      <c r="AL71" s="1">
        <v>4995120</v>
      </c>
      <c r="AM71" s="56">
        <v>12863022</v>
      </c>
      <c r="AN71" s="56">
        <v>61842468</v>
      </c>
      <c r="AO71" s="56">
        <v>1619795</v>
      </c>
      <c r="AP71" s="56">
        <v>77458847</v>
      </c>
      <c r="AQ71" s="56">
        <v>29443304</v>
      </c>
      <c r="AR71" s="56">
        <v>984672</v>
      </c>
      <c r="AS71" s="56">
        <v>22882697</v>
      </c>
      <c r="AT71" s="56">
        <v>433295</v>
      </c>
      <c r="AU71" s="56">
        <v>0</v>
      </c>
      <c r="AV71" s="56">
        <v>0</v>
      </c>
      <c r="AW71" s="56">
        <v>0</v>
      </c>
      <c r="AX71" s="56">
        <v>0</v>
      </c>
      <c r="AY71" s="56">
        <v>0</v>
      </c>
      <c r="AZ71" s="1">
        <v>3590048.71</v>
      </c>
      <c r="BA71" s="1">
        <v>1830925</v>
      </c>
      <c r="BB71" s="69">
        <v>77722797.927461147</v>
      </c>
      <c r="BC71" s="69">
        <v>346733</v>
      </c>
      <c r="BD71" s="69">
        <v>679869</v>
      </c>
      <c r="BE71" s="69">
        <v>8098883</v>
      </c>
      <c r="BF71" s="69">
        <v>7793369</v>
      </c>
      <c r="BG71" s="69">
        <v>23368486</v>
      </c>
      <c r="BH71" s="69">
        <v>23149184</v>
      </c>
      <c r="BI71" s="69">
        <v>0</v>
      </c>
      <c r="BJ71" s="69">
        <v>0</v>
      </c>
      <c r="BK71" s="63"/>
      <c r="BL71" s="5">
        <v>654881274.95081973</v>
      </c>
      <c r="BM71" s="5">
        <v>543496486.95081973</v>
      </c>
      <c r="BN71" s="15">
        <v>375401</v>
      </c>
      <c r="BO71" s="3"/>
      <c r="BP71" s="5"/>
      <c r="BQ71" s="1"/>
      <c r="BR71" s="1"/>
      <c r="BS71" s="5"/>
      <c r="BT71" s="5"/>
    </row>
    <row r="72" spans="1:72" x14ac:dyDescent="0.25">
      <c r="A72" s="6" t="s">
        <v>126</v>
      </c>
      <c r="B72" s="56">
        <v>570065692</v>
      </c>
      <c r="C72" s="56">
        <v>273706749</v>
      </c>
      <c r="D72" s="56">
        <v>198323646</v>
      </c>
      <c r="E72" s="56">
        <v>0</v>
      </c>
      <c r="F72" s="56">
        <v>65654025</v>
      </c>
      <c r="G72" s="56">
        <v>10613503</v>
      </c>
      <c r="H72" s="56">
        <v>14825355</v>
      </c>
      <c r="I72" s="56">
        <v>1007450</v>
      </c>
      <c r="J72" s="56">
        <v>173000</v>
      </c>
      <c r="K72" s="56">
        <v>0</v>
      </c>
      <c r="L72" s="56">
        <v>836551324</v>
      </c>
      <c r="M72" s="56">
        <v>74240110</v>
      </c>
      <c r="N72" s="56">
        <v>2385</v>
      </c>
      <c r="O72" s="56">
        <v>365</v>
      </c>
      <c r="P72" s="56">
        <v>6270187</v>
      </c>
      <c r="Q72" s="56">
        <v>4866950</v>
      </c>
      <c r="R72" s="56">
        <v>3862104</v>
      </c>
      <c r="S72" s="56">
        <v>5910575</v>
      </c>
      <c r="T72" s="56">
        <v>1903915</v>
      </c>
      <c r="U72" s="56">
        <v>369749</v>
      </c>
      <c r="V72" s="56">
        <v>6270187</v>
      </c>
      <c r="W72" s="56">
        <v>17449700</v>
      </c>
      <c r="X72" s="56">
        <v>3862104</v>
      </c>
      <c r="Y72" s="56">
        <v>5910575</v>
      </c>
      <c r="Z72" s="56">
        <v>3852638</v>
      </c>
      <c r="AA72" s="56">
        <v>369749</v>
      </c>
      <c r="AB72" s="56">
        <v>-1639942</v>
      </c>
      <c r="AC72" s="56">
        <v>-15184615</v>
      </c>
      <c r="AD72" s="56">
        <v>105357</v>
      </c>
      <c r="AE72" s="56">
        <v>0</v>
      </c>
      <c r="AF72" s="56">
        <v>602828271</v>
      </c>
      <c r="AG72" s="56">
        <v>319529</v>
      </c>
      <c r="AH72" s="56">
        <v>130729.50819672132</v>
      </c>
      <c r="AI72" s="56">
        <v>229647.54098360657</v>
      </c>
      <c r="AJ72" s="72">
        <v>0</v>
      </c>
      <c r="AK72" s="1">
        <v>157704888</v>
      </c>
      <c r="AL72" s="1">
        <v>4917456</v>
      </c>
      <c r="AM72" s="56">
        <v>0</v>
      </c>
      <c r="AN72" s="56">
        <v>38983319</v>
      </c>
      <c r="AO72" s="56">
        <v>13508560</v>
      </c>
      <c r="AP72" s="56">
        <v>410044128</v>
      </c>
      <c r="AQ72" s="56">
        <v>85833115</v>
      </c>
      <c r="AR72" s="56">
        <v>187388949</v>
      </c>
      <c r="AS72" s="56">
        <v>18549267</v>
      </c>
      <c r="AT72" s="56">
        <v>9156990</v>
      </c>
      <c r="AU72" s="56">
        <v>0</v>
      </c>
      <c r="AV72" s="56">
        <v>38165</v>
      </c>
      <c r="AW72" s="56">
        <v>37124</v>
      </c>
      <c r="AX72" s="56">
        <v>4883499</v>
      </c>
      <c r="AY72" s="56">
        <v>109684</v>
      </c>
      <c r="AZ72" s="1">
        <v>7727206.5700000003</v>
      </c>
      <c r="BA72" s="1">
        <v>3940875</v>
      </c>
      <c r="BB72" s="69">
        <v>0</v>
      </c>
      <c r="BC72" s="69">
        <v>2231603</v>
      </c>
      <c r="BD72" s="69">
        <v>4375692</v>
      </c>
      <c r="BE72" s="69">
        <v>14967565</v>
      </c>
      <c r="BF72" s="69">
        <v>14967565</v>
      </c>
      <c r="BG72" s="69">
        <v>56025455</v>
      </c>
      <c r="BH72" s="69">
        <v>53805204</v>
      </c>
      <c r="BI72" s="69">
        <v>0</v>
      </c>
      <c r="BJ72" s="69">
        <v>5503010</v>
      </c>
      <c r="BK72" s="63"/>
      <c r="BL72" s="5">
        <v>1423852059.0491803</v>
      </c>
      <c r="BM72" s="5">
        <v>1180781458.0491803</v>
      </c>
      <c r="BN72" s="15">
        <v>3675392</v>
      </c>
      <c r="BO72" s="3"/>
      <c r="BP72" s="5"/>
      <c r="BQ72" s="1"/>
      <c r="BR72" s="1"/>
      <c r="BS72" s="5"/>
      <c r="BT72" s="5"/>
    </row>
    <row r="73" spans="1:72" x14ac:dyDescent="0.25">
      <c r="A73" s="6" t="s">
        <v>127</v>
      </c>
      <c r="B73" s="56">
        <v>439515909</v>
      </c>
      <c r="C73" s="56">
        <v>58022490</v>
      </c>
      <c r="D73" s="56">
        <v>80178659</v>
      </c>
      <c r="E73" s="56">
        <v>0</v>
      </c>
      <c r="F73" s="56">
        <v>30249110</v>
      </c>
      <c r="G73" s="56">
        <v>4928425</v>
      </c>
      <c r="H73" s="56">
        <v>5959727</v>
      </c>
      <c r="I73" s="56">
        <v>703050</v>
      </c>
      <c r="J73" s="56">
        <v>72000</v>
      </c>
      <c r="K73" s="56">
        <v>0</v>
      </c>
      <c r="L73" s="56">
        <v>149289832</v>
      </c>
      <c r="M73" s="56">
        <v>38988925</v>
      </c>
      <c r="N73" s="56">
        <v>1077</v>
      </c>
      <c r="O73" s="56">
        <v>176</v>
      </c>
      <c r="P73" s="56">
        <v>1357000</v>
      </c>
      <c r="Q73" s="56">
        <v>688000</v>
      </c>
      <c r="R73" s="56">
        <v>395000</v>
      </c>
      <c r="S73" s="56">
        <v>3056974</v>
      </c>
      <c r="T73" s="56">
        <v>611367</v>
      </c>
      <c r="U73" s="56">
        <v>406640</v>
      </c>
      <c r="V73" s="56">
        <v>1357000</v>
      </c>
      <c r="W73" s="56">
        <v>616000</v>
      </c>
      <c r="X73" s="56">
        <v>395000</v>
      </c>
      <c r="Y73" s="56">
        <v>3056974</v>
      </c>
      <c r="Z73" s="56">
        <v>1403028</v>
      </c>
      <c r="AA73" s="56">
        <v>406640</v>
      </c>
      <c r="AB73" s="56">
        <v>-1085950</v>
      </c>
      <c r="AC73" s="56">
        <v>-2074490</v>
      </c>
      <c r="AD73" s="56">
        <v>0</v>
      </c>
      <c r="AE73" s="56">
        <v>0</v>
      </c>
      <c r="AF73" s="56">
        <v>0</v>
      </c>
      <c r="AG73" s="56">
        <v>27705</v>
      </c>
      <c r="AH73" s="56">
        <v>0</v>
      </c>
      <c r="AI73" s="56">
        <v>0</v>
      </c>
      <c r="AJ73" s="72">
        <v>0</v>
      </c>
      <c r="AK73" s="1">
        <v>57188085</v>
      </c>
      <c r="AL73" s="1">
        <v>12636803</v>
      </c>
      <c r="AM73" s="56">
        <v>4426806</v>
      </c>
      <c r="AN73" s="56">
        <v>10763988</v>
      </c>
      <c r="AO73" s="56">
        <v>570118</v>
      </c>
      <c r="AP73" s="56">
        <v>4624030</v>
      </c>
      <c r="AQ73" s="56">
        <v>6781455</v>
      </c>
      <c r="AR73" s="56">
        <v>5765376</v>
      </c>
      <c r="AS73" s="56">
        <v>22933270</v>
      </c>
      <c r="AT73" s="56">
        <v>14508</v>
      </c>
      <c r="AU73" s="56">
        <v>0</v>
      </c>
      <c r="AV73" s="56">
        <v>76064</v>
      </c>
      <c r="AW73" s="56">
        <v>0</v>
      </c>
      <c r="AX73" s="56">
        <v>7653</v>
      </c>
      <c r="AY73" s="56">
        <v>0</v>
      </c>
      <c r="AZ73" s="1">
        <v>2802095.43</v>
      </c>
      <c r="BA73" s="1">
        <v>1429069</v>
      </c>
      <c r="BB73" s="69">
        <v>32733160.621761661</v>
      </c>
      <c r="BC73" s="69">
        <v>908429</v>
      </c>
      <c r="BD73" s="69">
        <v>1781234</v>
      </c>
      <c r="BE73" s="69">
        <v>10297435</v>
      </c>
      <c r="BF73" s="69">
        <v>8717611</v>
      </c>
      <c r="BG73" s="69">
        <v>17475105.5</v>
      </c>
      <c r="BH73" s="69">
        <v>16682340</v>
      </c>
      <c r="BI73" s="69">
        <v>0</v>
      </c>
      <c r="BJ73" s="69">
        <v>0</v>
      </c>
      <c r="BK73" s="63"/>
      <c r="BL73" s="5">
        <v>693394956</v>
      </c>
      <c r="BM73" s="5">
        <v>595832619</v>
      </c>
      <c r="BN73" s="15">
        <v>676625</v>
      </c>
      <c r="BO73" s="3"/>
      <c r="BP73" s="5"/>
      <c r="BQ73" s="1"/>
      <c r="BR73" s="1"/>
      <c r="BS73" s="5"/>
      <c r="BT73" s="5"/>
    </row>
    <row r="74" spans="1:72" x14ac:dyDescent="0.25">
      <c r="A74" s="6" t="s">
        <v>128</v>
      </c>
      <c r="B74" s="56">
        <v>2282767967</v>
      </c>
      <c r="C74" s="56">
        <v>128854886</v>
      </c>
      <c r="D74" s="56">
        <v>1081606589</v>
      </c>
      <c r="E74" s="56">
        <v>0</v>
      </c>
      <c r="F74" s="56">
        <v>187621760</v>
      </c>
      <c r="G74" s="56">
        <v>25956964</v>
      </c>
      <c r="H74" s="56">
        <v>10299396</v>
      </c>
      <c r="I74" s="56">
        <v>814438</v>
      </c>
      <c r="J74" s="56">
        <v>435400</v>
      </c>
      <c r="K74" s="56">
        <v>36000</v>
      </c>
      <c r="L74" s="56">
        <v>190429480</v>
      </c>
      <c r="M74" s="56">
        <v>0</v>
      </c>
      <c r="N74" s="56">
        <v>5862</v>
      </c>
      <c r="O74" s="56">
        <v>857</v>
      </c>
      <c r="P74" s="56">
        <v>24118700</v>
      </c>
      <c r="Q74" s="56">
        <v>3142225</v>
      </c>
      <c r="R74" s="56">
        <v>12085380</v>
      </c>
      <c r="S74" s="56">
        <v>17548969</v>
      </c>
      <c r="T74" s="56">
        <v>1526984</v>
      </c>
      <c r="U74" s="56">
        <v>12323163</v>
      </c>
      <c r="V74" s="56">
        <v>24118700</v>
      </c>
      <c r="W74" s="56">
        <v>4329511</v>
      </c>
      <c r="X74" s="56">
        <v>12085380</v>
      </c>
      <c r="Y74" s="56">
        <v>17548969</v>
      </c>
      <c r="Z74" s="56">
        <v>2337722</v>
      </c>
      <c r="AA74" s="56">
        <v>12323163</v>
      </c>
      <c r="AB74" s="56">
        <v>-17292815</v>
      </c>
      <c r="AC74" s="56">
        <v>-38760107</v>
      </c>
      <c r="AD74" s="56">
        <v>0</v>
      </c>
      <c r="AE74" s="56">
        <v>0</v>
      </c>
      <c r="AF74" s="56">
        <v>0</v>
      </c>
      <c r="AG74" s="56">
        <v>0</v>
      </c>
      <c r="AH74" s="56">
        <v>0</v>
      </c>
      <c r="AI74" s="56">
        <v>820524.59016393451</v>
      </c>
      <c r="AJ74" s="72">
        <v>0</v>
      </c>
      <c r="AK74" s="1">
        <v>471898138</v>
      </c>
      <c r="AL74" s="1">
        <v>13144309</v>
      </c>
      <c r="AM74" s="56">
        <v>50000</v>
      </c>
      <c r="AN74" s="56">
        <v>236582539</v>
      </c>
      <c r="AO74" s="56">
        <v>21998650</v>
      </c>
      <c r="AP74" s="56">
        <v>63158480</v>
      </c>
      <c r="AQ74" s="56">
        <v>548904575</v>
      </c>
      <c r="AR74" s="56">
        <v>1511741799</v>
      </c>
      <c r="AS74" s="56">
        <v>715929915</v>
      </c>
      <c r="AT74" s="56">
        <v>3499058</v>
      </c>
      <c r="AU74" s="56">
        <v>0</v>
      </c>
      <c r="AV74" s="56">
        <v>0</v>
      </c>
      <c r="AW74" s="56">
        <v>0</v>
      </c>
      <c r="AX74" s="56">
        <v>880879</v>
      </c>
      <c r="AY74" s="56">
        <v>11934590</v>
      </c>
      <c r="AZ74" s="1">
        <v>23122012.5</v>
      </c>
      <c r="BA74" s="1">
        <v>11792226</v>
      </c>
      <c r="BB74" s="69">
        <v>31601036.269430052</v>
      </c>
      <c r="BC74" s="69">
        <v>4471707</v>
      </c>
      <c r="BD74" s="69">
        <v>8768053</v>
      </c>
      <c r="BE74" s="69">
        <v>70740253</v>
      </c>
      <c r="BF74" s="69">
        <v>60625130</v>
      </c>
      <c r="BG74" s="69">
        <v>143238456</v>
      </c>
      <c r="BH74" s="69">
        <v>121187636</v>
      </c>
      <c r="BI74" s="69">
        <v>0</v>
      </c>
      <c r="BJ74" s="69">
        <v>67136052</v>
      </c>
      <c r="BK74" s="63"/>
      <c r="BL74" s="5">
        <v>5051790928.5901642</v>
      </c>
      <c r="BM74" s="5">
        <v>4301535730.5901642</v>
      </c>
      <c r="BN74" s="15">
        <v>3070098</v>
      </c>
      <c r="BO74" s="3"/>
      <c r="BP74" s="5"/>
      <c r="BQ74" s="1"/>
      <c r="BR74" s="1"/>
      <c r="BS74" s="5"/>
      <c r="BT74" s="5"/>
    </row>
    <row r="75" spans="1:72" x14ac:dyDescent="0.25">
      <c r="A75" s="6" t="s">
        <v>129</v>
      </c>
      <c r="B75" s="56">
        <v>208087751</v>
      </c>
      <c r="C75" s="56">
        <v>53152953</v>
      </c>
      <c r="D75" s="56">
        <v>86602335</v>
      </c>
      <c r="E75" s="56">
        <v>0</v>
      </c>
      <c r="F75" s="56">
        <v>40419500</v>
      </c>
      <c r="G75" s="56">
        <v>22366250</v>
      </c>
      <c r="H75" s="56">
        <v>6928000</v>
      </c>
      <c r="I75" s="56">
        <v>2224600</v>
      </c>
      <c r="J75" s="56">
        <v>128000</v>
      </c>
      <c r="K75" s="56">
        <v>36000</v>
      </c>
      <c r="L75" s="56">
        <v>32278052</v>
      </c>
      <c r="M75" s="56">
        <v>0</v>
      </c>
      <c r="N75" s="56">
        <v>1494</v>
      </c>
      <c r="O75" s="56">
        <v>829</v>
      </c>
      <c r="P75" s="56">
        <v>1830300</v>
      </c>
      <c r="Q75" s="56">
        <v>23000</v>
      </c>
      <c r="R75" s="56">
        <v>675000</v>
      </c>
      <c r="S75" s="56">
        <v>2702800</v>
      </c>
      <c r="T75" s="56">
        <v>2166000</v>
      </c>
      <c r="U75" s="56">
        <v>1062950</v>
      </c>
      <c r="V75" s="56">
        <v>1830300</v>
      </c>
      <c r="W75" s="56">
        <v>27800</v>
      </c>
      <c r="X75" s="56">
        <v>675000</v>
      </c>
      <c r="Y75" s="56">
        <v>2702800</v>
      </c>
      <c r="Z75" s="56">
        <v>2550900</v>
      </c>
      <c r="AA75" s="56">
        <v>1062950</v>
      </c>
      <c r="AB75" s="56">
        <v>-707000</v>
      </c>
      <c r="AC75" s="56">
        <v>0</v>
      </c>
      <c r="AD75" s="56">
        <v>33459</v>
      </c>
      <c r="AE75" s="56">
        <v>0</v>
      </c>
      <c r="AF75" s="56">
        <v>0</v>
      </c>
      <c r="AG75" s="56">
        <v>66795</v>
      </c>
      <c r="AH75" s="56">
        <v>323327.86885245901</v>
      </c>
      <c r="AI75" s="56">
        <v>578736.88524590165</v>
      </c>
      <c r="AJ75" s="72">
        <v>1097950.8196721312</v>
      </c>
      <c r="AK75" s="1">
        <v>57871373</v>
      </c>
      <c r="AL75" s="1">
        <v>1853668</v>
      </c>
      <c r="AM75" s="56">
        <v>0</v>
      </c>
      <c r="AN75" s="56">
        <v>6950661</v>
      </c>
      <c r="AO75" s="56">
        <v>84347</v>
      </c>
      <c r="AP75" s="56">
        <v>5369359</v>
      </c>
      <c r="AQ75" s="56">
        <v>7216185</v>
      </c>
      <c r="AR75" s="56">
        <v>4762623</v>
      </c>
      <c r="AS75" s="56">
        <v>128</v>
      </c>
      <c r="AT75" s="56">
        <v>778847</v>
      </c>
      <c r="AU75" s="56">
        <v>0</v>
      </c>
      <c r="AV75" s="56">
        <v>0</v>
      </c>
      <c r="AW75" s="56">
        <v>0</v>
      </c>
      <c r="AX75" s="56">
        <v>10382</v>
      </c>
      <c r="AY75" s="56">
        <v>14000</v>
      </c>
      <c r="AZ75" s="1">
        <v>2835575.1</v>
      </c>
      <c r="BA75" s="1">
        <v>1446143</v>
      </c>
      <c r="BB75" s="69">
        <v>0</v>
      </c>
      <c r="BC75" s="69">
        <v>3268159</v>
      </c>
      <c r="BD75" s="69">
        <v>6408156</v>
      </c>
      <c r="BE75" s="69">
        <v>33452940</v>
      </c>
      <c r="BF75" s="69">
        <v>33452940</v>
      </c>
      <c r="BG75" s="69">
        <v>43109952.5</v>
      </c>
      <c r="BH75" s="69">
        <v>36187272</v>
      </c>
      <c r="BI75" s="69">
        <v>0</v>
      </c>
      <c r="BJ75" s="69">
        <v>0</v>
      </c>
      <c r="BK75" s="63"/>
      <c r="BL75" s="5">
        <v>498173802.57377046</v>
      </c>
      <c r="BM75" s="5">
        <v>364094247.57377046</v>
      </c>
      <c r="BN75" s="15">
        <v>617100</v>
      </c>
      <c r="BO75" s="3"/>
      <c r="BP75" s="5"/>
      <c r="BQ75" s="1"/>
      <c r="BR75" s="1"/>
      <c r="BS75" s="5"/>
      <c r="BT75" s="5"/>
    </row>
    <row r="76" spans="1:72" x14ac:dyDescent="0.25">
      <c r="A76" s="6" t="s">
        <v>130</v>
      </c>
      <c r="B76" s="40">
        <v>172887172</v>
      </c>
      <c r="C76" s="40">
        <v>143153950</v>
      </c>
      <c r="D76" s="40">
        <v>45697269</v>
      </c>
      <c r="E76" s="40">
        <v>0</v>
      </c>
      <c r="F76" s="40">
        <v>25992600</v>
      </c>
      <c r="G76" s="40">
        <v>6896924</v>
      </c>
      <c r="H76" s="40">
        <v>6244875</v>
      </c>
      <c r="I76" s="40">
        <v>421100</v>
      </c>
      <c r="J76" s="40">
        <v>0</v>
      </c>
      <c r="K76" s="40">
        <v>0</v>
      </c>
      <c r="L76" s="40">
        <v>248987544</v>
      </c>
      <c r="M76" s="40">
        <v>3975092</v>
      </c>
      <c r="N76" s="40">
        <v>995</v>
      </c>
      <c r="O76" s="40">
        <v>244</v>
      </c>
      <c r="P76" s="40">
        <v>181000</v>
      </c>
      <c r="Q76" s="40">
        <v>64800</v>
      </c>
      <c r="R76" s="40">
        <v>0</v>
      </c>
      <c r="S76" s="40">
        <v>676679</v>
      </c>
      <c r="T76" s="40">
        <v>120600</v>
      </c>
      <c r="U76" s="40">
        <v>109663</v>
      </c>
      <c r="V76" s="40">
        <v>97500</v>
      </c>
      <c r="W76" s="40">
        <v>101800</v>
      </c>
      <c r="X76" s="40">
        <v>0</v>
      </c>
      <c r="Y76" s="40">
        <v>48175</v>
      </c>
      <c r="Z76" s="40">
        <v>116349</v>
      </c>
      <c r="AA76" s="40">
        <v>13500</v>
      </c>
      <c r="AB76" s="40">
        <v>-2298700</v>
      </c>
      <c r="AC76" s="40">
        <v>-113610</v>
      </c>
      <c r="AD76" s="40">
        <v>16012</v>
      </c>
      <c r="AE76" s="40">
        <v>3023</v>
      </c>
      <c r="AF76" s="40">
        <v>6289757</v>
      </c>
      <c r="AG76" s="40">
        <v>154453</v>
      </c>
      <c r="AH76" s="40">
        <v>8951188.5245901644</v>
      </c>
      <c r="AI76" s="40">
        <v>25244.262295081968</v>
      </c>
      <c r="AJ76" s="72">
        <v>718737.70491803286</v>
      </c>
      <c r="AK76" s="1">
        <v>65056029</v>
      </c>
      <c r="AL76" s="1">
        <v>2340996</v>
      </c>
      <c r="AM76" s="40">
        <v>0</v>
      </c>
      <c r="AN76" s="40">
        <v>13375588</v>
      </c>
      <c r="AO76" s="40">
        <v>1274471</v>
      </c>
      <c r="AP76" s="40">
        <v>12026752</v>
      </c>
      <c r="AQ76" s="40">
        <v>11398100</v>
      </c>
      <c r="AR76" s="40">
        <v>14553414</v>
      </c>
      <c r="AS76" s="40">
        <v>0</v>
      </c>
      <c r="AT76" s="40">
        <v>3741593</v>
      </c>
      <c r="AU76" s="40">
        <v>0</v>
      </c>
      <c r="AV76" s="40">
        <v>12149996</v>
      </c>
      <c r="AW76" s="40">
        <v>2577137</v>
      </c>
      <c r="AX76" s="40">
        <v>0</v>
      </c>
      <c r="AY76" s="40">
        <v>66000</v>
      </c>
      <c r="AZ76" s="1">
        <v>3187608.08</v>
      </c>
      <c r="BA76" s="1">
        <v>1625680</v>
      </c>
      <c r="BB76" s="69">
        <v>14077720.207253886</v>
      </c>
      <c r="BC76" s="69">
        <v>0</v>
      </c>
      <c r="BD76" s="69">
        <v>0</v>
      </c>
      <c r="BE76" s="69">
        <v>6736602</v>
      </c>
      <c r="BF76" s="69">
        <v>6736602</v>
      </c>
      <c r="BG76" s="69">
        <v>22700041.5</v>
      </c>
      <c r="BH76" s="69">
        <v>22700042</v>
      </c>
      <c r="BI76" s="69">
        <v>0</v>
      </c>
      <c r="BJ76" s="69">
        <v>0</v>
      </c>
      <c r="BK76" s="44"/>
      <c r="BL76" s="5">
        <v>495941069.49180323</v>
      </c>
      <c r="BM76" s="5">
        <v>397481720.49180323</v>
      </c>
      <c r="BN76" s="15">
        <v>576345</v>
      </c>
      <c r="BO76" s="3"/>
      <c r="BP76" s="5"/>
      <c r="BQ76" s="1"/>
      <c r="BR76" s="1"/>
      <c r="BS76" s="5"/>
      <c r="BT76" s="5"/>
    </row>
    <row r="77" spans="1:72" x14ac:dyDescent="0.25">
      <c r="A77" s="6" t="s">
        <v>131</v>
      </c>
      <c r="B77" s="56">
        <v>2959271686</v>
      </c>
      <c r="C77" s="56">
        <v>252160828</v>
      </c>
      <c r="D77" s="56">
        <v>1004768696</v>
      </c>
      <c r="E77" s="56">
        <v>0</v>
      </c>
      <c r="F77" s="56">
        <v>193181577</v>
      </c>
      <c r="G77" s="56">
        <v>26526943</v>
      </c>
      <c r="H77" s="56">
        <v>19079833</v>
      </c>
      <c r="I77" s="56">
        <v>1781900</v>
      </c>
      <c r="J77" s="56">
        <v>468000</v>
      </c>
      <c r="K77" s="56">
        <v>36000</v>
      </c>
      <c r="L77" s="56">
        <v>395470897</v>
      </c>
      <c r="M77" s="56">
        <v>178175199</v>
      </c>
      <c r="N77" s="56">
        <v>6116</v>
      </c>
      <c r="O77" s="56">
        <v>861</v>
      </c>
      <c r="P77" s="56">
        <v>41175583</v>
      </c>
      <c r="Q77" s="56">
        <v>8421655</v>
      </c>
      <c r="R77" s="56">
        <v>6572400</v>
      </c>
      <c r="S77" s="56">
        <v>36500623</v>
      </c>
      <c r="T77" s="56">
        <v>2979121</v>
      </c>
      <c r="U77" s="56">
        <v>8358294</v>
      </c>
      <c r="V77" s="56">
        <v>41175583</v>
      </c>
      <c r="W77" s="56">
        <v>9959360</v>
      </c>
      <c r="X77" s="56">
        <v>6572400</v>
      </c>
      <c r="Y77" s="56">
        <v>36500623</v>
      </c>
      <c r="Z77" s="56">
        <v>5969985</v>
      </c>
      <c r="AA77" s="56">
        <v>8358294</v>
      </c>
      <c r="AB77" s="56">
        <v>-6363571</v>
      </c>
      <c r="AC77" s="56">
        <v>-30717</v>
      </c>
      <c r="AD77" s="56">
        <v>2327</v>
      </c>
      <c r="AE77" s="56">
        <v>11445</v>
      </c>
      <c r="AF77" s="56">
        <v>85390359</v>
      </c>
      <c r="AG77" s="56">
        <v>244327</v>
      </c>
      <c r="AH77" s="56">
        <v>0</v>
      </c>
      <c r="AI77" s="56">
        <v>1088663.9344262297</v>
      </c>
      <c r="AJ77" s="72">
        <v>0</v>
      </c>
      <c r="AK77" s="1">
        <v>484669364</v>
      </c>
      <c r="AL77" s="1">
        <v>10969514</v>
      </c>
      <c r="AM77" s="56">
        <v>126315</v>
      </c>
      <c r="AN77" s="56">
        <v>133756790</v>
      </c>
      <c r="AO77" s="56">
        <v>21332577</v>
      </c>
      <c r="AP77" s="56">
        <v>470651568</v>
      </c>
      <c r="AQ77" s="56">
        <v>141778064</v>
      </c>
      <c r="AR77" s="56">
        <v>144343062</v>
      </c>
      <c r="AS77" s="56">
        <v>58511040</v>
      </c>
      <c r="AT77" s="56">
        <v>85977779</v>
      </c>
      <c r="AU77" s="56">
        <v>0</v>
      </c>
      <c r="AV77" s="56">
        <v>0</v>
      </c>
      <c r="AW77" s="56">
        <v>431124</v>
      </c>
      <c r="AX77" s="56">
        <v>238890</v>
      </c>
      <c r="AY77" s="56">
        <v>601450</v>
      </c>
      <c r="AZ77" s="1">
        <v>23747775.620000001</v>
      </c>
      <c r="BA77" s="1">
        <v>12111366</v>
      </c>
      <c r="BB77" s="69">
        <v>0</v>
      </c>
      <c r="BC77" s="69">
        <v>1787104</v>
      </c>
      <c r="BD77" s="69">
        <v>3504125</v>
      </c>
      <c r="BE77" s="69">
        <v>47956930</v>
      </c>
      <c r="BF77" s="69">
        <v>47956930</v>
      </c>
      <c r="BG77" s="69">
        <v>107491108</v>
      </c>
      <c r="BH77" s="69">
        <v>102835911</v>
      </c>
      <c r="BI77" s="69">
        <v>0</v>
      </c>
      <c r="BJ77" s="69">
        <v>0</v>
      </c>
      <c r="BK77" s="63"/>
      <c r="BL77" s="5">
        <v>5174487493.9344263</v>
      </c>
      <c r="BM77" s="5">
        <v>4514157304.9344263</v>
      </c>
      <c r="BN77" s="15">
        <v>3067810</v>
      </c>
      <c r="BO77" s="3"/>
      <c r="BP77" s="5"/>
      <c r="BQ77" s="1"/>
      <c r="BR77" s="1"/>
      <c r="BS77" s="5"/>
      <c r="BT77" s="5"/>
    </row>
    <row r="78" spans="1:72" x14ac:dyDescent="0.25">
      <c r="A78" s="6" t="s">
        <v>132</v>
      </c>
      <c r="B78" s="56">
        <v>107586400</v>
      </c>
      <c r="C78" s="56">
        <v>47075536</v>
      </c>
      <c r="D78" s="56">
        <v>36510514</v>
      </c>
      <c r="E78" s="56">
        <v>0</v>
      </c>
      <c r="F78" s="56">
        <v>20078300</v>
      </c>
      <c r="G78" s="56">
        <v>22905410</v>
      </c>
      <c r="H78" s="56">
        <v>9303871</v>
      </c>
      <c r="I78" s="56">
        <v>6971490</v>
      </c>
      <c r="J78" s="56">
        <v>15000</v>
      </c>
      <c r="K78" s="56">
        <v>0</v>
      </c>
      <c r="L78" s="56">
        <v>76813910</v>
      </c>
      <c r="M78" s="56">
        <v>36389350</v>
      </c>
      <c r="N78" s="56">
        <v>973</v>
      </c>
      <c r="O78" s="56">
        <v>1131</v>
      </c>
      <c r="P78" s="56">
        <v>598500</v>
      </c>
      <c r="Q78" s="56">
        <v>329400</v>
      </c>
      <c r="R78" s="56">
        <v>0</v>
      </c>
      <c r="S78" s="56">
        <v>2012150</v>
      </c>
      <c r="T78" s="56">
        <v>222800</v>
      </c>
      <c r="U78" s="56">
        <v>261000</v>
      </c>
      <c r="V78" s="56">
        <v>598500</v>
      </c>
      <c r="W78" s="56">
        <v>357200</v>
      </c>
      <c r="X78" s="56">
        <v>0</v>
      </c>
      <c r="Y78" s="56">
        <v>2012150</v>
      </c>
      <c r="Z78" s="56">
        <v>314700</v>
      </c>
      <c r="AA78" s="56">
        <v>261000</v>
      </c>
      <c r="AB78" s="56">
        <v>-2048841</v>
      </c>
      <c r="AC78" s="56">
        <v>0</v>
      </c>
      <c r="AD78" s="56">
        <v>147762</v>
      </c>
      <c r="AE78" s="56">
        <v>0</v>
      </c>
      <c r="AF78" s="56">
        <v>0</v>
      </c>
      <c r="AG78" s="56">
        <v>190906</v>
      </c>
      <c r="AH78" s="56">
        <v>8924409.8360655755</v>
      </c>
      <c r="AI78" s="56">
        <v>5597564.7540983614</v>
      </c>
      <c r="AJ78" s="72">
        <v>43036385.245901644</v>
      </c>
      <c r="AK78" s="1">
        <v>72096203</v>
      </c>
      <c r="AL78" s="1">
        <v>1829968</v>
      </c>
      <c r="AM78" s="56">
        <v>0</v>
      </c>
      <c r="AN78" s="56">
        <v>36977663</v>
      </c>
      <c r="AO78" s="56">
        <v>249230</v>
      </c>
      <c r="AP78" s="56">
        <v>7555809</v>
      </c>
      <c r="AQ78" s="56">
        <v>12371109</v>
      </c>
      <c r="AR78" s="56">
        <v>2434816</v>
      </c>
      <c r="AS78" s="56">
        <v>0</v>
      </c>
      <c r="AT78" s="56">
        <v>26560</v>
      </c>
      <c r="AU78" s="56">
        <v>0</v>
      </c>
      <c r="AV78" s="56">
        <v>0</v>
      </c>
      <c r="AW78" s="56">
        <v>0</v>
      </c>
      <c r="AX78" s="56">
        <v>60433</v>
      </c>
      <c r="AY78" s="56">
        <v>0</v>
      </c>
      <c r="AZ78" s="1">
        <v>3532561.74</v>
      </c>
      <c r="BA78" s="1">
        <v>1801606</v>
      </c>
      <c r="BB78" s="69">
        <v>0</v>
      </c>
      <c r="BC78" s="69">
        <v>0</v>
      </c>
      <c r="BD78" s="69">
        <v>0</v>
      </c>
      <c r="BE78" s="69">
        <v>1092868</v>
      </c>
      <c r="BF78" s="69">
        <v>1092868</v>
      </c>
      <c r="BG78" s="69">
        <v>43513792</v>
      </c>
      <c r="BH78" s="69">
        <v>43467474</v>
      </c>
      <c r="BI78" s="69">
        <v>0</v>
      </c>
      <c r="BJ78" s="69">
        <v>0</v>
      </c>
      <c r="BK78" s="63"/>
      <c r="BL78" s="5">
        <v>418616930.83606559</v>
      </c>
      <c r="BM78" s="5">
        <v>298328811.83606559</v>
      </c>
      <c r="BN78" s="15">
        <v>273314</v>
      </c>
      <c r="BO78" s="3"/>
      <c r="BP78" s="5"/>
      <c r="BQ78" s="1"/>
      <c r="BR78" s="1"/>
      <c r="BS78" s="5"/>
      <c r="BT78" s="5"/>
    </row>
    <row r="79" spans="1:72" x14ac:dyDescent="0.25">
      <c r="A79" s="6" t="s">
        <v>133</v>
      </c>
      <c r="B79" s="56">
        <v>426492740</v>
      </c>
      <c r="C79" s="56">
        <v>184179116</v>
      </c>
      <c r="D79" s="56">
        <v>249027958</v>
      </c>
      <c r="E79" s="56">
        <v>6000000</v>
      </c>
      <c r="F79" s="56">
        <v>45457750</v>
      </c>
      <c r="G79" s="56">
        <v>10264515</v>
      </c>
      <c r="H79" s="56">
        <v>14119050</v>
      </c>
      <c r="I79" s="56">
        <v>2103000</v>
      </c>
      <c r="J79" s="56">
        <v>144000</v>
      </c>
      <c r="K79" s="56">
        <v>36000</v>
      </c>
      <c r="L79" s="56">
        <v>323809375</v>
      </c>
      <c r="M79" s="56">
        <v>111462975</v>
      </c>
      <c r="N79" s="56">
        <v>1711</v>
      </c>
      <c r="O79" s="56">
        <v>380</v>
      </c>
      <c r="P79" s="56">
        <v>4828007</v>
      </c>
      <c r="Q79" s="56">
        <v>2921050</v>
      </c>
      <c r="R79" s="56">
        <v>2349150</v>
      </c>
      <c r="S79" s="56">
        <v>5945867</v>
      </c>
      <c r="T79" s="56">
        <v>2022650</v>
      </c>
      <c r="U79" s="56">
        <v>1213424</v>
      </c>
      <c r="V79" s="56">
        <v>4828007</v>
      </c>
      <c r="W79" s="56">
        <v>3698306</v>
      </c>
      <c r="X79" s="56">
        <v>2349150</v>
      </c>
      <c r="Y79" s="56">
        <v>5945867</v>
      </c>
      <c r="Z79" s="56">
        <v>2871779</v>
      </c>
      <c r="AA79" s="56">
        <v>1213424</v>
      </c>
      <c r="AB79" s="56">
        <v>-2909600</v>
      </c>
      <c r="AC79" s="56">
        <v>-26858</v>
      </c>
      <c r="AD79" s="56">
        <v>53888</v>
      </c>
      <c r="AE79" s="56">
        <v>0</v>
      </c>
      <c r="AF79" s="56">
        <v>0</v>
      </c>
      <c r="AG79" s="56">
        <v>204120</v>
      </c>
      <c r="AH79" s="56">
        <v>0</v>
      </c>
      <c r="AI79" s="56">
        <v>252368.8524590164</v>
      </c>
      <c r="AJ79" s="72">
        <v>0</v>
      </c>
      <c r="AK79" s="1">
        <v>105684160</v>
      </c>
      <c r="AL79" s="1">
        <v>1914337</v>
      </c>
      <c r="AM79" s="56">
        <v>0</v>
      </c>
      <c r="AN79" s="56">
        <v>42734376</v>
      </c>
      <c r="AO79" s="56">
        <v>10073537</v>
      </c>
      <c r="AP79" s="56">
        <v>287167446</v>
      </c>
      <c r="AQ79" s="56">
        <v>33116933</v>
      </c>
      <c r="AR79" s="56">
        <v>62123601</v>
      </c>
      <c r="AS79" s="56">
        <v>4771098</v>
      </c>
      <c r="AT79" s="56">
        <v>10562349</v>
      </c>
      <c r="AU79" s="56">
        <v>0</v>
      </c>
      <c r="AV79" s="56">
        <v>0</v>
      </c>
      <c r="AW79" s="56">
        <v>41461</v>
      </c>
      <c r="AX79" s="56">
        <v>0</v>
      </c>
      <c r="AY79" s="56">
        <v>21000</v>
      </c>
      <c r="AZ79" s="1">
        <v>5178300.72</v>
      </c>
      <c r="BA79" s="1">
        <v>2640933</v>
      </c>
      <c r="BB79" s="69">
        <v>0</v>
      </c>
      <c r="BC79" s="69">
        <v>0</v>
      </c>
      <c r="BD79" s="69">
        <v>0</v>
      </c>
      <c r="BE79" s="69">
        <v>14275559</v>
      </c>
      <c r="BF79" s="69">
        <v>14275559</v>
      </c>
      <c r="BG79" s="69">
        <v>39827766.5</v>
      </c>
      <c r="BH79" s="69">
        <v>39672904</v>
      </c>
      <c r="BI79" s="69">
        <v>72648455</v>
      </c>
      <c r="BJ79" s="69">
        <v>0</v>
      </c>
      <c r="BK79" s="63"/>
      <c r="BL79" s="5">
        <v>1182713376.852459</v>
      </c>
      <c r="BM79" s="5">
        <v>945877028.85245907</v>
      </c>
      <c r="BN79" s="15">
        <v>605000</v>
      </c>
      <c r="BO79" s="3"/>
      <c r="BP79" s="5"/>
      <c r="BQ79" s="1"/>
      <c r="BR79" s="1"/>
      <c r="BS79" s="5"/>
      <c r="BT79" s="5"/>
    </row>
    <row r="80" spans="1:72" x14ac:dyDescent="0.25">
      <c r="A80" s="6" t="s">
        <v>134</v>
      </c>
      <c r="B80" s="56">
        <v>1205556336</v>
      </c>
      <c r="C80" s="56">
        <v>194030760</v>
      </c>
      <c r="D80" s="56">
        <v>360707003</v>
      </c>
      <c r="E80" s="56">
        <v>0</v>
      </c>
      <c r="F80" s="56">
        <v>104895463</v>
      </c>
      <c r="G80" s="56">
        <v>18337684</v>
      </c>
      <c r="H80" s="56">
        <v>20009429</v>
      </c>
      <c r="I80" s="56">
        <v>2071587</v>
      </c>
      <c r="J80" s="56">
        <v>580100</v>
      </c>
      <c r="K80" s="56">
        <v>36000</v>
      </c>
      <c r="L80" s="56">
        <v>198916377</v>
      </c>
      <c r="M80" s="56">
        <v>134883119</v>
      </c>
      <c r="N80" s="56">
        <v>3687</v>
      </c>
      <c r="O80" s="56">
        <v>655</v>
      </c>
      <c r="P80" s="56">
        <v>23459572</v>
      </c>
      <c r="Q80" s="56">
        <v>7745613</v>
      </c>
      <c r="R80" s="56">
        <v>2464300</v>
      </c>
      <c r="S80" s="56">
        <v>12664020</v>
      </c>
      <c r="T80" s="56">
        <v>2413566</v>
      </c>
      <c r="U80" s="56">
        <v>4100845</v>
      </c>
      <c r="V80" s="56">
        <v>24029672</v>
      </c>
      <c r="W80" s="56">
        <v>9095324</v>
      </c>
      <c r="X80" s="56">
        <v>2500300</v>
      </c>
      <c r="Y80" s="56">
        <v>13269420</v>
      </c>
      <c r="Z80" s="56">
        <v>3228647</v>
      </c>
      <c r="AA80" s="56">
        <v>4100845</v>
      </c>
      <c r="AB80" s="56">
        <v>-9036732</v>
      </c>
      <c r="AC80" s="56">
        <v>-11851473</v>
      </c>
      <c r="AD80" s="56">
        <v>0</v>
      </c>
      <c r="AE80" s="56">
        <v>0</v>
      </c>
      <c r="AF80" s="56">
        <v>0</v>
      </c>
      <c r="AG80" s="56">
        <v>130107.65</v>
      </c>
      <c r="AH80" s="56">
        <v>0</v>
      </c>
      <c r="AI80" s="56">
        <v>30836.065573770491</v>
      </c>
      <c r="AJ80" s="72">
        <v>0</v>
      </c>
      <c r="AK80" s="1">
        <v>248706688</v>
      </c>
      <c r="AL80" s="1">
        <v>23826573</v>
      </c>
      <c r="AM80" s="56">
        <v>6901096</v>
      </c>
      <c r="AN80" s="56">
        <v>93543948</v>
      </c>
      <c r="AO80" s="56">
        <v>47796650</v>
      </c>
      <c r="AP80" s="56">
        <v>1069476294</v>
      </c>
      <c r="AQ80" s="56">
        <v>73774838</v>
      </c>
      <c r="AR80" s="56">
        <v>151813519</v>
      </c>
      <c r="AS80" s="56">
        <v>130493867</v>
      </c>
      <c r="AT80" s="56">
        <v>1054994</v>
      </c>
      <c r="AU80" s="56">
        <v>0</v>
      </c>
      <c r="AV80" s="56">
        <v>0</v>
      </c>
      <c r="AW80" s="56">
        <v>0</v>
      </c>
      <c r="AX80" s="56">
        <v>375</v>
      </c>
      <c r="AY80" s="56">
        <v>72000</v>
      </c>
      <c r="AZ80" s="1">
        <v>12186102.65</v>
      </c>
      <c r="BA80" s="1">
        <v>6214912</v>
      </c>
      <c r="BB80" s="69">
        <v>17375647.66839378</v>
      </c>
      <c r="BC80" s="69">
        <v>1080278</v>
      </c>
      <c r="BD80" s="69">
        <v>2118192</v>
      </c>
      <c r="BE80" s="69">
        <v>18168675</v>
      </c>
      <c r="BF80" s="69">
        <v>15400062</v>
      </c>
      <c r="BG80" s="69">
        <v>64216951.5</v>
      </c>
      <c r="BH80" s="69">
        <v>62980757</v>
      </c>
      <c r="BI80" s="69">
        <v>0</v>
      </c>
      <c r="BJ80" s="69">
        <v>12610136</v>
      </c>
      <c r="BK80" s="63"/>
      <c r="BL80" s="5">
        <v>2346259777.0655737</v>
      </c>
      <c r="BM80" s="5">
        <v>1975440371.0655737</v>
      </c>
      <c r="BN80" s="15">
        <v>2064760</v>
      </c>
      <c r="BO80" s="3"/>
      <c r="BP80" s="5"/>
      <c r="BQ80" s="1"/>
      <c r="BR80" s="1"/>
      <c r="BS80" s="5"/>
      <c r="BT80" s="5"/>
    </row>
    <row r="81" spans="1:72" x14ac:dyDescent="0.25">
      <c r="A81" s="6" t="s">
        <v>135</v>
      </c>
      <c r="B81" s="56">
        <v>97617045</v>
      </c>
      <c r="C81" s="56">
        <v>28058464</v>
      </c>
      <c r="D81" s="56">
        <v>80437270</v>
      </c>
      <c r="E81" s="56">
        <v>0</v>
      </c>
      <c r="F81" s="56">
        <v>19351775</v>
      </c>
      <c r="G81" s="56">
        <v>19883090</v>
      </c>
      <c r="H81" s="56">
        <v>7824300</v>
      </c>
      <c r="I81" s="56">
        <v>3676675</v>
      </c>
      <c r="J81" s="56">
        <v>108000</v>
      </c>
      <c r="K81" s="56">
        <v>0</v>
      </c>
      <c r="L81" s="56">
        <v>16011586</v>
      </c>
      <c r="M81" s="56">
        <v>13150</v>
      </c>
      <c r="N81" s="56">
        <v>971</v>
      </c>
      <c r="O81" s="56">
        <v>793</v>
      </c>
      <c r="P81" s="56">
        <v>2640900</v>
      </c>
      <c r="Q81" s="56">
        <v>67100</v>
      </c>
      <c r="R81" s="56">
        <v>1438100</v>
      </c>
      <c r="S81" s="56">
        <v>2339332</v>
      </c>
      <c r="T81" s="56">
        <v>345790</v>
      </c>
      <c r="U81" s="56">
        <v>768700</v>
      </c>
      <c r="V81" s="56">
        <v>2640900</v>
      </c>
      <c r="W81" s="56">
        <v>91500</v>
      </c>
      <c r="X81" s="56">
        <v>1438100</v>
      </c>
      <c r="Y81" s="56">
        <v>2339332</v>
      </c>
      <c r="Z81" s="56">
        <v>553125</v>
      </c>
      <c r="AA81" s="56">
        <v>768700</v>
      </c>
      <c r="AB81" s="56">
        <v>-2574125</v>
      </c>
      <c r="AC81" s="56">
        <v>-39396</v>
      </c>
      <c r="AD81" s="56">
        <v>0</v>
      </c>
      <c r="AE81" s="56">
        <v>0</v>
      </c>
      <c r="AF81" s="56">
        <v>0</v>
      </c>
      <c r="AG81" s="56">
        <v>0</v>
      </c>
      <c r="AH81" s="56">
        <v>1857409.8360655739</v>
      </c>
      <c r="AI81" s="56">
        <v>48801474.590163939</v>
      </c>
      <c r="AJ81" s="72">
        <v>84036663.934426233</v>
      </c>
      <c r="AK81" s="1">
        <v>76335372</v>
      </c>
      <c r="AL81" s="1">
        <v>3117187</v>
      </c>
      <c r="AM81" s="56">
        <v>0</v>
      </c>
      <c r="AN81" s="56">
        <v>73993816</v>
      </c>
      <c r="AO81" s="56">
        <v>599355</v>
      </c>
      <c r="AP81" s="56">
        <v>28016787</v>
      </c>
      <c r="AQ81" s="56">
        <v>12021495</v>
      </c>
      <c r="AR81" s="56">
        <v>3170449</v>
      </c>
      <c r="AS81" s="56">
        <v>918846</v>
      </c>
      <c r="AT81" s="56">
        <v>260398</v>
      </c>
      <c r="AU81" s="56">
        <v>0</v>
      </c>
      <c r="AV81" s="56">
        <v>0</v>
      </c>
      <c r="AW81" s="56">
        <v>0</v>
      </c>
      <c r="AX81" s="56">
        <v>18181</v>
      </c>
      <c r="AY81" s="56">
        <v>13476126</v>
      </c>
      <c r="AZ81" s="1">
        <v>3740272.07</v>
      </c>
      <c r="BA81" s="1">
        <v>1907539</v>
      </c>
      <c r="BB81" s="69">
        <v>0</v>
      </c>
      <c r="BC81" s="69">
        <v>3679867</v>
      </c>
      <c r="BD81" s="69">
        <v>7215426</v>
      </c>
      <c r="BE81" s="69">
        <v>26410780</v>
      </c>
      <c r="BF81" s="69">
        <v>26410780</v>
      </c>
      <c r="BG81" s="69">
        <v>48438519</v>
      </c>
      <c r="BH81" s="69">
        <v>42710758</v>
      </c>
      <c r="BI81" s="69">
        <v>0</v>
      </c>
      <c r="BJ81" s="69">
        <v>0</v>
      </c>
      <c r="BK81" s="63"/>
      <c r="BL81" s="5">
        <v>581584496.36065578</v>
      </c>
      <c r="BM81" s="5">
        <v>427422993.36065573</v>
      </c>
      <c r="BN81" s="15">
        <v>1288730</v>
      </c>
      <c r="BO81" s="3"/>
      <c r="BP81" s="5"/>
      <c r="BQ81" s="1"/>
      <c r="BR81" s="1"/>
      <c r="BS81" s="5"/>
      <c r="BT81" s="5"/>
    </row>
    <row r="82" spans="1:72" x14ac:dyDescent="0.25">
      <c r="A82" s="6" t="s">
        <v>136</v>
      </c>
      <c r="B82" s="56">
        <v>389783120</v>
      </c>
      <c r="C82" s="56">
        <v>104521275</v>
      </c>
      <c r="D82" s="56">
        <v>238913628</v>
      </c>
      <c r="E82" s="56">
        <v>25821263</v>
      </c>
      <c r="F82" s="56">
        <v>44601557</v>
      </c>
      <c r="G82" s="56">
        <v>6818965</v>
      </c>
      <c r="H82" s="56">
        <v>7315765</v>
      </c>
      <c r="I82" s="56">
        <v>799210</v>
      </c>
      <c r="J82" s="56">
        <v>72000</v>
      </c>
      <c r="K82" s="56">
        <v>0</v>
      </c>
      <c r="L82" s="56">
        <v>283279434</v>
      </c>
      <c r="M82" s="56">
        <v>67438740</v>
      </c>
      <c r="N82" s="56">
        <v>1526</v>
      </c>
      <c r="O82" s="56">
        <v>242</v>
      </c>
      <c r="P82" s="56">
        <v>1961469</v>
      </c>
      <c r="Q82" s="56">
        <v>1323472</v>
      </c>
      <c r="R82" s="56">
        <v>2863114</v>
      </c>
      <c r="S82" s="56">
        <v>3575281</v>
      </c>
      <c r="T82" s="56">
        <v>216119</v>
      </c>
      <c r="U82" s="56">
        <v>685560</v>
      </c>
      <c r="V82" s="56">
        <v>1961469</v>
      </c>
      <c r="W82" s="56">
        <v>1381819</v>
      </c>
      <c r="X82" s="56">
        <v>2863114</v>
      </c>
      <c r="Y82" s="56">
        <v>3575281</v>
      </c>
      <c r="Z82" s="56">
        <v>555533</v>
      </c>
      <c r="AA82" s="56">
        <v>685560</v>
      </c>
      <c r="AB82" s="56">
        <v>-2420084</v>
      </c>
      <c r="AC82" s="56">
        <v>-53878</v>
      </c>
      <c r="AD82" s="56">
        <v>745</v>
      </c>
      <c r="AE82" s="56">
        <v>0</v>
      </c>
      <c r="AF82" s="56">
        <v>0</v>
      </c>
      <c r="AG82" s="56">
        <v>907143</v>
      </c>
      <c r="AH82" s="56">
        <v>0</v>
      </c>
      <c r="AI82" s="56">
        <v>2117303.2786885248</v>
      </c>
      <c r="AJ82" s="72">
        <v>0</v>
      </c>
      <c r="AK82" s="1">
        <v>104961293</v>
      </c>
      <c r="AL82" s="1">
        <v>1805230</v>
      </c>
      <c r="AM82" s="56">
        <v>0</v>
      </c>
      <c r="AN82" s="56">
        <v>70274239</v>
      </c>
      <c r="AO82" s="56">
        <v>11032750</v>
      </c>
      <c r="AP82" s="56">
        <v>163080666</v>
      </c>
      <c r="AQ82" s="56">
        <v>40234693</v>
      </c>
      <c r="AR82" s="56">
        <v>44259833</v>
      </c>
      <c r="AS82" s="56">
        <v>94238228</v>
      </c>
      <c r="AT82" s="56">
        <v>0</v>
      </c>
      <c r="AU82" s="56">
        <v>200669</v>
      </c>
      <c r="AV82" s="56">
        <v>0</v>
      </c>
      <c r="AW82" s="56">
        <v>29375638</v>
      </c>
      <c r="AX82" s="56">
        <v>67079</v>
      </c>
      <c r="AY82" s="56">
        <v>516150</v>
      </c>
      <c r="AZ82" s="1">
        <v>5142881.7699999996</v>
      </c>
      <c r="BA82" s="1">
        <v>2622870</v>
      </c>
      <c r="BB82" s="69">
        <v>19590673.575129531</v>
      </c>
      <c r="BC82" s="69">
        <v>3140032</v>
      </c>
      <c r="BD82" s="69">
        <v>6156926</v>
      </c>
      <c r="BE82" s="69">
        <v>302358141</v>
      </c>
      <c r="BF82" s="69">
        <v>302358141</v>
      </c>
      <c r="BG82" s="69">
        <v>75813179</v>
      </c>
      <c r="BH82" s="69">
        <v>70292955</v>
      </c>
      <c r="BI82" s="69">
        <v>17198</v>
      </c>
      <c r="BJ82" s="69">
        <v>0</v>
      </c>
      <c r="BK82" s="63"/>
      <c r="BL82" s="5">
        <v>1342074727.2786884</v>
      </c>
      <c r="BM82" s="5">
        <v>856877008.27868855</v>
      </c>
      <c r="BN82" s="15">
        <v>496424</v>
      </c>
      <c r="BO82" s="3"/>
      <c r="BP82" s="5"/>
      <c r="BQ82" s="1"/>
      <c r="BR82" s="1"/>
      <c r="BS82" s="5"/>
      <c r="BT82" s="5"/>
    </row>
    <row r="83" spans="1:72" x14ac:dyDescent="0.25">
      <c r="A83" s="6" t="s">
        <v>137</v>
      </c>
      <c r="B83" s="56">
        <v>849001278</v>
      </c>
      <c r="C83" s="56">
        <v>156788605</v>
      </c>
      <c r="D83" s="56">
        <v>102936000</v>
      </c>
      <c r="E83" s="56">
        <v>0</v>
      </c>
      <c r="F83" s="56">
        <v>57444537</v>
      </c>
      <c r="G83" s="56">
        <v>14701165</v>
      </c>
      <c r="H83" s="56">
        <v>15478745</v>
      </c>
      <c r="I83" s="56">
        <v>1317550</v>
      </c>
      <c r="J83" s="56">
        <v>108000</v>
      </c>
      <c r="K83" s="56">
        <v>22000</v>
      </c>
      <c r="L83" s="56">
        <v>359562604</v>
      </c>
      <c r="M83" s="56">
        <v>113473650</v>
      </c>
      <c r="N83" s="56">
        <v>2129</v>
      </c>
      <c r="O83" s="56">
        <v>491</v>
      </c>
      <c r="P83" s="56">
        <v>9858200</v>
      </c>
      <c r="Q83" s="56">
        <v>1842050</v>
      </c>
      <c r="R83" s="56">
        <v>2481500</v>
      </c>
      <c r="S83" s="56">
        <v>1895600</v>
      </c>
      <c r="T83" s="56">
        <v>33000</v>
      </c>
      <c r="U83" s="56">
        <v>338900</v>
      </c>
      <c r="V83" s="56">
        <v>9858200</v>
      </c>
      <c r="W83" s="56">
        <v>1842050</v>
      </c>
      <c r="X83" s="56">
        <v>2481500</v>
      </c>
      <c r="Y83" s="56">
        <v>1895600</v>
      </c>
      <c r="Z83" s="56">
        <v>33000</v>
      </c>
      <c r="AA83" s="56">
        <v>338900</v>
      </c>
      <c r="AB83" s="56">
        <v>-1691350</v>
      </c>
      <c r="AC83" s="56">
        <v>0</v>
      </c>
      <c r="AD83" s="56">
        <v>57244</v>
      </c>
      <c r="AE83" s="56">
        <v>0</v>
      </c>
      <c r="AF83" s="56">
        <v>0</v>
      </c>
      <c r="AG83" s="56">
        <v>143928</v>
      </c>
      <c r="AH83" s="56">
        <v>0</v>
      </c>
      <c r="AI83" s="56">
        <v>10560229.508196723</v>
      </c>
      <c r="AJ83" s="72">
        <v>0</v>
      </c>
      <c r="AK83" s="1">
        <v>176322203</v>
      </c>
      <c r="AL83" s="1">
        <v>7687182</v>
      </c>
      <c r="AM83" s="56">
        <v>44500</v>
      </c>
      <c r="AN83" s="56">
        <v>36077939</v>
      </c>
      <c r="AO83" s="56">
        <v>2144924</v>
      </c>
      <c r="AP83" s="56">
        <v>38253713</v>
      </c>
      <c r="AQ83" s="56">
        <v>14911068</v>
      </c>
      <c r="AR83" s="56">
        <v>25754156</v>
      </c>
      <c r="AS83" s="56">
        <v>29044517</v>
      </c>
      <c r="AT83" s="56">
        <v>53303</v>
      </c>
      <c r="AU83" s="56">
        <v>0</v>
      </c>
      <c r="AV83" s="56">
        <v>0</v>
      </c>
      <c r="AW83" s="56">
        <v>326944</v>
      </c>
      <c r="AX83" s="56">
        <v>12660</v>
      </c>
      <c r="AY83" s="56">
        <v>0</v>
      </c>
      <c r="AZ83" s="1">
        <v>8639415.6999999993</v>
      </c>
      <c r="BA83" s="1">
        <v>4406102</v>
      </c>
      <c r="BB83" s="69">
        <v>56113989.637305699</v>
      </c>
      <c r="BC83" s="69">
        <v>1670514</v>
      </c>
      <c r="BD83" s="69">
        <v>3275518</v>
      </c>
      <c r="BE83" s="69">
        <v>20594181</v>
      </c>
      <c r="BF83" s="69">
        <v>19799265</v>
      </c>
      <c r="BG83" s="69">
        <v>66873498.5</v>
      </c>
      <c r="BH83" s="69">
        <v>64868086</v>
      </c>
      <c r="BI83" s="69">
        <v>0</v>
      </c>
      <c r="BJ83" s="69">
        <v>0</v>
      </c>
      <c r="BK83" s="63"/>
      <c r="BL83" s="5">
        <v>1447173395.5081968</v>
      </c>
      <c r="BM83" s="5">
        <v>1172420043.5081968</v>
      </c>
      <c r="BN83" s="15">
        <v>4225650</v>
      </c>
      <c r="BO83" s="3"/>
      <c r="BP83" s="5"/>
      <c r="BQ83" s="1"/>
      <c r="BR83" s="1"/>
      <c r="BS83" s="5"/>
      <c r="BT83" s="5"/>
    </row>
    <row r="84" spans="1:72" x14ac:dyDescent="0.25">
      <c r="A84" s="6" t="s">
        <v>138</v>
      </c>
      <c r="B84" s="56">
        <v>89641501</v>
      </c>
      <c r="C84" s="56">
        <v>30638817</v>
      </c>
      <c r="D84" s="56">
        <v>8527047</v>
      </c>
      <c r="E84" s="56">
        <v>0</v>
      </c>
      <c r="F84" s="56">
        <v>11320601</v>
      </c>
      <c r="G84" s="56">
        <v>9890671</v>
      </c>
      <c r="H84" s="56">
        <v>5968835</v>
      </c>
      <c r="I84" s="56">
        <v>1670180</v>
      </c>
      <c r="J84" s="56">
        <v>0</v>
      </c>
      <c r="K84" s="56">
        <v>36000</v>
      </c>
      <c r="L84" s="56">
        <v>28562954</v>
      </c>
      <c r="M84" s="56">
        <v>20917523</v>
      </c>
      <c r="N84" s="56">
        <v>573</v>
      </c>
      <c r="O84" s="56">
        <v>422</v>
      </c>
      <c r="P84" s="56">
        <v>1380500</v>
      </c>
      <c r="Q84" s="56">
        <v>167842</v>
      </c>
      <c r="R84" s="56">
        <v>2293900</v>
      </c>
      <c r="S84" s="56">
        <v>1898314</v>
      </c>
      <c r="T84" s="56">
        <v>413441</v>
      </c>
      <c r="U84" s="56">
        <v>37527</v>
      </c>
      <c r="V84" s="56">
        <v>1380500</v>
      </c>
      <c r="W84" s="56">
        <v>830634</v>
      </c>
      <c r="X84" s="56">
        <v>2293900</v>
      </c>
      <c r="Y84" s="56">
        <v>1898314</v>
      </c>
      <c r="Z84" s="56">
        <v>610075</v>
      </c>
      <c r="AA84" s="56">
        <v>37527</v>
      </c>
      <c r="AB84" s="56">
        <v>-2388528</v>
      </c>
      <c r="AC84" s="56">
        <v>-482441</v>
      </c>
      <c r="AD84" s="56">
        <v>67137</v>
      </c>
      <c r="AE84" s="56">
        <v>0</v>
      </c>
      <c r="AF84" s="56">
        <v>3663645</v>
      </c>
      <c r="AG84" s="56">
        <v>77237</v>
      </c>
      <c r="AH84" s="56">
        <v>0</v>
      </c>
      <c r="AI84" s="56">
        <v>191319.67213114756</v>
      </c>
      <c r="AJ84" s="72">
        <v>0</v>
      </c>
      <c r="AK84" s="1">
        <v>28859538</v>
      </c>
      <c r="AL84" s="1">
        <v>1303698</v>
      </c>
      <c r="AM84" s="56">
        <v>0</v>
      </c>
      <c r="AN84" s="56">
        <v>2911952</v>
      </c>
      <c r="AO84" s="56">
        <v>8297</v>
      </c>
      <c r="AP84" s="56">
        <v>3289233</v>
      </c>
      <c r="AQ84" s="56">
        <v>3793982</v>
      </c>
      <c r="AR84" s="56">
        <v>3163958</v>
      </c>
      <c r="AS84" s="56">
        <v>0</v>
      </c>
      <c r="AT84" s="56">
        <v>0</v>
      </c>
      <c r="AU84" s="56">
        <v>0</v>
      </c>
      <c r="AV84" s="56">
        <v>0</v>
      </c>
      <c r="AW84" s="56">
        <v>0</v>
      </c>
      <c r="AX84" s="56">
        <v>0</v>
      </c>
      <c r="AY84" s="56">
        <v>0</v>
      </c>
      <c r="AZ84" s="1">
        <v>1414056.43</v>
      </c>
      <c r="BA84" s="1">
        <v>721169</v>
      </c>
      <c r="BB84" s="69">
        <v>0</v>
      </c>
      <c r="BC84" s="69">
        <v>0</v>
      </c>
      <c r="BD84" s="69">
        <v>0</v>
      </c>
      <c r="BE84" s="69">
        <v>3141272</v>
      </c>
      <c r="BF84" s="69">
        <v>3141272</v>
      </c>
      <c r="BG84" s="69">
        <v>19876160.5</v>
      </c>
      <c r="BH84" s="69">
        <v>19867741</v>
      </c>
      <c r="BI84" s="69">
        <v>0</v>
      </c>
      <c r="BJ84" s="69">
        <v>0</v>
      </c>
      <c r="BK84" s="63"/>
      <c r="BL84" s="5">
        <v>189606333.67213115</v>
      </c>
      <c r="BM84" s="5">
        <v>135712915.67213115</v>
      </c>
      <c r="BN84" s="15">
        <v>214530</v>
      </c>
      <c r="BO84" s="3"/>
      <c r="BP84" s="5"/>
      <c r="BQ84" s="1"/>
      <c r="BR84" s="1"/>
      <c r="BS84" s="5"/>
      <c r="BT84" s="5"/>
    </row>
    <row r="85" spans="1:72" x14ac:dyDescent="0.25">
      <c r="A85" s="6" t="s">
        <v>139</v>
      </c>
      <c r="B85" s="56">
        <v>731307817</v>
      </c>
      <c r="C85" s="56">
        <v>234820598</v>
      </c>
      <c r="D85" s="56">
        <v>230283737</v>
      </c>
      <c r="E85" s="56">
        <v>0</v>
      </c>
      <c r="F85" s="56">
        <v>66681876</v>
      </c>
      <c r="G85" s="56">
        <v>8698219</v>
      </c>
      <c r="H85" s="56">
        <v>17823689</v>
      </c>
      <c r="I85" s="56">
        <v>2057023</v>
      </c>
      <c r="J85" s="56">
        <v>36000</v>
      </c>
      <c r="K85" s="56">
        <v>0</v>
      </c>
      <c r="L85" s="56">
        <v>334947130</v>
      </c>
      <c r="M85" s="56">
        <v>185004283</v>
      </c>
      <c r="N85" s="56">
        <v>2387</v>
      </c>
      <c r="O85" s="56">
        <v>307</v>
      </c>
      <c r="P85" s="56">
        <v>3348926</v>
      </c>
      <c r="Q85" s="56">
        <v>2037253</v>
      </c>
      <c r="R85" s="56">
        <v>2563732</v>
      </c>
      <c r="S85" s="56">
        <v>5069373</v>
      </c>
      <c r="T85" s="56">
        <v>469748</v>
      </c>
      <c r="U85" s="56">
        <v>4509676</v>
      </c>
      <c r="V85" s="56">
        <v>3348926</v>
      </c>
      <c r="W85" s="56">
        <v>2108086</v>
      </c>
      <c r="X85" s="56">
        <v>2563732</v>
      </c>
      <c r="Y85" s="56">
        <v>5066373</v>
      </c>
      <c r="Z85" s="56">
        <v>1548169</v>
      </c>
      <c r="AA85" s="56">
        <v>4509676</v>
      </c>
      <c r="AB85" s="56">
        <v>-1772595</v>
      </c>
      <c r="AC85" s="56">
        <v>743886</v>
      </c>
      <c r="AD85" s="56">
        <v>3559</v>
      </c>
      <c r="AE85" s="56">
        <v>0</v>
      </c>
      <c r="AF85" s="56">
        <v>0</v>
      </c>
      <c r="AG85" s="56">
        <v>137547</v>
      </c>
      <c r="AH85" s="56">
        <v>0</v>
      </c>
      <c r="AI85" s="56">
        <v>159368.8524590164</v>
      </c>
      <c r="AJ85" s="72">
        <v>0</v>
      </c>
      <c r="AK85" s="1">
        <v>138557902</v>
      </c>
      <c r="AL85" s="1">
        <v>7147561</v>
      </c>
      <c r="AM85" s="56">
        <v>528324</v>
      </c>
      <c r="AN85" s="56">
        <v>31541446</v>
      </c>
      <c r="AO85" s="56">
        <v>14189520</v>
      </c>
      <c r="AP85" s="56">
        <v>621309789</v>
      </c>
      <c r="AQ85" s="56">
        <v>19419951</v>
      </c>
      <c r="AR85" s="56">
        <v>29450422</v>
      </c>
      <c r="AS85" s="56">
        <v>2235678</v>
      </c>
      <c r="AT85" s="56">
        <v>238873518</v>
      </c>
      <c r="AU85" s="56">
        <v>0</v>
      </c>
      <c r="AV85" s="56">
        <v>0</v>
      </c>
      <c r="AW85" s="56">
        <v>33284</v>
      </c>
      <c r="AX85" s="56">
        <v>158527</v>
      </c>
      <c r="AY85" s="56">
        <v>22600</v>
      </c>
      <c r="AZ85" s="1">
        <v>6789044.6799999997</v>
      </c>
      <c r="BA85" s="1">
        <v>3462413</v>
      </c>
      <c r="BB85" s="69">
        <v>0</v>
      </c>
      <c r="BC85" s="69">
        <v>2088294</v>
      </c>
      <c r="BD85" s="69">
        <v>4094695</v>
      </c>
      <c r="BE85" s="69">
        <v>54187985</v>
      </c>
      <c r="BF85" s="69">
        <v>54187985</v>
      </c>
      <c r="BG85" s="69">
        <v>60827908</v>
      </c>
      <c r="BH85" s="69">
        <v>57252867</v>
      </c>
      <c r="BI85" s="69">
        <v>0</v>
      </c>
      <c r="BJ85" s="69">
        <v>0</v>
      </c>
      <c r="BK85" s="63"/>
      <c r="BL85" s="5">
        <v>1524419459.852459</v>
      </c>
      <c r="BM85" s="5">
        <v>1261722437.852459</v>
      </c>
      <c r="BN85" s="15">
        <v>823913</v>
      </c>
      <c r="BO85" s="3"/>
      <c r="BP85" s="5"/>
      <c r="BQ85" s="1"/>
      <c r="BR85" s="1"/>
      <c r="BS85" s="5"/>
      <c r="BT85" s="5"/>
    </row>
    <row r="86" spans="1:72" x14ac:dyDescent="0.25">
      <c r="A86" s="6" t="s">
        <v>140</v>
      </c>
      <c r="B86" s="56">
        <v>109312589</v>
      </c>
      <c r="C86" s="56">
        <v>111969214</v>
      </c>
      <c r="D86" s="56">
        <v>47028918</v>
      </c>
      <c r="E86" s="56">
        <v>0</v>
      </c>
      <c r="F86" s="56">
        <v>19044720</v>
      </c>
      <c r="G86" s="56">
        <v>6832661</v>
      </c>
      <c r="H86" s="56">
        <v>13898479</v>
      </c>
      <c r="I86" s="56">
        <v>1905729</v>
      </c>
      <c r="J86" s="56">
        <v>72000</v>
      </c>
      <c r="K86" s="56">
        <v>0</v>
      </c>
      <c r="L86" s="56">
        <v>177163573</v>
      </c>
      <c r="M86" s="56">
        <v>0</v>
      </c>
      <c r="N86" s="56">
        <v>1007</v>
      </c>
      <c r="O86" s="56">
        <v>311</v>
      </c>
      <c r="P86" s="56">
        <v>404000</v>
      </c>
      <c r="Q86" s="56">
        <v>1185912</v>
      </c>
      <c r="R86" s="56">
        <v>155200</v>
      </c>
      <c r="S86" s="56">
        <v>1292316</v>
      </c>
      <c r="T86" s="56">
        <v>1435912</v>
      </c>
      <c r="U86" s="56">
        <v>194525</v>
      </c>
      <c r="V86" s="56">
        <v>404000</v>
      </c>
      <c r="W86" s="56">
        <v>2500155</v>
      </c>
      <c r="X86" s="56">
        <v>155200</v>
      </c>
      <c r="Y86" s="56">
        <v>1292316</v>
      </c>
      <c r="Z86" s="56">
        <v>2094127</v>
      </c>
      <c r="AA86" s="56">
        <v>194525</v>
      </c>
      <c r="AB86" s="56">
        <v>-1157552</v>
      </c>
      <c r="AC86" s="56">
        <v>903</v>
      </c>
      <c r="AD86" s="56">
        <v>72822</v>
      </c>
      <c r="AE86" s="56">
        <v>0</v>
      </c>
      <c r="AF86" s="56">
        <v>0</v>
      </c>
      <c r="AG86" s="56">
        <v>0</v>
      </c>
      <c r="AH86" s="56">
        <v>4387303.2786885248</v>
      </c>
      <c r="AI86" s="56">
        <v>0</v>
      </c>
      <c r="AJ86" s="72">
        <v>0</v>
      </c>
      <c r="AK86" s="1">
        <v>49777333</v>
      </c>
      <c r="AL86" s="1">
        <v>1061452</v>
      </c>
      <c r="AM86" s="56">
        <v>0</v>
      </c>
      <c r="AN86" s="56">
        <v>8945324</v>
      </c>
      <c r="AO86" s="56">
        <v>1689977</v>
      </c>
      <c r="AP86" s="56">
        <v>71129157</v>
      </c>
      <c r="AQ86" s="56">
        <v>7341892</v>
      </c>
      <c r="AR86" s="56">
        <v>23234410</v>
      </c>
      <c r="AS86" s="56">
        <v>1612206</v>
      </c>
      <c r="AT86" s="56">
        <v>1604803</v>
      </c>
      <c r="AU86" s="56">
        <v>0</v>
      </c>
      <c r="AV86" s="56">
        <v>0</v>
      </c>
      <c r="AW86" s="56">
        <v>0</v>
      </c>
      <c r="AX86" s="56">
        <v>0</v>
      </c>
      <c r="AY86" s="56">
        <v>9500</v>
      </c>
      <c r="AZ86" s="1">
        <v>2438984.23</v>
      </c>
      <c r="BA86" s="1">
        <v>1243882</v>
      </c>
      <c r="BB86" s="69">
        <v>0</v>
      </c>
      <c r="BC86" s="69">
        <v>0</v>
      </c>
      <c r="BD86" s="69">
        <v>0</v>
      </c>
      <c r="BE86" s="69">
        <v>31274688</v>
      </c>
      <c r="BF86" s="69">
        <v>31274688</v>
      </c>
      <c r="BG86" s="69">
        <v>37416979.5</v>
      </c>
      <c r="BH86" s="69">
        <v>37404349</v>
      </c>
      <c r="BI86" s="69">
        <v>0</v>
      </c>
      <c r="BJ86" s="69">
        <v>0</v>
      </c>
      <c r="BK86" s="63"/>
      <c r="BL86" s="5">
        <v>411436921.27868855</v>
      </c>
      <c r="BM86" s="5">
        <v>290675217.27868855</v>
      </c>
      <c r="BN86" s="15"/>
      <c r="BO86" s="3"/>
      <c r="BP86" s="5"/>
      <c r="BQ86" s="1"/>
      <c r="BR86" s="1"/>
      <c r="BS86" s="5"/>
      <c r="BT86" s="5"/>
    </row>
    <row r="87" spans="1:72" x14ac:dyDescent="0.25">
      <c r="A87" s="6" t="s">
        <v>141</v>
      </c>
      <c r="B87" s="56">
        <v>142867380</v>
      </c>
      <c r="C87" s="56">
        <v>96826765</v>
      </c>
      <c r="D87" s="56">
        <v>43878267</v>
      </c>
      <c r="E87" s="56">
        <v>0</v>
      </c>
      <c r="F87" s="56">
        <v>28675569</v>
      </c>
      <c r="G87" s="56">
        <v>7473450</v>
      </c>
      <c r="H87" s="56">
        <v>10098225</v>
      </c>
      <c r="I87" s="56">
        <v>637000</v>
      </c>
      <c r="J87" s="56">
        <v>0</v>
      </c>
      <c r="K87" s="56">
        <v>0</v>
      </c>
      <c r="L87" s="56">
        <v>258391915</v>
      </c>
      <c r="M87" s="56">
        <v>39589725</v>
      </c>
      <c r="N87" s="56">
        <v>1177</v>
      </c>
      <c r="O87" s="56">
        <v>291</v>
      </c>
      <c r="P87" s="56">
        <v>733100</v>
      </c>
      <c r="Q87" s="56">
        <v>1109250</v>
      </c>
      <c r="R87" s="56">
        <v>1127750</v>
      </c>
      <c r="S87" s="56">
        <v>2288730</v>
      </c>
      <c r="T87" s="56">
        <v>962500</v>
      </c>
      <c r="U87" s="56">
        <v>199000</v>
      </c>
      <c r="V87" s="56">
        <v>733100</v>
      </c>
      <c r="W87" s="56">
        <v>1638060</v>
      </c>
      <c r="X87" s="56">
        <v>1127750</v>
      </c>
      <c r="Y87" s="56">
        <v>2288730</v>
      </c>
      <c r="Z87" s="56">
        <v>2212138</v>
      </c>
      <c r="AA87" s="56">
        <v>199000</v>
      </c>
      <c r="AB87" s="56">
        <v>-617000</v>
      </c>
      <c r="AC87" s="56">
        <v>0</v>
      </c>
      <c r="AD87" s="56">
        <v>91653</v>
      </c>
      <c r="AE87" s="56">
        <v>0</v>
      </c>
      <c r="AF87" s="56">
        <v>0</v>
      </c>
      <c r="AG87" s="56">
        <v>200276</v>
      </c>
      <c r="AH87" s="56">
        <v>1027803.2786885247</v>
      </c>
      <c r="AI87" s="56">
        <v>104540.98360655739</v>
      </c>
      <c r="AJ87" s="72">
        <v>0</v>
      </c>
      <c r="AK87" s="1">
        <v>56639083</v>
      </c>
      <c r="AL87" s="1">
        <v>1023083</v>
      </c>
      <c r="AM87" s="56">
        <v>0</v>
      </c>
      <c r="AN87" s="56">
        <v>14100763</v>
      </c>
      <c r="AO87" s="56">
        <v>240362</v>
      </c>
      <c r="AP87" s="56">
        <v>9625972</v>
      </c>
      <c r="AQ87" s="56">
        <v>20554410</v>
      </c>
      <c r="AR87" s="56">
        <v>13251934</v>
      </c>
      <c r="AS87" s="56">
        <v>0</v>
      </c>
      <c r="AT87" s="56">
        <v>545168</v>
      </c>
      <c r="AU87" s="56">
        <v>0</v>
      </c>
      <c r="AV87" s="56">
        <v>0</v>
      </c>
      <c r="AW87" s="56">
        <v>42206</v>
      </c>
      <c r="AX87" s="56">
        <v>186004</v>
      </c>
      <c r="AY87" s="56">
        <v>0</v>
      </c>
      <c r="AZ87" s="1">
        <v>2775195.49</v>
      </c>
      <c r="BA87" s="1">
        <v>1415350</v>
      </c>
      <c r="BB87" s="69">
        <v>0</v>
      </c>
      <c r="BC87" s="69">
        <v>0</v>
      </c>
      <c r="BD87" s="69">
        <v>0</v>
      </c>
      <c r="BE87" s="69">
        <v>11224222</v>
      </c>
      <c r="BF87" s="69">
        <v>11224222</v>
      </c>
      <c r="BG87" s="69">
        <v>30074626.5</v>
      </c>
      <c r="BH87" s="69">
        <v>29881533</v>
      </c>
      <c r="BI87" s="69">
        <v>0</v>
      </c>
      <c r="BJ87" s="69">
        <v>0</v>
      </c>
      <c r="BK87" s="63"/>
      <c r="BL87" s="5">
        <v>419783562.26229513</v>
      </c>
      <c r="BM87" s="5">
        <v>319600291.26229513</v>
      </c>
      <c r="BN87" s="15">
        <v>255200</v>
      </c>
      <c r="BO87" s="3"/>
      <c r="BP87" s="5"/>
      <c r="BQ87" s="1"/>
      <c r="BR87" s="1"/>
      <c r="BS87" s="5"/>
      <c r="BT87" s="5"/>
    </row>
    <row r="88" spans="1:72" x14ac:dyDescent="0.25">
      <c r="A88" s="6" t="s">
        <v>142</v>
      </c>
      <c r="B88" s="56">
        <v>722530379</v>
      </c>
      <c r="C88" s="56">
        <v>114522628</v>
      </c>
      <c r="D88" s="56">
        <v>318027856</v>
      </c>
      <c r="E88" s="56">
        <v>18480000</v>
      </c>
      <c r="F88" s="56">
        <v>62004100</v>
      </c>
      <c r="G88" s="56">
        <v>18146600</v>
      </c>
      <c r="H88" s="56">
        <v>9654500</v>
      </c>
      <c r="I88" s="56">
        <v>2508000</v>
      </c>
      <c r="J88" s="56">
        <v>144000</v>
      </c>
      <c r="K88" s="56">
        <v>36000</v>
      </c>
      <c r="L88" s="56">
        <v>194223573</v>
      </c>
      <c r="M88" s="56">
        <v>88596000</v>
      </c>
      <c r="N88" s="56">
        <v>2078</v>
      </c>
      <c r="O88" s="56">
        <v>643</v>
      </c>
      <c r="P88" s="56">
        <v>7451900</v>
      </c>
      <c r="Q88" s="56">
        <v>993500</v>
      </c>
      <c r="R88" s="56">
        <v>7828000</v>
      </c>
      <c r="S88" s="56">
        <v>6288480</v>
      </c>
      <c r="T88" s="56">
        <v>831200</v>
      </c>
      <c r="U88" s="56">
        <v>1412995</v>
      </c>
      <c r="V88" s="56">
        <v>7451900</v>
      </c>
      <c r="W88" s="56">
        <v>1423000</v>
      </c>
      <c r="X88" s="56">
        <v>7828000</v>
      </c>
      <c r="Y88" s="56">
        <v>6288480</v>
      </c>
      <c r="Z88" s="56">
        <v>1400500</v>
      </c>
      <c r="AA88" s="56">
        <v>1412995</v>
      </c>
      <c r="AB88" s="56">
        <v>-1579500</v>
      </c>
      <c r="AC88" s="56">
        <v>-308</v>
      </c>
      <c r="AD88" s="56">
        <v>4936</v>
      </c>
      <c r="AE88" s="56">
        <v>0</v>
      </c>
      <c r="AF88" s="56">
        <v>0</v>
      </c>
      <c r="AG88" s="56">
        <v>108595</v>
      </c>
      <c r="AH88" s="56">
        <v>0</v>
      </c>
      <c r="AI88" s="56">
        <v>132819.67213114753</v>
      </c>
      <c r="AJ88" s="72">
        <v>0</v>
      </c>
      <c r="AK88" s="1">
        <v>150192533</v>
      </c>
      <c r="AL88" s="1">
        <v>3969700</v>
      </c>
      <c r="AM88" s="56">
        <v>0</v>
      </c>
      <c r="AN88" s="56">
        <v>51146497</v>
      </c>
      <c r="AO88" s="56">
        <v>2901763</v>
      </c>
      <c r="AP88" s="56">
        <v>155641434</v>
      </c>
      <c r="AQ88" s="56">
        <v>44678281</v>
      </c>
      <c r="AR88" s="56">
        <v>73047095</v>
      </c>
      <c r="AS88" s="56">
        <v>24336514</v>
      </c>
      <c r="AT88" s="56">
        <v>559109</v>
      </c>
      <c r="AU88" s="56">
        <v>0</v>
      </c>
      <c r="AV88" s="56">
        <v>1415233</v>
      </c>
      <c r="AW88" s="56">
        <v>8385</v>
      </c>
      <c r="AX88" s="56">
        <v>75126</v>
      </c>
      <c r="AY88" s="56">
        <v>3647750</v>
      </c>
      <c r="AZ88" s="1">
        <v>7359117.0300000003</v>
      </c>
      <c r="BA88" s="1">
        <v>3753150</v>
      </c>
      <c r="BB88" s="69">
        <v>0</v>
      </c>
      <c r="BC88" s="69">
        <v>0</v>
      </c>
      <c r="BD88" s="69">
        <v>0</v>
      </c>
      <c r="BE88" s="69">
        <v>29676163</v>
      </c>
      <c r="BF88" s="69">
        <v>29676163</v>
      </c>
      <c r="BG88" s="69">
        <v>40134416.5</v>
      </c>
      <c r="BH88" s="69">
        <v>38898163</v>
      </c>
      <c r="BI88" s="69">
        <v>0</v>
      </c>
      <c r="BJ88" s="69">
        <v>0</v>
      </c>
      <c r="BK88" s="63"/>
      <c r="BL88" s="5">
        <v>1480429932.6721311</v>
      </c>
      <c r="BM88" s="5">
        <v>1253940223.6721311</v>
      </c>
      <c r="BN88" s="15">
        <v>1307100</v>
      </c>
      <c r="BO88" s="3"/>
      <c r="BP88" s="5"/>
      <c r="BQ88" s="1"/>
      <c r="BR88" s="1"/>
      <c r="BS88" s="5"/>
      <c r="BT88" s="5"/>
    </row>
    <row r="89" spans="1:72" x14ac:dyDescent="0.25">
      <c r="A89" s="6" t="s">
        <v>143</v>
      </c>
      <c r="B89" s="56">
        <v>124482257</v>
      </c>
      <c r="C89" s="56">
        <v>90734750</v>
      </c>
      <c r="D89" s="56">
        <v>41177040</v>
      </c>
      <c r="E89" s="56">
        <v>0</v>
      </c>
      <c r="F89" s="56">
        <v>17388000</v>
      </c>
      <c r="G89" s="56">
        <v>13938300</v>
      </c>
      <c r="H89" s="56">
        <v>11945800</v>
      </c>
      <c r="I89" s="56">
        <v>6244100</v>
      </c>
      <c r="J89" s="56">
        <v>0</v>
      </c>
      <c r="K89" s="56">
        <v>0</v>
      </c>
      <c r="L89" s="56">
        <v>68289125</v>
      </c>
      <c r="M89" s="56">
        <v>0</v>
      </c>
      <c r="N89" s="56">
        <v>998</v>
      </c>
      <c r="O89" s="56">
        <v>715</v>
      </c>
      <c r="P89" s="56">
        <v>3605000</v>
      </c>
      <c r="Q89" s="56">
        <v>1981000</v>
      </c>
      <c r="R89" s="56">
        <v>2205000</v>
      </c>
      <c r="S89" s="56">
        <v>1456700</v>
      </c>
      <c r="T89" s="56">
        <v>954000</v>
      </c>
      <c r="U89" s="56">
        <v>422500</v>
      </c>
      <c r="V89" s="56">
        <v>3605000</v>
      </c>
      <c r="W89" s="56">
        <v>2017500</v>
      </c>
      <c r="X89" s="56">
        <v>2205000</v>
      </c>
      <c r="Y89" s="56">
        <v>1456700</v>
      </c>
      <c r="Z89" s="56">
        <v>1000000</v>
      </c>
      <c r="AA89" s="56">
        <v>422500</v>
      </c>
      <c r="AB89" s="56">
        <v>-1836407</v>
      </c>
      <c r="AC89" s="56">
        <v>0</v>
      </c>
      <c r="AD89" s="56">
        <v>175789</v>
      </c>
      <c r="AE89" s="56">
        <v>0</v>
      </c>
      <c r="AF89" s="56">
        <v>0</v>
      </c>
      <c r="AG89" s="56">
        <v>0</v>
      </c>
      <c r="AH89" s="56">
        <v>934385.24590163946</v>
      </c>
      <c r="AI89" s="56">
        <v>711017.21311475406</v>
      </c>
      <c r="AJ89" s="72">
        <v>1196.7213114754099</v>
      </c>
      <c r="AK89" s="15">
        <v>70679134</v>
      </c>
      <c r="AL89" s="1">
        <v>1917388</v>
      </c>
      <c r="AM89" s="56">
        <v>0</v>
      </c>
      <c r="AN89" s="56">
        <v>17919446</v>
      </c>
      <c r="AO89" s="56">
        <v>225875</v>
      </c>
      <c r="AP89" s="56">
        <v>3497074</v>
      </c>
      <c r="AQ89" s="56">
        <v>8042823</v>
      </c>
      <c r="AR89" s="56">
        <v>9019210</v>
      </c>
      <c r="AS89" s="56">
        <v>0</v>
      </c>
      <c r="AT89" s="56">
        <v>920741</v>
      </c>
      <c r="AU89" s="56">
        <v>0</v>
      </c>
      <c r="AV89" s="56">
        <v>0</v>
      </c>
      <c r="AW89" s="56">
        <v>0</v>
      </c>
      <c r="AX89" s="56">
        <v>0</v>
      </c>
      <c r="AY89" s="56">
        <v>222854</v>
      </c>
      <c r="AZ89" s="1">
        <v>3463128.35</v>
      </c>
      <c r="BA89" s="1">
        <v>1766195</v>
      </c>
      <c r="BB89" s="69">
        <v>0</v>
      </c>
      <c r="BC89" s="69">
        <v>0</v>
      </c>
      <c r="BD89" s="69">
        <v>0</v>
      </c>
      <c r="BE89" s="69">
        <v>1251751</v>
      </c>
      <c r="BF89" s="69">
        <v>1251751</v>
      </c>
      <c r="BG89" s="69">
        <v>51769311.5</v>
      </c>
      <c r="BH89" s="69">
        <v>51751067</v>
      </c>
      <c r="BI89" s="69">
        <v>0</v>
      </c>
      <c r="BJ89" s="69">
        <v>0</v>
      </c>
      <c r="BK89" s="63"/>
      <c r="BL89" s="5">
        <v>411594325.18032789</v>
      </c>
      <c r="BM89" s="5">
        <v>284228790.18032789</v>
      </c>
      <c r="BN89" s="15">
        <v>5803500</v>
      </c>
      <c r="BO89" s="3"/>
      <c r="BP89" s="5"/>
      <c r="BQ89" s="1"/>
      <c r="BR89" s="1"/>
      <c r="BS89" s="5"/>
      <c r="BT89" s="5"/>
    </row>
    <row r="90" spans="1:72" x14ac:dyDescent="0.25">
      <c r="A90" s="6" t="s">
        <v>144</v>
      </c>
      <c r="B90" s="56">
        <v>572019736</v>
      </c>
      <c r="C90" s="56">
        <v>159583530</v>
      </c>
      <c r="D90" s="56">
        <v>187645738</v>
      </c>
      <c r="E90" s="56">
        <v>0</v>
      </c>
      <c r="F90" s="56">
        <v>84406780</v>
      </c>
      <c r="G90" s="56">
        <v>38080540</v>
      </c>
      <c r="H90" s="56">
        <v>12984200</v>
      </c>
      <c r="I90" s="56">
        <v>3689800</v>
      </c>
      <c r="J90" s="56">
        <v>249000</v>
      </c>
      <c r="K90" s="56">
        <v>36000</v>
      </c>
      <c r="L90" s="56">
        <v>171710378</v>
      </c>
      <c r="M90" s="56">
        <v>76803050</v>
      </c>
      <c r="N90" s="56">
        <v>2883</v>
      </c>
      <c r="O90" s="56">
        <v>1308</v>
      </c>
      <c r="P90" s="56">
        <v>9487580</v>
      </c>
      <c r="Q90" s="56">
        <v>2115680</v>
      </c>
      <c r="R90" s="56">
        <v>9965800</v>
      </c>
      <c r="S90" s="56">
        <v>7967909</v>
      </c>
      <c r="T90" s="56">
        <v>2373795</v>
      </c>
      <c r="U90" s="56">
        <v>2821306</v>
      </c>
      <c r="V90" s="56">
        <v>9559580</v>
      </c>
      <c r="W90" s="56">
        <v>5957705</v>
      </c>
      <c r="X90" s="56">
        <v>9965800</v>
      </c>
      <c r="Y90" s="56">
        <v>7967909</v>
      </c>
      <c r="Z90" s="56">
        <v>2579900</v>
      </c>
      <c r="AA90" s="56">
        <v>2821306</v>
      </c>
      <c r="AB90" s="56">
        <v>-8680201</v>
      </c>
      <c r="AC90" s="56">
        <v>-184832</v>
      </c>
      <c r="AD90" s="56">
        <v>65944</v>
      </c>
      <c r="AE90" s="56">
        <v>126846</v>
      </c>
      <c r="AF90" s="56">
        <v>12574</v>
      </c>
      <c r="AG90" s="56">
        <v>188707</v>
      </c>
      <c r="AH90" s="56">
        <v>13455040.983606558</v>
      </c>
      <c r="AI90" s="56">
        <v>353867.21311475412</v>
      </c>
      <c r="AJ90" s="72">
        <v>44430898</v>
      </c>
      <c r="AK90" s="1">
        <v>199818307</v>
      </c>
      <c r="AL90" s="1">
        <v>6230127</v>
      </c>
      <c r="AM90" s="56">
        <v>0</v>
      </c>
      <c r="AN90" s="56">
        <v>65693194</v>
      </c>
      <c r="AO90" s="56">
        <v>5841307</v>
      </c>
      <c r="AP90" s="56">
        <v>49488962</v>
      </c>
      <c r="AQ90" s="56">
        <v>72756786</v>
      </c>
      <c r="AR90" s="56">
        <v>40577479</v>
      </c>
      <c r="AS90" s="56">
        <v>15352790</v>
      </c>
      <c r="AT90" s="56">
        <v>13813705</v>
      </c>
      <c r="AU90" s="56">
        <v>0</v>
      </c>
      <c r="AV90" s="56">
        <v>0</v>
      </c>
      <c r="AW90" s="56">
        <v>1619743</v>
      </c>
      <c r="AX90" s="56">
        <v>367</v>
      </c>
      <c r="AY90" s="56">
        <v>244450</v>
      </c>
      <c r="AZ90" s="1">
        <v>9790675.1899999995</v>
      </c>
      <c r="BA90" s="1">
        <v>4993244</v>
      </c>
      <c r="BB90" s="69">
        <v>7851036.2694300506</v>
      </c>
      <c r="BC90" s="69">
        <v>3263909</v>
      </c>
      <c r="BD90" s="69">
        <v>6399821</v>
      </c>
      <c r="BE90" s="69">
        <v>72796146</v>
      </c>
      <c r="BF90" s="69">
        <v>70438413</v>
      </c>
      <c r="BG90" s="69">
        <v>167014870.5</v>
      </c>
      <c r="BH90" s="69">
        <v>165314433</v>
      </c>
      <c r="BI90" s="69">
        <v>0</v>
      </c>
      <c r="BJ90" s="69">
        <v>0</v>
      </c>
      <c r="BK90" s="63"/>
      <c r="BL90" s="5">
        <v>1571838530.1967213</v>
      </c>
      <c r="BM90" s="5">
        <v>1121780097.1967213</v>
      </c>
      <c r="BN90" s="15"/>
      <c r="BO90" s="3"/>
      <c r="BP90" s="5"/>
      <c r="BQ90" s="1"/>
      <c r="BR90" s="1"/>
      <c r="BS90" s="5"/>
      <c r="BT90" s="5"/>
    </row>
    <row r="91" spans="1:72" x14ac:dyDescent="0.25">
      <c r="A91" s="6" t="s">
        <v>145</v>
      </c>
      <c r="B91" s="56">
        <v>1607263343</v>
      </c>
      <c r="C91" s="56">
        <v>321144784</v>
      </c>
      <c r="D91" s="56">
        <v>488774888</v>
      </c>
      <c r="E91" s="56">
        <v>2600000</v>
      </c>
      <c r="F91" s="56">
        <v>92828939</v>
      </c>
      <c r="G91" s="56">
        <v>19363770</v>
      </c>
      <c r="H91" s="56">
        <v>22269070</v>
      </c>
      <c r="I91" s="56">
        <v>2195465</v>
      </c>
      <c r="J91" s="56">
        <v>396000</v>
      </c>
      <c r="K91" s="56">
        <v>0</v>
      </c>
      <c r="L91" s="56">
        <v>615451151</v>
      </c>
      <c r="M91" s="56">
        <v>269444680</v>
      </c>
      <c r="N91" s="56">
        <v>3257</v>
      </c>
      <c r="O91" s="56">
        <v>633</v>
      </c>
      <c r="P91" s="56">
        <v>17619205</v>
      </c>
      <c r="Q91" s="56">
        <v>3688000</v>
      </c>
      <c r="R91" s="56">
        <v>9606200</v>
      </c>
      <c r="S91" s="56">
        <v>6156017</v>
      </c>
      <c r="T91" s="56">
        <v>1297523</v>
      </c>
      <c r="U91" s="56">
        <v>3729105</v>
      </c>
      <c r="V91" s="56">
        <v>17158205</v>
      </c>
      <c r="W91" s="56">
        <v>3688000</v>
      </c>
      <c r="X91" s="56">
        <v>9606200</v>
      </c>
      <c r="Y91" s="56">
        <v>7521412</v>
      </c>
      <c r="Z91" s="56">
        <v>1562477</v>
      </c>
      <c r="AA91" s="56">
        <v>3729105</v>
      </c>
      <c r="AB91" s="56">
        <v>-9845781</v>
      </c>
      <c r="AC91" s="56">
        <v>2042883</v>
      </c>
      <c r="AD91" s="56">
        <v>28783</v>
      </c>
      <c r="AE91" s="56">
        <v>0</v>
      </c>
      <c r="AF91" s="56">
        <v>40</v>
      </c>
      <c r="AG91" s="56">
        <v>254803</v>
      </c>
      <c r="AH91" s="56">
        <v>0</v>
      </c>
      <c r="AI91" s="56">
        <v>1430147.5409836066</v>
      </c>
      <c r="AJ91" s="72">
        <v>0</v>
      </c>
      <c r="AK91" s="1">
        <v>294565016</v>
      </c>
      <c r="AL91" s="1">
        <v>7244818</v>
      </c>
      <c r="AM91" s="56">
        <v>0</v>
      </c>
      <c r="AN91" s="56">
        <v>73791985</v>
      </c>
      <c r="AO91" s="56">
        <v>8446590</v>
      </c>
      <c r="AP91" s="56">
        <v>348902602</v>
      </c>
      <c r="AQ91" s="56">
        <v>59949592</v>
      </c>
      <c r="AR91" s="56">
        <v>71872918</v>
      </c>
      <c r="AS91" s="15">
        <v>14292756</v>
      </c>
      <c r="AT91" s="56">
        <v>735821</v>
      </c>
      <c r="AU91" s="56">
        <v>0</v>
      </c>
      <c r="AV91" s="56">
        <v>0</v>
      </c>
      <c r="AW91" s="56">
        <v>2200172</v>
      </c>
      <c r="AX91" s="56">
        <v>114356</v>
      </c>
      <c r="AY91" s="56">
        <v>964000</v>
      </c>
      <c r="AZ91" s="1">
        <v>14433063.91</v>
      </c>
      <c r="BA91" s="1">
        <v>7360863</v>
      </c>
      <c r="BB91" s="69">
        <v>0</v>
      </c>
      <c r="BC91" s="69">
        <v>780302</v>
      </c>
      <c r="BD91" s="69">
        <v>1530004</v>
      </c>
      <c r="BE91" s="69">
        <v>17424061</v>
      </c>
      <c r="BF91" s="69">
        <v>16350416</v>
      </c>
      <c r="BG91" s="69">
        <v>49190374.5</v>
      </c>
      <c r="BH91" s="69">
        <v>48814625</v>
      </c>
      <c r="BI91" s="69">
        <v>420413566</v>
      </c>
      <c r="BJ91" s="69">
        <v>0</v>
      </c>
      <c r="BK91" s="63"/>
      <c r="BL91" s="5">
        <v>3356330935.5409837</v>
      </c>
      <c r="BM91" s="5">
        <v>2560801329.5409837</v>
      </c>
      <c r="BN91" s="15">
        <v>2651653</v>
      </c>
      <c r="BO91" s="3"/>
      <c r="BP91" s="5"/>
      <c r="BQ91" s="1"/>
      <c r="BR91" s="1"/>
      <c r="BS91" s="5"/>
      <c r="BT91" s="5"/>
    </row>
    <row r="92" spans="1:72" x14ac:dyDescent="0.25">
      <c r="A92" s="6" t="s">
        <v>146</v>
      </c>
      <c r="B92" s="56">
        <v>107935475</v>
      </c>
      <c r="C92" s="56">
        <v>90744313</v>
      </c>
      <c r="D92" s="56">
        <v>14446771</v>
      </c>
      <c r="E92" s="56">
        <v>0</v>
      </c>
      <c r="F92" s="56">
        <v>18709500</v>
      </c>
      <c r="G92" s="56">
        <v>4409135</v>
      </c>
      <c r="H92" s="56">
        <v>6712100</v>
      </c>
      <c r="I92" s="56">
        <v>1166900</v>
      </c>
      <c r="J92" s="56">
        <v>108000</v>
      </c>
      <c r="K92" s="56">
        <v>0</v>
      </c>
      <c r="L92" s="56">
        <v>80488850</v>
      </c>
      <c r="M92" s="56">
        <v>43693285</v>
      </c>
      <c r="N92" s="56">
        <v>742</v>
      </c>
      <c r="O92" s="56">
        <v>174</v>
      </c>
      <c r="P92" s="56">
        <v>1385536</v>
      </c>
      <c r="Q92" s="56">
        <v>716200</v>
      </c>
      <c r="R92" s="56">
        <v>50000</v>
      </c>
      <c r="S92" s="56">
        <v>1626288</v>
      </c>
      <c r="T92" s="56">
        <v>848800</v>
      </c>
      <c r="U92" s="56">
        <v>227500</v>
      </c>
      <c r="V92" s="56">
        <v>1385536</v>
      </c>
      <c r="W92" s="56">
        <v>796200</v>
      </c>
      <c r="X92" s="56">
        <v>50000</v>
      </c>
      <c r="Y92" s="56">
        <v>1626288</v>
      </c>
      <c r="Z92" s="56">
        <v>1236521</v>
      </c>
      <c r="AA92" s="56">
        <v>227500</v>
      </c>
      <c r="AB92" s="56">
        <v>-302700</v>
      </c>
      <c r="AC92" s="56">
        <v>-13006</v>
      </c>
      <c r="AD92" s="56">
        <v>0</v>
      </c>
      <c r="AE92" s="56">
        <v>0</v>
      </c>
      <c r="AF92" s="56">
        <v>0</v>
      </c>
      <c r="AG92" s="56">
        <v>114005</v>
      </c>
      <c r="AH92" s="56">
        <v>0</v>
      </c>
      <c r="AI92" s="56">
        <v>0</v>
      </c>
      <c r="AJ92" s="72">
        <v>0</v>
      </c>
      <c r="AK92" s="1">
        <v>39265552</v>
      </c>
      <c r="AL92" s="1">
        <v>781964</v>
      </c>
      <c r="AM92" s="56">
        <v>0</v>
      </c>
      <c r="AN92" s="56">
        <v>2223009</v>
      </c>
      <c r="AO92" s="56">
        <v>18538</v>
      </c>
      <c r="AP92" s="56">
        <v>1116074</v>
      </c>
      <c r="AQ92" s="56">
        <v>1604665</v>
      </c>
      <c r="AR92" s="56">
        <v>184213</v>
      </c>
      <c r="AS92" s="56">
        <v>0</v>
      </c>
      <c r="AT92" s="56">
        <v>51252</v>
      </c>
      <c r="AU92" s="56">
        <v>0</v>
      </c>
      <c r="AV92" s="56">
        <v>0</v>
      </c>
      <c r="AW92" s="56">
        <v>6178</v>
      </c>
      <c r="AX92" s="56">
        <v>0</v>
      </c>
      <c r="AY92" s="56">
        <v>0</v>
      </c>
      <c r="AZ92" s="1">
        <v>1923929.15</v>
      </c>
      <c r="BA92" s="1">
        <v>981204</v>
      </c>
      <c r="BB92" s="69">
        <v>0</v>
      </c>
      <c r="BC92" s="69">
        <v>955794</v>
      </c>
      <c r="BD92" s="69">
        <v>1874106</v>
      </c>
      <c r="BE92" s="69">
        <v>11349945</v>
      </c>
      <c r="BF92" s="69">
        <v>11349945</v>
      </c>
      <c r="BG92" s="69">
        <v>16914511.5</v>
      </c>
      <c r="BH92" s="69">
        <v>16419014</v>
      </c>
      <c r="BI92" s="69">
        <v>0</v>
      </c>
      <c r="BJ92" s="69">
        <v>0</v>
      </c>
      <c r="BK92" s="63"/>
      <c r="BL92" s="5">
        <v>286726244</v>
      </c>
      <c r="BM92" s="5">
        <v>216972771</v>
      </c>
      <c r="BN92" s="15">
        <v>241950</v>
      </c>
      <c r="BO92" s="3"/>
      <c r="BP92" s="5"/>
      <c r="BQ92" s="1"/>
      <c r="BR92" s="1"/>
      <c r="BS92" s="5"/>
      <c r="BT92" s="5"/>
    </row>
    <row r="93" spans="1:72" x14ac:dyDescent="0.25">
      <c r="A93" s="6" t="s">
        <v>147</v>
      </c>
      <c r="B93" s="56">
        <v>353175910</v>
      </c>
      <c r="C93" s="56">
        <v>203441938</v>
      </c>
      <c r="D93" s="56">
        <v>114782974</v>
      </c>
      <c r="E93" s="56">
        <v>0</v>
      </c>
      <c r="F93" s="56">
        <v>50987700</v>
      </c>
      <c r="G93" s="56">
        <v>15985418</v>
      </c>
      <c r="H93" s="56">
        <v>17628847</v>
      </c>
      <c r="I93" s="56">
        <v>4178495</v>
      </c>
      <c r="J93" s="56">
        <v>140670</v>
      </c>
      <c r="K93" s="56">
        <v>36000</v>
      </c>
      <c r="L93" s="56">
        <v>334839532</v>
      </c>
      <c r="M93" s="56">
        <v>15026088</v>
      </c>
      <c r="N93" s="56">
        <v>2114</v>
      </c>
      <c r="O93" s="56">
        <v>695</v>
      </c>
      <c r="P93" s="56">
        <v>3540900</v>
      </c>
      <c r="Q93" s="56">
        <v>2935500</v>
      </c>
      <c r="R93" s="56">
        <v>524550</v>
      </c>
      <c r="S93" s="56">
        <v>4276724</v>
      </c>
      <c r="T93" s="56">
        <v>710330</v>
      </c>
      <c r="U93" s="56">
        <v>304940</v>
      </c>
      <c r="V93" s="56">
        <v>3540900</v>
      </c>
      <c r="W93" s="56">
        <v>2935500</v>
      </c>
      <c r="X93" s="56">
        <v>524550</v>
      </c>
      <c r="Y93" s="56">
        <v>4276724</v>
      </c>
      <c r="Z93" s="56">
        <v>197086</v>
      </c>
      <c r="AA93" s="56">
        <v>304940</v>
      </c>
      <c r="AB93" s="56">
        <v>-3100770</v>
      </c>
      <c r="AC93" s="56">
        <v>-75768</v>
      </c>
      <c r="AD93" s="56">
        <v>339248</v>
      </c>
      <c r="AE93" s="56">
        <v>19315</v>
      </c>
      <c r="AF93" s="56">
        <v>21528662</v>
      </c>
      <c r="AG93" s="56">
        <v>339991</v>
      </c>
      <c r="AH93" s="56">
        <v>7625959.0163934426</v>
      </c>
      <c r="AI93" s="56">
        <v>358500</v>
      </c>
      <c r="AJ93" s="72">
        <v>62544333</v>
      </c>
      <c r="AK93" s="1">
        <v>122767409</v>
      </c>
      <c r="AL93" s="1">
        <v>3383977</v>
      </c>
      <c r="AM93" s="56">
        <v>0</v>
      </c>
      <c r="AN93" s="56">
        <v>157991446</v>
      </c>
      <c r="AO93" s="56">
        <v>12913665</v>
      </c>
      <c r="AP93" s="56">
        <v>128794856</v>
      </c>
      <c r="AQ93" s="56">
        <v>28189524</v>
      </c>
      <c r="AR93" s="56">
        <v>23538113</v>
      </c>
      <c r="AS93" s="56">
        <v>3250602</v>
      </c>
      <c r="AT93" s="56">
        <v>4142719</v>
      </c>
      <c r="AU93" s="56">
        <v>0</v>
      </c>
      <c r="AV93" s="56">
        <v>0</v>
      </c>
      <c r="AW93" s="56">
        <v>162404</v>
      </c>
      <c r="AX93" s="56">
        <v>9939</v>
      </c>
      <c r="AY93" s="56">
        <v>72000</v>
      </c>
      <c r="AZ93" s="1">
        <v>6015343.8600000003</v>
      </c>
      <c r="BA93" s="1">
        <v>3067825</v>
      </c>
      <c r="BB93" s="69">
        <v>9253886.010362694</v>
      </c>
      <c r="BC93" s="69">
        <v>1963203</v>
      </c>
      <c r="BD93" s="69">
        <v>3849418</v>
      </c>
      <c r="BE93" s="69">
        <v>52996577</v>
      </c>
      <c r="BF93" s="69">
        <v>49403118</v>
      </c>
      <c r="BG93" s="69">
        <v>65076908.5</v>
      </c>
      <c r="BH93" s="69">
        <v>63278585</v>
      </c>
      <c r="BI93" s="69">
        <v>0</v>
      </c>
      <c r="BJ93" s="69">
        <v>0</v>
      </c>
      <c r="BK93" s="63"/>
      <c r="BL93" s="5">
        <v>1184888366.0163934</v>
      </c>
      <c r="BM93" s="5">
        <v>941024249.01639342</v>
      </c>
      <c r="BN93" s="15">
        <v>647446</v>
      </c>
      <c r="BO93" s="3"/>
      <c r="BP93" s="5"/>
      <c r="BQ93" s="1"/>
      <c r="BR93" s="1"/>
      <c r="BS93" s="5"/>
      <c r="BT93" s="5"/>
    </row>
    <row r="94" spans="1:72" x14ac:dyDescent="0.25">
      <c r="A94" s="6" t="s">
        <v>148</v>
      </c>
      <c r="B94" s="56">
        <v>4711465343</v>
      </c>
      <c r="C94" s="56">
        <v>230433425</v>
      </c>
      <c r="D94" s="56">
        <v>442896740</v>
      </c>
      <c r="E94" s="56">
        <v>0</v>
      </c>
      <c r="F94" s="56">
        <v>128143100</v>
      </c>
      <c r="G94" s="56">
        <v>11693900</v>
      </c>
      <c r="H94" s="56">
        <v>6876000</v>
      </c>
      <c r="I94" s="56">
        <v>432000</v>
      </c>
      <c r="J94" s="56">
        <v>288000</v>
      </c>
      <c r="K94" s="56">
        <v>36000</v>
      </c>
      <c r="L94" s="56">
        <v>601829000</v>
      </c>
      <c r="M94" s="56">
        <v>193730950</v>
      </c>
      <c r="N94" s="56">
        <v>3776</v>
      </c>
      <c r="O94" s="56">
        <v>347</v>
      </c>
      <c r="P94" s="56">
        <v>81226900</v>
      </c>
      <c r="Q94" s="56">
        <v>6456000</v>
      </c>
      <c r="R94" s="56">
        <v>37917000</v>
      </c>
      <c r="S94" s="56">
        <v>13910757</v>
      </c>
      <c r="T94" s="56">
        <v>3382600</v>
      </c>
      <c r="U94" s="56">
        <v>1084500</v>
      </c>
      <c r="V94" s="56">
        <v>81226900</v>
      </c>
      <c r="W94" s="56">
        <v>12904100</v>
      </c>
      <c r="X94" s="56">
        <v>37917000</v>
      </c>
      <c r="Y94" s="56">
        <v>13910757</v>
      </c>
      <c r="Z94" s="56">
        <v>11246600</v>
      </c>
      <c r="AA94" s="56">
        <v>1084500</v>
      </c>
      <c r="AB94" s="56">
        <v>-6484970</v>
      </c>
      <c r="AC94" s="56">
        <v>-62156</v>
      </c>
      <c r="AD94" s="56">
        <v>0</v>
      </c>
      <c r="AE94" s="56">
        <v>0</v>
      </c>
      <c r="AF94" s="56">
        <v>0</v>
      </c>
      <c r="AG94" s="56">
        <v>64293</v>
      </c>
      <c r="AH94" s="56">
        <v>0</v>
      </c>
      <c r="AI94" s="56">
        <v>594147.5409836066</v>
      </c>
      <c r="AJ94" s="72">
        <v>0</v>
      </c>
      <c r="AK94" s="1">
        <v>465652441</v>
      </c>
      <c r="AL94" s="1">
        <v>14814529</v>
      </c>
      <c r="AM94" s="56">
        <v>5507076</v>
      </c>
      <c r="AN94" s="56">
        <v>50141012</v>
      </c>
      <c r="AO94" s="56">
        <v>3390447</v>
      </c>
      <c r="AP94" s="56">
        <v>51874350</v>
      </c>
      <c r="AQ94" s="56">
        <v>41181457</v>
      </c>
      <c r="AR94" s="56">
        <v>41930356</v>
      </c>
      <c r="AS94" s="56">
        <v>8558913</v>
      </c>
      <c r="AT94" s="56">
        <v>7903002</v>
      </c>
      <c r="AU94" s="56">
        <v>0</v>
      </c>
      <c r="AV94" s="56">
        <v>0</v>
      </c>
      <c r="AW94" s="56">
        <v>0</v>
      </c>
      <c r="AX94" s="56">
        <v>279247</v>
      </c>
      <c r="AY94" s="56">
        <v>7000</v>
      </c>
      <c r="AZ94" s="1">
        <v>22815986.539999999</v>
      </c>
      <c r="BA94" s="1">
        <v>11636153</v>
      </c>
      <c r="BB94" s="69">
        <v>15948186.528497409</v>
      </c>
      <c r="BC94" s="69">
        <v>904179</v>
      </c>
      <c r="BD94" s="69">
        <v>1772899</v>
      </c>
      <c r="BE94" s="69">
        <v>36861302</v>
      </c>
      <c r="BF94" s="69">
        <v>36861302</v>
      </c>
      <c r="BG94" s="69">
        <v>59320392</v>
      </c>
      <c r="BH94" s="69">
        <v>57914363</v>
      </c>
      <c r="BI94" s="69">
        <v>0</v>
      </c>
      <c r="BJ94" s="69">
        <v>0</v>
      </c>
      <c r="BK94" s="63"/>
      <c r="BL94" s="5">
        <v>6067885538.5409832</v>
      </c>
      <c r="BM94" s="5">
        <v>5480102571.5409832</v>
      </c>
      <c r="BN94" s="15">
        <v>1592670</v>
      </c>
      <c r="BO94" s="3"/>
      <c r="BP94" s="5"/>
      <c r="BQ94" s="1"/>
      <c r="BR94" s="1"/>
      <c r="BS94" s="5"/>
      <c r="BT94" s="5"/>
    </row>
    <row r="95" spans="1:72" x14ac:dyDescent="0.25">
      <c r="A95" s="6" t="s">
        <v>149</v>
      </c>
      <c r="B95" s="56">
        <v>264777010</v>
      </c>
      <c r="C95" s="56">
        <v>144828775</v>
      </c>
      <c r="D95" s="56">
        <v>42942100</v>
      </c>
      <c r="E95" s="56">
        <v>0</v>
      </c>
      <c r="F95" s="56">
        <v>21909400</v>
      </c>
      <c r="G95" s="56">
        <v>4585400</v>
      </c>
      <c r="H95" s="56">
        <v>11531100</v>
      </c>
      <c r="I95" s="56">
        <v>1427400</v>
      </c>
      <c r="J95" s="56">
        <v>36000</v>
      </c>
      <c r="K95" s="56">
        <v>0</v>
      </c>
      <c r="L95" s="56">
        <v>308061193</v>
      </c>
      <c r="M95" s="56">
        <v>102600</v>
      </c>
      <c r="N95" s="56">
        <v>976</v>
      </c>
      <c r="O95" s="56">
        <v>181</v>
      </c>
      <c r="P95" s="56">
        <v>3112800</v>
      </c>
      <c r="Q95" s="56">
        <v>3174400</v>
      </c>
      <c r="R95" s="56">
        <v>1279600</v>
      </c>
      <c r="S95" s="56">
        <v>4718050</v>
      </c>
      <c r="T95" s="56">
        <v>947300</v>
      </c>
      <c r="U95" s="56">
        <v>122100</v>
      </c>
      <c r="V95" s="56">
        <v>3112800</v>
      </c>
      <c r="W95" s="56">
        <v>3250000</v>
      </c>
      <c r="X95" s="56">
        <v>1279600</v>
      </c>
      <c r="Y95" s="56">
        <v>4718050</v>
      </c>
      <c r="Z95" s="56">
        <v>1657800</v>
      </c>
      <c r="AA95" s="56">
        <v>122100</v>
      </c>
      <c r="AB95" s="56">
        <v>-1848100</v>
      </c>
      <c r="AC95" s="56">
        <v>-138</v>
      </c>
      <c r="AD95" s="56">
        <v>70964</v>
      </c>
      <c r="AE95" s="56">
        <v>0</v>
      </c>
      <c r="AF95" s="56">
        <v>0</v>
      </c>
      <c r="AG95" s="56">
        <v>198916</v>
      </c>
      <c r="AH95" s="56">
        <v>0</v>
      </c>
      <c r="AI95" s="56">
        <v>0</v>
      </c>
      <c r="AJ95" s="72">
        <v>0</v>
      </c>
      <c r="AK95" s="1">
        <v>68884261</v>
      </c>
      <c r="AL95" s="1">
        <v>2494872</v>
      </c>
      <c r="AM95" s="56">
        <v>0</v>
      </c>
      <c r="AN95" s="56">
        <v>9598620</v>
      </c>
      <c r="AO95" s="56">
        <v>1985734</v>
      </c>
      <c r="AP95" s="56">
        <v>6075803</v>
      </c>
      <c r="AQ95" s="56">
        <v>5369109</v>
      </c>
      <c r="AR95" s="56">
        <v>9297021</v>
      </c>
      <c r="AS95" s="56">
        <v>306519</v>
      </c>
      <c r="AT95" s="56">
        <v>745351</v>
      </c>
      <c r="AU95" s="56">
        <v>0</v>
      </c>
      <c r="AV95" s="56">
        <v>18867</v>
      </c>
      <c r="AW95" s="56">
        <v>0</v>
      </c>
      <c r="AX95" s="56">
        <v>0</v>
      </c>
      <c r="AY95" s="56">
        <v>84000</v>
      </c>
      <c r="AZ95" s="1">
        <v>3375183.36</v>
      </c>
      <c r="BA95" s="1">
        <v>1721344</v>
      </c>
      <c r="BB95" s="69">
        <v>4873056.994818653</v>
      </c>
      <c r="BC95" s="69">
        <v>0</v>
      </c>
      <c r="BD95" s="69">
        <v>0</v>
      </c>
      <c r="BE95" s="69">
        <v>69710316</v>
      </c>
      <c r="BF95" s="69">
        <v>69710316</v>
      </c>
      <c r="BG95" s="69">
        <v>42561714</v>
      </c>
      <c r="BH95" s="69">
        <v>42549083</v>
      </c>
      <c r="BI95" s="69">
        <v>0</v>
      </c>
      <c r="BJ95" s="69">
        <v>0</v>
      </c>
      <c r="BK95" s="63"/>
      <c r="BL95" s="5">
        <v>654861224</v>
      </c>
      <c r="BM95" s="5">
        <v>469501348</v>
      </c>
      <c r="BN95" s="15">
        <v>246300</v>
      </c>
      <c r="BO95" s="3"/>
      <c r="BP95" s="5"/>
      <c r="BQ95" s="1"/>
      <c r="BR95" s="1"/>
      <c r="BS95" s="5"/>
      <c r="BT95" s="5"/>
    </row>
    <row r="96" spans="1:72" x14ac:dyDescent="0.25">
      <c r="A96" s="6" t="s">
        <v>150</v>
      </c>
      <c r="B96" s="56">
        <v>34355605</v>
      </c>
      <c r="C96" s="56">
        <v>34274632</v>
      </c>
      <c r="D96" s="56">
        <v>10397430</v>
      </c>
      <c r="E96" s="56">
        <v>0</v>
      </c>
      <c r="F96" s="56">
        <v>7216800</v>
      </c>
      <c r="G96" s="56">
        <v>8615500</v>
      </c>
      <c r="H96" s="56">
        <v>5343100</v>
      </c>
      <c r="I96" s="56">
        <v>3319600</v>
      </c>
      <c r="J96" s="56">
        <v>26000</v>
      </c>
      <c r="K96" s="56">
        <v>0</v>
      </c>
      <c r="L96" s="56">
        <v>20704462</v>
      </c>
      <c r="M96" s="56">
        <v>0</v>
      </c>
      <c r="N96" s="56">
        <v>384</v>
      </c>
      <c r="O96" s="56">
        <v>383</v>
      </c>
      <c r="P96" s="56">
        <v>708150</v>
      </c>
      <c r="Q96" s="56">
        <v>185000</v>
      </c>
      <c r="R96" s="56">
        <v>0</v>
      </c>
      <c r="S96" s="56">
        <v>682184</v>
      </c>
      <c r="T96" s="56">
        <v>322000</v>
      </c>
      <c r="U96" s="56">
        <v>0</v>
      </c>
      <c r="V96" s="56">
        <v>708150</v>
      </c>
      <c r="W96" s="56">
        <v>185000</v>
      </c>
      <c r="X96" s="56">
        <v>0</v>
      </c>
      <c r="Y96" s="56">
        <v>682184</v>
      </c>
      <c r="Z96" s="56">
        <v>322000</v>
      </c>
      <c r="AA96" s="56">
        <v>0</v>
      </c>
      <c r="AB96" s="56">
        <v>-869600</v>
      </c>
      <c r="AC96" s="56">
        <v>0</v>
      </c>
      <c r="AD96" s="56">
        <v>50370</v>
      </c>
      <c r="AE96" s="56">
        <v>0</v>
      </c>
      <c r="AF96" s="56">
        <v>0</v>
      </c>
      <c r="AG96" s="56">
        <v>105945</v>
      </c>
      <c r="AH96" s="56">
        <v>0</v>
      </c>
      <c r="AI96" s="56">
        <v>111718.03278688525</v>
      </c>
      <c r="AJ96" s="72">
        <v>1476622.9508196723</v>
      </c>
      <c r="AK96" s="1">
        <v>18923265</v>
      </c>
      <c r="AL96" s="1">
        <v>426626</v>
      </c>
      <c r="AM96" s="56">
        <v>0</v>
      </c>
      <c r="AN96" s="56">
        <v>1856434</v>
      </c>
      <c r="AO96" s="56">
        <v>81662</v>
      </c>
      <c r="AP96" s="56">
        <v>951871</v>
      </c>
      <c r="AQ96" s="56">
        <v>1477381</v>
      </c>
      <c r="AR96" s="56">
        <v>16740</v>
      </c>
      <c r="AS96" s="56">
        <v>0</v>
      </c>
      <c r="AT96" s="56">
        <v>39400</v>
      </c>
      <c r="AU96" s="56">
        <v>0</v>
      </c>
      <c r="AV96" s="56">
        <v>0</v>
      </c>
      <c r="AW96" s="56">
        <v>0</v>
      </c>
      <c r="AX96" s="56">
        <v>0</v>
      </c>
      <c r="AY96" s="56">
        <v>0</v>
      </c>
      <c r="AZ96" s="1">
        <v>927200.03</v>
      </c>
      <c r="BA96" s="1">
        <v>472872</v>
      </c>
      <c r="BB96" s="69">
        <v>0</v>
      </c>
      <c r="BC96" s="69">
        <v>0</v>
      </c>
      <c r="BD96" s="69">
        <v>0</v>
      </c>
      <c r="BE96" s="69">
        <v>1109201</v>
      </c>
      <c r="BF96" s="69">
        <v>1109201</v>
      </c>
      <c r="BG96" s="69">
        <v>20054370.5</v>
      </c>
      <c r="BH96" s="69">
        <v>20027704</v>
      </c>
      <c r="BI96" s="69">
        <v>0</v>
      </c>
      <c r="BJ96" s="69">
        <v>0</v>
      </c>
      <c r="BK96" s="63"/>
      <c r="BL96" s="5">
        <v>124991152.98360656</v>
      </c>
      <c r="BM96" s="5">
        <v>84031484.983606562</v>
      </c>
      <c r="BN96" s="15">
        <v>272800</v>
      </c>
      <c r="BO96" s="3"/>
      <c r="BP96" s="5"/>
      <c r="BQ96" s="1"/>
      <c r="BR96" s="1"/>
      <c r="BS96" s="5"/>
      <c r="BT96" s="5"/>
    </row>
    <row r="97" spans="1:72" x14ac:dyDescent="0.25">
      <c r="A97" s="6" t="s">
        <v>151</v>
      </c>
      <c r="B97" s="56">
        <v>280519756</v>
      </c>
      <c r="C97" s="56">
        <v>167179655</v>
      </c>
      <c r="D97" s="56">
        <v>62653818</v>
      </c>
      <c r="E97" s="56">
        <v>0</v>
      </c>
      <c r="F97" s="56">
        <v>26668600</v>
      </c>
      <c r="G97" s="56">
        <v>6679630</v>
      </c>
      <c r="H97" s="56">
        <v>16420350</v>
      </c>
      <c r="I97" s="56">
        <v>1982050</v>
      </c>
      <c r="J97" s="56">
        <v>134000</v>
      </c>
      <c r="K97" s="56">
        <v>0</v>
      </c>
      <c r="L97" s="56">
        <v>245734089</v>
      </c>
      <c r="M97" s="56">
        <v>132447830</v>
      </c>
      <c r="N97" s="56">
        <v>1246</v>
      </c>
      <c r="O97" s="56">
        <v>262</v>
      </c>
      <c r="P97" s="56">
        <v>2692600</v>
      </c>
      <c r="Q97" s="56">
        <v>5962190</v>
      </c>
      <c r="R97" s="56">
        <v>381000</v>
      </c>
      <c r="S97" s="56">
        <v>8528477</v>
      </c>
      <c r="T97" s="56">
        <v>2830599</v>
      </c>
      <c r="U97" s="56">
        <v>183400</v>
      </c>
      <c r="V97" s="56">
        <v>2692600</v>
      </c>
      <c r="W97" s="56">
        <v>6945110</v>
      </c>
      <c r="X97" s="56">
        <v>381000</v>
      </c>
      <c r="Y97" s="56">
        <v>8528477</v>
      </c>
      <c r="Z97" s="56">
        <v>12794351</v>
      </c>
      <c r="AA97" s="56">
        <v>183400</v>
      </c>
      <c r="AB97" s="56">
        <v>-1220865</v>
      </c>
      <c r="AC97" s="56">
        <v>-769</v>
      </c>
      <c r="AD97" s="56">
        <v>62</v>
      </c>
      <c r="AE97" s="56">
        <v>0</v>
      </c>
      <c r="AF97" s="56">
        <v>0</v>
      </c>
      <c r="AG97" s="56">
        <v>158010</v>
      </c>
      <c r="AH97" s="56">
        <v>0</v>
      </c>
      <c r="AI97" s="56">
        <v>2432491.8032786883</v>
      </c>
      <c r="AJ97" s="72">
        <v>0</v>
      </c>
      <c r="AK97" s="1">
        <v>91248252</v>
      </c>
      <c r="AL97" s="1">
        <v>1757700</v>
      </c>
      <c r="AM97" s="56">
        <v>0</v>
      </c>
      <c r="AN97" s="56">
        <v>21499620</v>
      </c>
      <c r="AO97" s="56">
        <v>2672683</v>
      </c>
      <c r="AP97" s="56">
        <v>68887413</v>
      </c>
      <c r="AQ97" s="56">
        <v>5991566</v>
      </c>
      <c r="AR97" s="56">
        <v>8960151</v>
      </c>
      <c r="AS97" s="56">
        <v>2170292</v>
      </c>
      <c r="AT97" s="56">
        <v>333452</v>
      </c>
      <c r="AU97" s="56">
        <v>0</v>
      </c>
      <c r="AV97" s="56">
        <v>0</v>
      </c>
      <c r="AW97" s="56">
        <v>93590</v>
      </c>
      <c r="AX97" s="56">
        <v>350607</v>
      </c>
      <c r="AY97" s="56">
        <v>412854</v>
      </c>
      <c r="AZ97" s="1">
        <v>4470971.71</v>
      </c>
      <c r="BA97" s="1">
        <v>2280196</v>
      </c>
      <c r="BB97" s="69">
        <v>3347150.2590673571</v>
      </c>
      <c r="BC97" s="69">
        <v>2526114</v>
      </c>
      <c r="BD97" s="69">
        <v>4953164</v>
      </c>
      <c r="BE97" s="69">
        <v>25821837</v>
      </c>
      <c r="BF97" s="69">
        <v>25821837</v>
      </c>
      <c r="BG97" s="69">
        <v>51154458</v>
      </c>
      <c r="BH97" s="69">
        <v>45967243</v>
      </c>
      <c r="BI97" s="69">
        <v>0</v>
      </c>
      <c r="BJ97" s="69">
        <v>0</v>
      </c>
      <c r="BK97" s="63"/>
      <c r="BL97" s="5">
        <v>712550931.80327868</v>
      </c>
      <c r="BM97" s="5">
        <v>542949589.80327868</v>
      </c>
      <c r="BN97" s="15">
        <v>455525</v>
      </c>
      <c r="BO97" s="3"/>
      <c r="BP97" s="5"/>
      <c r="BQ97" s="1"/>
      <c r="BR97" s="1"/>
      <c r="BS97" s="5"/>
      <c r="BT97" s="5"/>
    </row>
    <row r="98" spans="1:72" x14ac:dyDescent="0.25">
      <c r="A98" s="6" t="s">
        <v>152</v>
      </c>
      <c r="B98" s="56">
        <v>454938687</v>
      </c>
      <c r="C98" s="56">
        <v>59027633</v>
      </c>
      <c r="D98" s="56">
        <v>280141580</v>
      </c>
      <c r="E98" s="56">
        <v>0</v>
      </c>
      <c r="F98" s="56">
        <v>67495800</v>
      </c>
      <c r="G98" s="56">
        <v>41844263</v>
      </c>
      <c r="H98" s="56">
        <v>12067325</v>
      </c>
      <c r="I98" s="56">
        <v>4111500</v>
      </c>
      <c r="J98" s="56">
        <v>490800</v>
      </c>
      <c r="K98" s="56">
        <v>180000</v>
      </c>
      <c r="L98" s="56">
        <v>62267586</v>
      </c>
      <c r="M98" s="56">
        <v>42966259</v>
      </c>
      <c r="N98" s="56">
        <v>2543</v>
      </c>
      <c r="O98" s="56">
        <v>1608</v>
      </c>
      <c r="P98" s="56">
        <v>865000</v>
      </c>
      <c r="Q98" s="56">
        <v>126000</v>
      </c>
      <c r="R98" s="56">
        <v>752000</v>
      </c>
      <c r="S98" s="56">
        <v>2213167</v>
      </c>
      <c r="T98" s="56">
        <v>264400</v>
      </c>
      <c r="U98" s="56">
        <v>355000</v>
      </c>
      <c r="V98" s="56">
        <v>865000</v>
      </c>
      <c r="W98" s="56">
        <v>58000</v>
      </c>
      <c r="X98" s="56">
        <v>752000</v>
      </c>
      <c r="Y98" s="56">
        <v>2213167</v>
      </c>
      <c r="Z98" s="56">
        <v>228300</v>
      </c>
      <c r="AA98" s="56">
        <v>355000</v>
      </c>
      <c r="AB98" s="56">
        <v>-10029829</v>
      </c>
      <c r="AC98" s="56">
        <v>-140000</v>
      </c>
      <c r="AD98" s="56">
        <v>143557</v>
      </c>
      <c r="AE98" s="56">
        <v>35</v>
      </c>
      <c r="AF98" s="56">
        <v>0</v>
      </c>
      <c r="AG98" s="56">
        <v>169524</v>
      </c>
      <c r="AH98" s="56">
        <v>18448311.475409836</v>
      </c>
      <c r="AI98" s="56">
        <v>50875768.032786883</v>
      </c>
      <c r="AJ98" s="72">
        <v>256405758</v>
      </c>
      <c r="AK98" s="1">
        <v>153652552</v>
      </c>
      <c r="AL98" s="1">
        <v>4681495</v>
      </c>
      <c r="AM98" s="56">
        <v>0</v>
      </c>
      <c r="AN98" s="56">
        <v>205877815</v>
      </c>
      <c r="AO98" s="56">
        <v>7338168</v>
      </c>
      <c r="AP98" s="56">
        <v>57174061</v>
      </c>
      <c r="AQ98" s="56">
        <v>64501597</v>
      </c>
      <c r="AR98" s="56">
        <v>30123350</v>
      </c>
      <c r="AS98" s="56">
        <v>135616</v>
      </c>
      <c r="AT98" s="56">
        <v>131874</v>
      </c>
      <c r="AU98" s="56">
        <v>0</v>
      </c>
      <c r="AV98" s="56">
        <v>0</v>
      </c>
      <c r="AW98" s="56">
        <v>0</v>
      </c>
      <c r="AX98" s="56">
        <v>118114</v>
      </c>
      <c r="AY98" s="56">
        <v>21574408</v>
      </c>
      <c r="AZ98" s="1">
        <v>7528650.6600000001</v>
      </c>
      <c r="BA98" s="1">
        <v>3839612</v>
      </c>
      <c r="BB98" s="69">
        <v>0</v>
      </c>
      <c r="BC98" s="69">
        <v>6420943</v>
      </c>
      <c r="BD98" s="69">
        <v>12590085</v>
      </c>
      <c r="BE98" s="69">
        <v>32066162</v>
      </c>
      <c r="BF98" s="69">
        <v>32066162</v>
      </c>
      <c r="BG98" s="69">
        <v>115495200</v>
      </c>
      <c r="BH98" s="69">
        <v>106457984</v>
      </c>
      <c r="BI98" s="69">
        <v>0</v>
      </c>
      <c r="BJ98" s="69">
        <v>0</v>
      </c>
      <c r="BK98" s="63"/>
      <c r="BL98" s="5">
        <v>1704674065.5081968</v>
      </c>
      <c r="BM98" s="5">
        <v>1397555317.5081968</v>
      </c>
      <c r="BN98" s="15">
        <v>1160600</v>
      </c>
      <c r="BO98" s="3"/>
      <c r="BP98" s="5"/>
      <c r="BQ98" s="1"/>
      <c r="BR98" s="1"/>
      <c r="BS98" s="5"/>
      <c r="BT98" s="5"/>
    </row>
    <row r="99" spans="1:72" x14ac:dyDescent="0.25">
      <c r="A99" s="6" t="s">
        <v>153</v>
      </c>
      <c r="B99" s="40">
        <v>985517838</v>
      </c>
      <c r="C99" s="40">
        <v>149096157</v>
      </c>
      <c r="D99" s="40">
        <v>390727583</v>
      </c>
      <c r="E99" s="40">
        <v>0</v>
      </c>
      <c r="F99" s="40">
        <v>143258650</v>
      </c>
      <c r="G99" s="40">
        <v>128926200</v>
      </c>
      <c r="H99" s="40">
        <v>30993650</v>
      </c>
      <c r="I99" s="40">
        <v>18705238</v>
      </c>
      <c r="J99" s="40">
        <v>609000</v>
      </c>
      <c r="K99" s="40">
        <v>283000</v>
      </c>
      <c r="L99" s="40">
        <v>157571373</v>
      </c>
      <c r="M99" s="40">
        <v>153337511</v>
      </c>
      <c r="N99" s="40">
        <v>5716</v>
      </c>
      <c r="O99" s="40">
        <v>5338</v>
      </c>
      <c r="P99" s="40">
        <v>11234800</v>
      </c>
      <c r="Q99" s="40">
        <v>1236036</v>
      </c>
      <c r="R99" s="40">
        <v>9900600</v>
      </c>
      <c r="S99" s="40">
        <v>5245064</v>
      </c>
      <c r="T99" s="40">
        <v>928000</v>
      </c>
      <c r="U99" s="40">
        <v>1648800</v>
      </c>
      <c r="V99" s="40">
        <v>11234800</v>
      </c>
      <c r="W99" s="40">
        <v>1026636</v>
      </c>
      <c r="X99" s="40">
        <v>9900600</v>
      </c>
      <c r="Y99" s="40">
        <v>5245064</v>
      </c>
      <c r="Z99" s="40">
        <v>814225</v>
      </c>
      <c r="AA99" s="40">
        <v>1648800</v>
      </c>
      <c r="AB99" s="40">
        <v>-6521015</v>
      </c>
      <c r="AC99" s="40">
        <v>-172244</v>
      </c>
      <c r="AD99" s="40">
        <v>373825</v>
      </c>
      <c r="AE99" s="40">
        <v>0</v>
      </c>
      <c r="AF99" s="40">
        <v>0</v>
      </c>
      <c r="AG99" s="40">
        <v>531153</v>
      </c>
      <c r="AH99" s="40">
        <v>18213754.098360654</v>
      </c>
      <c r="AI99" s="40">
        <v>202965322.13114753</v>
      </c>
      <c r="AJ99" s="72">
        <v>423599993</v>
      </c>
      <c r="AK99" s="1">
        <v>470472748</v>
      </c>
      <c r="AL99" s="1">
        <v>10089465</v>
      </c>
      <c r="AM99" s="40">
        <v>0</v>
      </c>
      <c r="AN99" s="40">
        <v>369117434</v>
      </c>
      <c r="AO99" s="40">
        <v>19382351</v>
      </c>
      <c r="AP99" s="40">
        <v>165731442</v>
      </c>
      <c r="AQ99" s="40">
        <v>122882032</v>
      </c>
      <c r="AR99" s="40">
        <v>63984313</v>
      </c>
      <c r="AS99" s="40">
        <v>1568554</v>
      </c>
      <c r="AT99" s="40">
        <v>0</v>
      </c>
      <c r="AU99" s="40">
        <v>0</v>
      </c>
      <c r="AV99" s="40">
        <v>0</v>
      </c>
      <c r="AW99" s="40">
        <v>0</v>
      </c>
      <c r="AX99" s="40">
        <v>198469</v>
      </c>
      <c r="AY99" s="40">
        <v>991300</v>
      </c>
      <c r="AZ99" s="1">
        <v>23052171.399999999</v>
      </c>
      <c r="BA99" s="1">
        <v>11756607</v>
      </c>
      <c r="BB99" s="69">
        <v>0</v>
      </c>
      <c r="BC99" s="69">
        <v>7213390</v>
      </c>
      <c r="BD99" s="69">
        <v>14143902</v>
      </c>
      <c r="BE99" s="69">
        <v>84778096</v>
      </c>
      <c r="BF99" s="69">
        <v>84778096</v>
      </c>
      <c r="BG99" s="69">
        <v>265301373.5</v>
      </c>
      <c r="BH99" s="69">
        <v>255330058</v>
      </c>
      <c r="BI99" s="69">
        <v>0</v>
      </c>
      <c r="BJ99" s="69">
        <v>0</v>
      </c>
      <c r="BK99" s="44"/>
      <c r="BL99" s="5">
        <v>3521142828.2295084</v>
      </c>
      <c r="BM99" s="5">
        <v>2681502464.2295084</v>
      </c>
      <c r="BN99" s="15">
        <v>10687469</v>
      </c>
      <c r="BO99" s="3"/>
      <c r="BP99" s="5"/>
      <c r="BQ99" s="1"/>
      <c r="BR99" s="1"/>
      <c r="BS99" s="5"/>
      <c r="BT99" s="5"/>
    </row>
    <row r="100" spans="1:72" x14ac:dyDescent="0.25">
      <c r="A100" s="6" t="s">
        <v>154</v>
      </c>
      <c r="B100" s="56">
        <v>242001267</v>
      </c>
      <c r="C100" s="56">
        <v>53450072</v>
      </c>
      <c r="D100" s="56">
        <v>79008609</v>
      </c>
      <c r="E100" s="56">
        <v>0</v>
      </c>
      <c r="F100" s="56">
        <v>26004152</v>
      </c>
      <c r="G100" s="56">
        <v>13178842</v>
      </c>
      <c r="H100" s="56">
        <v>5206165</v>
      </c>
      <c r="I100" s="56">
        <v>1221325</v>
      </c>
      <c r="J100" s="56">
        <v>72000</v>
      </c>
      <c r="K100" s="56">
        <v>22500</v>
      </c>
      <c r="L100" s="56">
        <v>27140185</v>
      </c>
      <c r="M100" s="56">
        <v>27803083</v>
      </c>
      <c r="N100" s="56">
        <v>995</v>
      </c>
      <c r="O100" s="56">
        <v>485</v>
      </c>
      <c r="P100" s="56">
        <v>1526105</v>
      </c>
      <c r="Q100" s="56">
        <v>25000</v>
      </c>
      <c r="R100" s="56">
        <v>50000</v>
      </c>
      <c r="S100" s="56">
        <v>2213214</v>
      </c>
      <c r="T100" s="56">
        <v>554631</v>
      </c>
      <c r="U100" s="56">
        <v>226567</v>
      </c>
      <c r="V100" s="56">
        <v>1526105</v>
      </c>
      <c r="W100" s="56">
        <v>25000</v>
      </c>
      <c r="X100" s="56">
        <v>50000</v>
      </c>
      <c r="Y100" s="56">
        <v>2213214</v>
      </c>
      <c r="Z100" s="56">
        <v>902582</v>
      </c>
      <c r="AA100" s="56">
        <v>226567</v>
      </c>
      <c r="AB100" s="56">
        <v>-1442667</v>
      </c>
      <c r="AC100" s="56">
        <v>0</v>
      </c>
      <c r="AD100" s="56">
        <v>63334</v>
      </c>
      <c r="AE100" s="56">
        <v>0</v>
      </c>
      <c r="AF100" s="56">
        <v>0</v>
      </c>
      <c r="AG100" s="56">
        <v>77651</v>
      </c>
      <c r="AH100" s="56">
        <v>917721.31147540978</v>
      </c>
      <c r="AI100" s="56">
        <v>395204.91803278693</v>
      </c>
      <c r="AJ100" s="72">
        <v>0</v>
      </c>
      <c r="AK100" s="1">
        <v>71594859</v>
      </c>
      <c r="AL100" s="1">
        <v>1369350</v>
      </c>
      <c r="AM100" s="56">
        <v>65000</v>
      </c>
      <c r="AN100" s="56">
        <v>7553939</v>
      </c>
      <c r="AO100" s="56">
        <v>157404</v>
      </c>
      <c r="AP100" s="56">
        <v>16616724</v>
      </c>
      <c r="AQ100" s="56">
        <v>11071946</v>
      </c>
      <c r="AR100" s="56">
        <v>4180420</v>
      </c>
      <c r="AS100" s="56">
        <v>0</v>
      </c>
      <c r="AT100" s="56">
        <v>0</v>
      </c>
      <c r="AU100" s="56">
        <v>0</v>
      </c>
      <c r="AV100" s="56">
        <v>0</v>
      </c>
      <c r="AW100" s="56">
        <v>0</v>
      </c>
      <c r="AX100" s="56">
        <v>3508664</v>
      </c>
      <c r="AY100" s="56">
        <v>75500</v>
      </c>
      <c r="AZ100" s="1">
        <v>3507996.94</v>
      </c>
      <c r="BA100" s="1">
        <v>1789078</v>
      </c>
      <c r="BB100" s="69">
        <v>0</v>
      </c>
      <c r="BC100" s="69">
        <v>0</v>
      </c>
      <c r="BD100" s="69">
        <v>0</v>
      </c>
      <c r="BE100" s="69">
        <v>9955573</v>
      </c>
      <c r="BF100" s="69">
        <v>9955573</v>
      </c>
      <c r="BG100" s="69">
        <v>45551119.5</v>
      </c>
      <c r="BH100" s="69">
        <v>45499187</v>
      </c>
      <c r="BI100" s="69">
        <v>0</v>
      </c>
      <c r="BJ100" s="69">
        <v>0</v>
      </c>
      <c r="BK100" s="63"/>
      <c r="BL100" s="5">
        <v>524764210.22950816</v>
      </c>
      <c r="BM100" s="5">
        <v>394556163.22950816</v>
      </c>
      <c r="BN100" s="15">
        <v>834551</v>
      </c>
      <c r="BO100" s="3"/>
      <c r="BP100" s="5"/>
      <c r="BQ100" s="1"/>
      <c r="BR100" s="1"/>
      <c r="BS100" s="5"/>
      <c r="BT100" s="5"/>
    </row>
    <row r="101" spans="1:72" x14ac:dyDescent="0.25">
      <c r="A101" s="6" t="s">
        <v>155</v>
      </c>
      <c r="B101" s="56">
        <v>2059607590</v>
      </c>
      <c r="C101" s="56">
        <v>331454247</v>
      </c>
      <c r="D101" s="56">
        <v>745323054</v>
      </c>
      <c r="E101" s="56">
        <v>0</v>
      </c>
      <c r="F101" s="56">
        <v>178260134</v>
      </c>
      <c r="G101" s="56">
        <v>38165287</v>
      </c>
      <c r="H101" s="56">
        <v>33106395</v>
      </c>
      <c r="I101" s="56">
        <v>3651600</v>
      </c>
      <c r="J101" s="56">
        <v>288000</v>
      </c>
      <c r="K101" s="56">
        <v>108000</v>
      </c>
      <c r="L101" s="56">
        <v>629352596</v>
      </c>
      <c r="M101" s="56">
        <v>215702686</v>
      </c>
      <c r="N101" s="56">
        <v>6208</v>
      </c>
      <c r="O101" s="56">
        <v>1326</v>
      </c>
      <c r="P101" s="56">
        <v>18043547</v>
      </c>
      <c r="Q101" s="56">
        <v>4107696</v>
      </c>
      <c r="R101" s="56">
        <v>5918360</v>
      </c>
      <c r="S101" s="56">
        <v>3265710</v>
      </c>
      <c r="T101" s="56">
        <v>207996</v>
      </c>
      <c r="U101" s="56">
        <v>206220</v>
      </c>
      <c r="V101" s="56">
        <v>18043547</v>
      </c>
      <c r="W101" s="56">
        <v>4107696</v>
      </c>
      <c r="X101" s="56">
        <v>5918360</v>
      </c>
      <c r="Y101" s="56">
        <v>3265710</v>
      </c>
      <c r="Z101" s="56">
        <v>207996</v>
      </c>
      <c r="AA101" s="56">
        <v>206220</v>
      </c>
      <c r="AB101" s="56">
        <v>-8650772</v>
      </c>
      <c r="AC101" s="56">
        <v>-13050817</v>
      </c>
      <c r="AD101" s="56">
        <v>43245</v>
      </c>
      <c r="AE101" s="56">
        <v>0</v>
      </c>
      <c r="AF101" s="56">
        <v>0</v>
      </c>
      <c r="AG101" s="56">
        <v>306039</v>
      </c>
      <c r="AH101" s="56">
        <v>136647.54098360657</v>
      </c>
      <c r="AI101" s="56">
        <v>780442.62295081967</v>
      </c>
      <c r="AJ101" s="72">
        <v>105500.00000000001</v>
      </c>
      <c r="AK101" s="1">
        <v>395694340</v>
      </c>
      <c r="AL101" s="1">
        <v>26230497</v>
      </c>
      <c r="AM101" s="56">
        <v>11892045</v>
      </c>
      <c r="AN101" s="56">
        <v>125616545</v>
      </c>
      <c r="AO101" s="56">
        <v>10073885</v>
      </c>
      <c r="AP101" s="56">
        <v>227632810</v>
      </c>
      <c r="AQ101" s="56">
        <v>118330526</v>
      </c>
      <c r="AR101" s="56">
        <v>121259786</v>
      </c>
      <c r="AS101" s="56">
        <v>21696890</v>
      </c>
      <c r="AT101" s="56">
        <v>8803170</v>
      </c>
      <c r="AU101" s="56">
        <v>0</v>
      </c>
      <c r="AV101" s="56">
        <v>54727</v>
      </c>
      <c r="AW101" s="56">
        <v>0</v>
      </c>
      <c r="AX101" s="56">
        <v>41442791</v>
      </c>
      <c r="AY101" s="56">
        <v>2542128</v>
      </c>
      <c r="AZ101" s="1">
        <v>19388187.280000001</v>
      </c>
      <c r="BA101" s="1">
        <v>9887976</v>
      </c>
      <c r="BB101" s="69">
        <v>0</v>
      </c>
      <c r="BC101" s="69">
        <v>4595584</v>
      </c>
      <c r="BD101" s="69">
        <v>9010948</v>
      </c>
      <c r="BE101" s="69">
        <v>56265424</v>
      </c>
      <c r="BF101" s="69">
        <v>56265424</v>
      </c>
      <c r="BG101" s="69">
        <v>140566632</v>
      </c>
      <c r="BH101" s="69">
        <v>128980152</v>
      </c>
      <c r="BI101" s="69">
        <v>0</v>
      </c>
      <c r="BJ101" s="69">
        <v>0</v>
      </c>
      <c r="BK101" s="63"/>
      <c r="BL101" s="5">
        <v>4013082410.1639347</v>
      </c>
      <c r="BM101" s="5">
        <v>3391428437.1639347</v>
      </c>
      <c r="BN101" s="15">
        <v>4697500</v>
      </c>
      <c r="BO101" s="3"/>
      <c r="BP101" s="5"/>
      <c r="BQ101" s="1"/>
      <c r="BR101" s="1"/>
      <c r="BS101" s="5"/>
      <c r="BT101" s="5"/>
    </row>
    <row r="102" spans="1:72" x14ac:dyDescent="0.25">
      <c r="A102" s="6" t="s">
        <v>156</v>
      </c>
      <c r="B102" s="56">
        <v>20983767</v>
      </c>
      <c r="C102" s="56">
        <v>36120251</v>
      </c>
      <c r="D102" s="56">
        <v>3297801</v>
      </c>
      <c r="E102" s="56">
        <v>0</v>
      </c>
      <c r="F102" s="56">
        <v>3882222</v>
      </c>
      <c r="G102" s="56">
        <v>935600</v>
      </c>
      <c r="H102" s="56">
        <v>3100539</v>
      </c>
      <c r="I102" s="56">
        <v>966040</v>
      </c>
      <c r="J102" s="56">
        <v>0</v>
      </c>
      <c r="K102" s="56">
        <v>0</v>
      </c>
      <c r="L102" s="56">
        <v>53374926</v>
      </c>
      <c r="M102" s="56">
        <v>0</v>
      </c>
      <c r="N102" s="56">
        <v>206</v>
      </c>
      <c r="O102" s="56">
        <v>60</v>
      </c>
      <c r="P102" s="56">
        <v>156400</v>
      </c>
      <c r="Q102" s="56">
        <v>525198</v>
      </c>
      <c r="R102" s="56">
        <v>500</v>
      </c>
      <c r="S102" s="56">
        <v>222349</v>
      </c>
      <c r="T102" s="56">
        <v>59600</v>
      </c>
      <c r="U102" s="56">
        <v>0</v>
      </c>
      <c r="V102" s="56">
        <v>156400</v>
      </c>
      <c r="W102" s="56">
        <v>536088</v>
      </c>
      <c r="X102" s="56">
        <v>500</v>
      </c>
      <c r="Y102" s="56">
        <v>222349</v>
      </c>
      <c r="Z102" s="56">
        <v>59600</v>
      </c>
      <c r="AA102" s="56">
        <v>0</v>
      </c>
      <c r="AB102" s="56">
        <v>-244062</v>
      </c>
      <c r="AC102" s="56">
        <v>7248</v>
      </c>
      <c r="AD102" s="56">
        <v>0</v>
      </c>
      <c r="AE102" s="56">
        <v>0</v>
      </c>
      <c r="AF102" s="56">
        <v>0</v>
      </c>
      <c r="AG102" s="56">
        <v>0</v>
      </c>
      <c r="AH102" s="56">
        <v>0</v>
      </c>
      <c r="AI102" s="56">
        <v>0</v>
      </c>
      <c r="AJ102" s="72">
        <v>0</v>
      </c>
      <c r="AK102" s="1">
        <v>12682535</v>
      </c>
      <c r="AL102" s="1">
        <v>258630</v>
      </c>
      <c r="AM102" s="56">
        <v>0</v>
      </c>
      <c r="AN102" s="56">
        <v>790081</v>
      </c>
      <c r="AO102" s="56">
        <v>20295</v>
      </c>
      <c r="AP102" s="56">
        <v>1215</v>
      </c>
      <c r="AQ102" s="56">
        <v>760821</v>
      </c>
      <c r="AR102" s="56">
        <v>0</v>
      </c>
      <c r="AS102" s="56">
        <v>0</v>
      </c>
      <c r="AT102" s="56">
        <v>0</v>
      </c>
      <c r="AU102" s="56">
        <v>0</v>
      </c>
      <c r="AV102" s="56">
        <v>0</v>
      </c>
      <c r="AW102" s="56">
        <v>0</v>
      </c>
      <c r="AX102" s="56">
        <v>0</v>
      </c>
      <c r="AY102" s="56">
        <v>0</v>
      </c>
      <c r="AZ102" s="1">
        <v>621417.43999999994</v>
      </c>
      <c r="BA102" s="1">
        <v>316923</v>
      </c>
      <c r="BB102" s="69">
        <v>0</v>
      </c>
      <c r="BC102" s="69">
        <v>0</v>
      </c>
      <c r="BD102" s="69">
        <v>0</v>
      </c>
      <c r="BE102" s="69">
        <v>3863897</v>
      </c>
      <c r="BF102" s="69">
        <v>3863897</v>
      </c>
      <c r="BG102" s="69">
        <v>9727467.5</v>
      </c>
      <c r="BH102" s="69">
        <v>9726067</v>
      </c>
      <c r="BI102" s="69">
        <v>0</v>
      </c>
      <c r="BJ102" s="69">
        <v>0</v>
      </c>
      <c r="BK102" s="63"/>
      <c r="BL102" s="5">
        <v>88821068</v>
      </c>
      <c r="BM102" s="5">
        <v>61973016</v>
      </c>
      <c r="BN102" s="15">
        <v>71800</v>
      </c>
      <c r="BO102" s="3"/>
      <c r="BP102" s="5"/>
      <c r="BQ102" s="1"/>
      <c r="BR102" s="1"/>
      <c r="BS102" s="5"/>
      <c r="BT102" s="5"/>
    </row>
    <row r="103" spans="1:72" x14ac:dyDescent="0.25">
      <c r="A103" s="6" t="s">
        <v>157</v>
      </c>
      <c r="B103" s="56">
        <v>228971037</v>
      </c>
      <c r="C103" s="56">
        <v>81209260</v>
      </c>
      <c r="D103" s="56">
        <v>65280706</v>
      </c>
      <c r="E103" s="56">
        <v>0</v>
      </c>
      <c r="F103" s="56">
        <v>37516200</v>
      </c>
      <c r="G103" s="56">
        <v>17613500</v>
      </c>
      <c r="H103" s="56">
        <v>13092500</v>
      </c>
      <c r="I103" s="56">
        <v>2281900</v>
      </c>
      <c r="J103" s="56">
        <v>72000</v>
      </c>
      <c r="K103" s="56">
        <v>0</v>
      </c>
      <c r="L103" s="56">
        <v>97979489</v>
      </c>
      <c r="M103" s="56">
        <v>57563200</v>
      </c>
      <c r="N103" s="56">
        <v>1471</v>
      </c>
      <c r="O103" s="56">
        <v>616</v>
      </c>
      <c r="P103" s="56">
        <v>1916250</v>
      </c>
      <c r="Q103" s="56">
        <v>1140000</v>
      </c>
      <c r="R103" s="56">
        <v>0</v>
      </c>
      <c r="S103" s="56">
        <v>3015550</v>
      </c>
      <c r="T103" s="56">
        <v>226000</v>
      </c>
      <c r="U103" s="56">
        <v>174100</v>
      </c>
      <c r="V103" s="56">
        <v>1916250</v>
      </c>
      <c r="W103" s="56">
        <v>217100</v>
      </c>
      <c r="X103" s="56">
        <v>0</v>
      </c>
      <c r="Y103" s="56">
        <v>3015550</v>
      </c>
      <c r="Z103" s="56">
        <v>285500</v>
      </c>
      <c r="AA103" s="56">
        <v>174100</v>
      </c>
      <c r="AB103" s="56">
        <v>-2935600</v>
      </c>
      <c r="AC103" s="56">
        <v>0</v>
      </c>
      <c r="AD103" s="56">
        <v>80212</v>
      </c>
      <c r="AE103" s="56">
        <v>0</v>
      </c>
      <c r="AF103" s="56">
        <v>0</v>
      </c>
      <c r="AG103" s="56">
        <v>0</v>
      </c>
      <c r="AH103" s="56">
        <v>0</v>
      </c>
      <c r="AI103" s="56">
        <v>293262.2950819672</v>
      </c>
      <c r="AJ103" s="72">
        <v>62729.508196721312</v>
      </c>
      <c r="AK103" s="1">
        <v>78894687</v>
      </c>
      <c r="AL103" s="1">
        <v>1981888</v>
      </c>
      <c r="AM103" s="56">
        <v>18138</v>
      </c>
      <c r="AN103" s="56">
        <v>10462615</v>
      </c>
      <c r="AO103" s="56">
        <v>149761</v>
      </c>
      <c r="AP103" s="56">
        <v>9330855</v>
      </c>
      <c r="AQ103" s="56">
        <v>6264755</v>
      </c>
      <c r="AR103" s="56">
        <v>1831947</v>
      </c>
      <c r="AS103" s="56">
        <v>0</v>
      </c>
      <c r="AT103" s="56">
        <v>0</v>
      </c>
      <c r="AU103" s="56">
        <v>0</v>
      </c>
      <c r="AV103" s="56">
        <v>0</v>
      </c>
      <c r="AW103" s="56">
        <v>0</v>
      </c>
      <c r="AX103" s="56">
        <v>109477</v>
      </c>
      <c r="AY103" s="56">
        <v>4000</v>
      </c>
      <c r="AZ103" s="1">
        <v>3865673.1</v>
      </c>
      <c r="BA103" s="1">
        <v>1971493</v>
      </c>
      <c r="BB103" s="69">
        <v>0</v>
      </c>
      <c r="BC103" s="69">
        <v>2448387</v>
      </c>
      <c r="BD103" s="69">
        <v>4800759</v>
      </c>
      <c r="BE103" s="69">
        <v>8768282</v>
      </c>
      <c r="BF103" s="69">
        <v>8768282</v>
      </c>
      <c r="BG103" s="69">
        <v>36606799.5</v>
      </c>
      <c r="BH103" s="69">
        <v>33263148</v>
      </c>
      <c r="BI103" s="69">
        <v>0</v>
      </c>
      <c r="BJ103" s="69">
        <v>0</v>
      </c>
      <c r="BK103" s="63"/>
      <c r="BL103" s="5">
        <v>520022010.80327868</v>
      </c>
      <c r="BM103" s="5">
        <v>392694125.80327868</v>
      </c>
      <c r="BN103" s="15"/>
      <c r="BO103" s="3"/>
      <c r="BP103" s="5"/>
      <c r="BQ103" s="1"/>
      <c r="BR103" s="1"/>
      <c r="BS103" s="5"/>
      <c r="BT103" s="5"/>
    </row>
    <row r="104" spans="1:72" x14ac:dyDescent="0.25">
      <c r="A104" s="6" t="s">
        <v>158</v>
      </c>
      <c r="B104" s="56">
        <v>519810641</v>
      </c>
      <c r="C104" s="56">
        <v>95917224</v>
      </c>
      <c r="D104" s="56">
        <v>283302965</v>
      </c>
      <c r="E104" s="56">
        <v>0</v>
      </c>
      <c r="F104" s="56">
        <v>47053075</v>
      </c>
      <c r="G104" s="56">
        <v>11126911</v>
      </c>
      <c r="H104" s="56">
        <v>13223429</v>
      </c>
      <c r="I104" s="56">
        <v>1550600</v>
      </c>
      <c r="J104" s="56">
        <v>36000</v>
      </c>
      <c r="K104" s="56">
        <v>0</v>
      </c>
      <c r="L104" s="56">
        <v>86601347</v>
      </c>
      <c r="M104" s="56">
        <v>1950</v>
      </c>
      <c r="N104" s="56">
        <v>1823</v>
      </c>
      <c r="O104" s="56">
        <v>428</v>
      </c>
      <c r="P104" s="56">
        <v>9985329</v>
      </c>
      <c r="Q104" s="56">
        <v>1019407</v>
      </c>
      <c r="R104" s="56">
        <v>5905525</v>
      </c>
      <c r="S104" s="56">
        <v>4976239</v>
      </c>
      <c r="T104" s="56">
        <v>670063</v>
      </c>
      <c r="U104" s="56">
        <v>1699460</v>
      </c>
      <c r="V104" s="56">
        <v>9985329</v>
      </c>
      <c r="W104" s="56">
        <v>1312659</v>
      </c>
      <c r="X104" s="56">
        <v>5905525</v>
      </c>
      <c r="Y104" s="56">
        <v>4976239</v>
      </c>
      <c r="Z104" s="56">
        <v>1577759</v>
      </c>
      <c r="AA104" s="56">
        <v>1699460</v>
      </c>
      <c r="AB104" s="56">
        <v>-3885423</v>
      </c>
      <c r="AC104" s="56">
        <v>-16014</v>
      </c>
      <c r="AD104" s="56">
        <v>56540</v>
      </c>
      <c r="AE104" s="56">
        <v>0</v>
      </c>
      <c r="AF104" s="56">
        <v>0</v>
      </c>
      <c r="AG104" s="56">
        <v>80921</v>
      </c>
      <c r="AH104" s="56">
        <v>0</v>
      </c>
      <c r="AI104" s="56">
        <v>71852.459016393434</v>
      </c>
      <c r="AJ104" s="72">
        <v>0</v>
      </c>
      <c r="AK104" s="1">
        <v>121076452</v>
      </c>
      <c r="AL104" s="1">
        <v>5246647</v>
      </c>
      <c r="AM104" s="56">
        <v>930462</v>
      </c>
      <c r="AN104" s="56">
        <v>39013773</v>
      </c>
      <c r="AO104" s="56">
        <v>5107459</v>
      </c>
      <c r="AP104" s="56">
        <v>59278486</v>
      </c>
      <c r="AQ104" s="56">
        <v>39234559</v>
      </c>
      <c r="AR104" s="56">
        <v>23926245</v>
      </c>
      <c r="AS104" s="56">
        <v>31605133</v>
      </c>
      <c r="AT104" s="56">
        <v>181076</v>
      </c>
      <c r="AU104" s="56">
        <v>2171931</v>
      </c>
      <c r="AV104" s="56">
        <v>0</v>
      </c>
      <c r="AW104" s="56">
        <v>6733</v>
      </c>
      <c r="AX104" s="56">
        <v>21833</v>
      </c>
      <c r="AY104" s="56">
        <v>68000</v>
      </c>
      <c r="AZ104" s="1">
        <v>5932490.5300000003</v>
      </c>
      <c r="BA104" s="1">
        <v>3025570</v>
      </c>
      <c r="BB104" s="69">
        <v>0</v>
      </c>
      <c r="BC104" s="69">
        <v>0</v>
      </c>
      <c r="BD104" s="69">
        <v>0</v>
      </c>
      <c r="BE104" s="69">
        <v>26843107</v>
      </c>
      <c r="BF104" s="69">
        <v>26843107</v>
      </c>
      <c r="BG104" s="69">
        <v>52264785.5</v>
      </c>
      <c r="BH104" s="69">
        <v>52245354</v>
      </c>
      <c r="BI104" s="69">
        <v>0</v>
      </c>
      <c r="BJ104" s="69">
        <v>0</v>
      </c>
      <c r="BK104" s="63"/>
      <c r="BL104" s="5">
        <v>1190895603.4590163</v>
      </c>
      <c r="BM104" s="5">
        <v>982458473.45901644</v>
      </c>
      <c r="BN104" s="15">
        <v>3817662</v>
      </c>
      <c r="BO104" s="3"/>
      <c r="BP104" s="5"/>
      <c r="BQ104" s="1"/>
      <c r="BR104" s="1"/>
      <c r="BS104" s="5"/>
      <c r="BT104" s="5"/>
    </row>
    <row r="105" spans="1:72" x14ac:dyDescent="0.25">
      <c r="A105" s="6" t="s">
        <v>159</v>
      </c>
      <c r="B105" s="56">
        <v>525232691</v>
      </c>
      <c r="C105" s="56">
        <v>121236962</v>
      </c>
      <c r="D105" s="56">
        <v>151430418</v>
      </c>
      <c r="E105" s="56">
        <v>10000000</v>
      </c>
      <c r="F105" s="56">
        <v>52172100</v>
      </c>
      <c r="G105" s="56">
        <v>14180850</v>
      </c>
      <c r="H105" s="56">
        <v>16195600</v>
      </c>
      <c r="I105" s="56">
        <v>1497300</v>
      </c>
      <c r="J105" s="56">
        <v>223700</v>
      </c>
      <c r="K105" s="56">
        <v>36000</v>
      </c>
      <c r="L105" s="56">
        <v>261798943</v>
      </c>
      <c r="M105" s="56">
        <v>94880730</v>
      </c>
      <c r="N105" s="56">
        <v>2023</v>
      </c>
      <c r="O105" s="56">
        <v>517</v>
      </c>
      <c r="P105" s="56">
        <v>3105300</v>
      </c>
      <c r="Q105" s="56">
        <v>2032200</v>
      </c>
      <c r="R105" s="56">
        <v>909500</v>
      </c>
      <c r="S105" s="56">
        <v>5761664</v>
      </c>
      <c r="T105" s="56">
        <v>687690</v>
      </c>
      <c r="U105" s="56">
        <v>439900</v>
      </c>
      <c r="V105" s="56">
        <v>3105300</v>
      </c>
      <c r="W105" s="56">
        <v>124000</v>
      </c>
      <c r="X105" s="56">
        <v>909500</v>
      </c>
      <c r="Y105" s="56">
        <v>5761664</v>
      </c>
      <c r="Z105" s="56">
        <v>752700</v>
      </c>
      <c r="AA105" s="56">
        <v>439900</v>
      </c>
      <c r="AB105" s="56">
        <v>-3152530</v>
      </c>
      <c r="AC105" s="56">
        <v>-519990</v>
      </c>
      <c r="AD105" s="56">
        <v>47375</v>
      </c>
      <c r="AE105" s="56">
        <v>0</v>
      </c>
      <c r="AF105" s="56">
        <v>0</v>
      </c>
      <c r="AG105" s="56">
        <v>94183</v>
      </c>
      <c r="AH105" s="56">
        <v>565827.86885245901</v>
      </c>
      <c r="AI105" s="56">
        <v>0</v>
      </c>
      <c r="AJ105" s="72">
        <v>0</v>
      </c>
      <c r="AK105" s="1">
        <v>95724278</v>
      </c>
      <c r="AL105" s="1">
        <v>18782308</v>
      </c>
      <c r="AM105" s="56">
        <v>29299434</v>
      </c>
      <c r="AN105" s="56">
        <v>40561340</v>
      </c>
      <c r="AO105" s="56">
        <v>6394180</v>
      </c>
      <c r="AP105" s="56">
        <v>88890638</v>
      </c>
      <c r="AQ105" s="56">
        <v>19828480</v>
      </c>
      <c r="AR105" s="56">
        <v>25854682</v>
      </c>
      <c r="AS105" s="56">
        <v>6505402</v>
      </c>
      <c r="AT105" s="56">
        <v>0</v>
      </c>
      <c r="AU105" s="56">
        <v>0</v>
      </c>
      <c r="AV105" s="56">
        <v>0</v>
      </c>
      <c r="AW105" s="56">
        <v>0</v>
      </c>
      <c r="AX105" s="56">
        <v>33150</v>
      </c>
      <c r="AY105" s="56">
        <v>3039000</v>
      </c>
      <c r="AZ105" s="1">
        <v>4690287.53</v>
      </c>
      <c r="BA105" s="1">
        <v>2392047</v>
      </c>
      <c r="BB105" s="69">
        <v>0</v>
      </c>
      <c r="BC105" s="69">
        <v>0</v>
      </c>
      <c r="BD105" s="69">
        <v>0</v>
      </c>
      <c r="BE105" s="69">
        <v>2896052</v>
      </c>
      <c r="BF105" s="69">
        <v>2896052</v>
      </c>
      <c r="BG105" s="69">
        <v>69834230</v>
      </c>
      <c r="BH105" s="69">
        <v>69762220</v>
      </c>
      <c r="BI105" s="69">
        <v>0</v>
      </c>
      <c r="BJ105" s="69">
        <v>0</v>
      </c>
      <c r="BK105" s="63"/>
      <c r="BL105" s="5">
        <v>1054806803.8688525</v>
      </c>
      <c r="BM105" s="5">
        <v>865249898.8688525</v>
      </c>
      <c r="BN105" s="15">
        <v>4898500</v>
      </c>
      <c r="BO105" s="3"/>
      <c r="BP105" s="5"/>
      <c r="BQ105" s="1"/>
      <c r="BR105" s="1"/>
      <c r="BS105" s="5"/>
      <c r="BT105" s="5"/>
    </row>
    <row r="106" spans="1:72" x14ac:dyDescent="0.25">
      <c r="A106" s="6" t="s">
        <v>160</v>
      </c>
      <c r="B106" s="56">
        <v>2305620261</v>
      </c>
      <c r="C106" s="56">
        <v>298084673</v>
      </c>
      <c r="D106" s="56">
        <v>984538080</v>
      </c>
      <c r="E106" s="56">
        <v>0</v>
      </c>
      <c r="F106" s="56">
        <v>82866973</v>
      </c>
      <c r="G106" s="56">
        <v>9189314</v>
      </c>
      <c r="H106" s="56">
        <v>14565922</v>
      </c>
      <c r="I106" s="56">
        <v>930930</v>
      </c>
      <c r="J106" s="56">
        <v>0</v>
      </c>
      <c r="K106" s="56">
        <v>0</v>
      </c>
      <c r="L106" s="56">
        <v>568411833</v>
      </c>
      <c r="M106" s="56">
        <v>233163751</v>
      </c>
      <c r="N106" s="56">
        <v>2741</v>
      </c>
      <c r="O106" s="56">
        <v>290</v>
      </c>
      <c r="P106" s="56">
        <v>49977056</v>
      </c>
      <c r="Q106" s="56">
        <v>3825713</v>
      </c>
      <c r="R106" s="56">
        <v>7914400</v>
      </c>
      <c r="S106" s="56">
        <v>2821362</v>
      </c>
      <c r="T106" s="56">
        <v>290862</v>
      </c>
      <c r="U106" s="56">
        <v>23182889</v>
      </c>
      <c r="V106" s="56">
        <v>49977056</v>
      </c>
      <c r="W106" s="56">
        <v>4793697</v>
      </c>
      <c r="X106" s="56">
        <v>7914400</v>
      </c>
      <c r="Y106" s="56">
        <v>2821362</v>
      </c>
      <c r="Z106" s="56">
        <v>945365</v>
      </c>
      <c r="AA106" s="56">
        <v>23182889</v>
      </c>
      <c r="AB106" s="56">
        <v>-1182202</v>
      </c>
      <c r="AC106" s="56">
        <v>-4818804</v>
      </c>
      <c r="AD106" s="56">
        <v>0</v>
      </c>
      <c r="AE106" s="56">
        <v>0</v>
      </c>
      <c r="AF106" s="56">
        <v>0</v>
      </c>
      <c r="AG106" s="56">
        <v>149924</v>
      </c>
      <c r="AH106" s="56">
        <v>0</v>
      </c>
      <c r="AI106" s="56">
        <v>295213.11475409841</v>
      </c>
      <c r="AJ106" s="72">
        <v>0</v>
      </c>
      <c r="AK106" s="1">
        <v>374762957</v>
      </c>
      <c r="AL106" s="1">
        <v>6250304</v>
      </c>
      <c r="AM106" s="56">
        <v>0</v>
      </c>
      <c r="AN106" s="56">
        <v>89044745</v>
      </c>
      <c r="AO106" s="56">
        <v>13563649</v>
      </c>
      <c r="AP106" s="56">
        <v>238297352</v>
      </c>
      <c r="AQ106" s="56">
        <v>107033813</v>
      </c>
      <c r="AR106" s="56">
        <v>88716415</v>
      </c>
      <c r="AS106" s="56">
        <v>25442795</v>
      </c>
      <c r="AT106" s="56">
        <v>1217158532</v>
      </c>
      <c r="AU106" s="56">
        <v>0</v>
      </c>
      <c r="AV106" s="56">
        <v>22216</v>
      </c>
      <c r="AW106" s="56">
        <v>0</v>
      </c>
      <c r="AX106" s="56">
        <v>2662659</v>
      </c>
      <c r="AY106" s="56">
        <v>2817305</v>
      </c>
      <c r="AZ106" s="1">
        <v>18362593.699999999</v>
      </c>
      <c r="BA106" s="1">
        <v>9364923</v>
      </c>
      <c r="BB106" s="69">
        <v>0</v>
      </c>
      <c r="BC106" s="69">
        <v>3884507</v>
      </c>
      <c r="BD106" s="69">
        <v>7616680</v>
      </c>
      <c r="BE106" s="69">
        <v>86221639</v>
      </c>
      <c r="BF106" s="69">
        <v>86086206</v>
      </c>
      <c r="BG106" s="69">
        <v>78205737.5</v>
      </c>
      <c r="BH106" s="69">
        <v>72304787</v>
      </c>
      <c r="BI106" s="69">
        <v>0</v>
      </c>
      <c r="BJ106" s="69">
        <v>0</v>
      </c>
      <c r="BK106" s="63"/>
      <c r="BL106" s="5">
        <v>4350834118.1147537</v>
      </c>
      <c r="BM106" s="5">
        <v>3798180434.1147542</v>
      </c>
      <c r="BN106" s="15">
        <v>2964350</v>
      </c>
      <c r="BO106" s="3"/>
      <c r="BP106" s="5"/>
      <c r="BQ106" s="1"/>
      <c r="BR106" s="1"/>
      <c r="BS106" s="5"/>
      <c r="BT106" s="5"/>
    </row>
    <row r="107" spans="1:72" x14ac:dyDescent="0.25">
      <c r="A107" s="6" t="s">
        <v>161</v>
      </c>
      <c r="B107" s="56">
        <v>1758831617</v>
      </c>
      <c r="C107" s="56">
        <v>451511788</v>
      </c>
      <c r="D107" s="56">
        <v>455201812</v>
      </c>
      <c r="E107" s="56">
        <v>22085560</v>
      </c>
      <c r="F107" s="56">
        <v>87464361</v>
      </c>
      <c r="G107" s="56">
        <v>10895100</v>
      </c>
      <c r="H107" s="56">
        <v>21261500</v>
      </c>
      <c r="I107" s="56">
        <v>1572500</v>
      </c>
      <c r="J107" s="56">
        <v>36000</v>
      </c>
      <c r="K107" s="56">
        <v>0</v>
      </c>
      <c r="L107" s="56">
        <v>765279957</v>
      </c>
      <c r="M107" s="56">
        <v>301492673</v>
      </c>
      <c r="N107" s="56">
        <v>3042</v>
      </c>
      <c r="O107" s="56">
        <v>350</v>
      </c>
      <c r="P107" s="56">
        <v>21599165</v>
      </c>
      <c r="Q107" s="56">
        <v>3123697</v>
      </c>
      <c r="R107" s="56">
        <v>1592975</v>
      </c>
      <c r="S107" s="56">
        <v>13222921</v>
      </c>
      <c r="T107" s="56">
        <v>3721940</v>
      </c>
      <c r="U107" s="56">
        <v>6709958</v>
      </c>
      <c r="V107" s="56">
        <v>21599165</v>
      </c>
      <c r="W107" s="56">
        <v>3219490</v>
      </c>
      <c r="X107" s="56">
        <v>1592975</v>
      </c>
      <c r="Y107" s="56">
        <v>13222921</v>
      </c>
      <c r="Z107" s="56">
        <v>6589780</v>
      </c>
      <c r="AA107" s="56">
        <v>6709958</v>
      </c>
      <c r="AB107" s="56">
        <v>-9453690</v>
      </c>
      <c r="AC107" s="56">
        <v>-23406230</v>
      </c>
      <c r="AD107" s="56">
        <v>0</v>
      </c>
      <c r="AE107" s="56">
        <v>0</v>
      </c>
      <c r="AF107" s="56">
        <v>22816844</v>
      </c>
      <c r="AG107" s="56">
        <v>235298</v>
      </c>
      <c r="AH107" s="56">
        <v>0</v>
      </c>
      <c r="AI107" s="56">
        <v>0</v>
      </c>
      <c r="AJ107" s="72">
        <v>0</v>
      </c>
      <c r="AK107" s="1">
        <v>298088407</v>
      </c>
      <c r="AL107" s="1">
        <v>5931263</v>
      </c>
      <c r="AM107" s="56">
        <v>0</v>
      </c>
      <c r="AN107" s="56">
        <v>152724324</v>
      </c>
      <c r="AO107" s="56">
        <v>11048629</v>
      </c>
      <c r="AP107" s="56">
        <v>308976816</v>
      </c>
      <c r="AQ107" s="56">
        <v>80069383</v>
      </c>
      <c r="AR107" s="56">
        <v>106563406</v>
      </c>
      <c r="AS107" s="56">
        <v>22813261</v>
      </c>
      <c r="AT107" s="56">
        <v>4514776</v>
      </c>
      <c r="AU107" s="56">
        <v>0</v>
      </c>
      <c r="AV107" s="56">
        <v>0</v>
      </c>
      <c r="AW107" s="56">
        <v>10468691</v>
      </c>
      <c r="AX107" s="56">
        <v>840995</v>
      </c>
      <c r="AY107" s="56">
        <v>291940</v>
      </c>
      <c r="AZ107" s="1">
        <v>14605702.630000001</v>
      </c>
      <c r="BA107" s="1">
        <v>7448908</v>
      </c>
      <c r="BB107" s="69">
        <v>0</v>
      </c>
      <c r="BC107" s="69">
        <v>4542754</v>
      </c>
      <c r="BD107" s="69">
        <v>8907360</v>
      </c>
      <c r="BE107" s="69">
        <v>53943503</v>
      </c>
      <c r="BF107" s="69">
        <v>51650365</v>
      </c>
      <c r="BG107" s="69">
        <v>135683643</v>
      </c>
      <c r="BH107" s="69">
        <v>132404320</v>
      </c>
      <c r="BI107" s="69">
        <v>0</v>
      </c>
      <c r="BJ107" s="69">
        <v>0</v>
      </c>
      <c r="BK107" s="63"/>
      <c r="BL107" s="5">
        <v>3409453570</v>
      </c>
      <c r="BM107" s="5">
        <v>2909387553</v>
      </c>
      <c r="BN107" s="15">
        <v>1940564</v>
      </c>
      <c r="BO107" s="3"/>
      <c r="BP107" s="5"/>
      <c r="BQ107" s="1"/>
      <c r="BR107" s="1"/>
      <c r="BS107" s="5"/>
      <c r="BT107" s="5"/>
    </row>
    <row r="108" spans="1:72" x14ac:dyDescent="0.25">
      <c r="A108" s="6" t="s">
        <v>162</v>
      </c>
      <c r="B108" s="56">
        <v>515821688</v>
      </c>
      <c r="C108" s="56">
        <v>177049900</v>
      </c>
      <c r="D108" s="56">
        <v>299917918</v>
      </c>
      <c r="E108" s="56">
        <v>3110853</v>
      </c>
      <c r="F108" s="56">
        <v>46064515</v>
      </c>
      <c r="G108" s="56">
        <v>5089100</v>
      </c>
      <c r="H108" s="56">
        <v>7564500</v>
      </c>
      <c r="I108" s="56">
        <v>468000</v>
      </c>
      <c r="J108" s="56">
        <v>36000</v>
      </c>
      <c r="K108" s="56">
        <v>0</v>
      </c>
      <c r="L108" s="56">
        <v>371913710</v>
      </c>
      <c r="M108" s="56">
        <v>90349975</v>
      </c>
      <c r="N108" s="56">
        <v>1529</v>
      </c>
      <c r="O108" s="56">
        <v>160</v>
      </c>
      <c r="P108" s="56">
        <v>4534425</v>
      </c>
      <c r="Q108" s="56">
        <v>2204750</v>
      </c>
      <c r="R108" s="56">
        <v>2301847</v>
      </c>
      <c r="S108" s="56">
        <v>6123986</v>
      </c>
      <c r="T108" s="56">
        <v>1103000</v>
      </c>
      <c r="U108" s="56">
        <v>2464500</v>
      </c>
      <c r="V108" s="56">
        <v>4534425</v>
      </c>
      <c r="W108" s="56">
        <v>3773990</v>
      </c>
      <c r="X108" s="56">
        <v>2301847</v>
      </c>
      <c r="Y108" s="56">
        <v>6123986</v>
      </c>
      <c r="Z108" s="56">
        <v>1782706</v>
      </c>
      <c r="AA108" s="56">
        <v>2464500</v>
      </c>
      <c r="AB108" s="56">
        <v>-2630480</v>
      </c>
      <c r="AC108" s="56">
        <v>-26766943</v>
      </c>
      <c r="AD108" s="56">
        <v>0</v>
      </c>
      <c r="AE108" s="56">
        <v>0</v>
      </c>
      <c r="AF108" s="56">
        <v>0</v>
      </c>
      <c r="AG108" s="56">
        <v>0</v>
      </c>
      <c r="AH108" s="56">
        <v>110459.01639344262</v>
      </c>
      <c r="AI108" s="56">
        <v>213442.62295081967</v>
      </c>
      <c r="AJ108" s="72">
        <v>0</v>
      </c>
      <c r="AK108" s="1">
        <v>110394512</v>
      </c>
      <c r="AL108" s="1">
        <v>2550045</v>
      </c>
      <c r="AM108" s="56">
        <v>0</v>
      </c>
      <c r="AN108" s="56">
        <v>49018801</v>
      </c>
      <c r="AO108" s="56">
        <v>6887952</v>
      </c>
      <c r="AP108" s="56">
        <v>268559378</v>
      </c>
      <c r="AQ108" s="56">
        <v>86108036</v>
      </c>
      <c r="AR108" s="56">
        <v>89667745</v>
      </c>
      <c r="AS108" s="56">
        <v>36928778</v>
      </c>
      <c r="AT108" s="56">
        <v>18719332</v>
      </c>
      <c r="AU108" s="56">
        <v>0</v>
      </c>
      <c r="AV108" s="56">
        <v>8070807</v>
      </c>
      <c r="AW108" s="56">
        <v>4733548</v>
      </c>
      <c r="AX108" s="56">
        <v>1011645</v>
      </c>
      <c r="AY108" s="56">
        <v>37000</v>
      </c>
      <c r="AZ108" s="1">
        <v>5409098.0300000003</v>
      </c>
      <c r="BA108" s="1">
        <v>2758640</v>
      </c>
      <c r="BB108" s="69">
        <v>0</v>
      </c>
      <c r="BC108" s="69">
        <v>879282</v>
      </c>
      <c r="BD108" s="69">
        <v>1724082</v>
      </c>
      <c r="BE108" s="69">
        <v>13281080</v>
      </c>
      <c r="BF108" s="69">
        <v>13281080</v>
      </c>
      <c r="BG108" s="69">
        <v>23513741.5</v>
      </c>
      <c r="BH108" s="69">
        <v>21594225</v>
      </c>
      <c r="BI108" s="69">
        <v>0</v>
      </c>
      <c r="BJ108" s="69">
        <v>5322797</v>
      </c>
      <c r="BK108" s="63"/>
      <c r="BL108" s="5">
        <v>1291908777.6393442</v>
      </c>
      <c r="BM108" s="5">
        <v>1135128196.6393442</v>
      </c>
      <c r="BN108" s="15">
        <v>1753478</v>
      </c>
      <c r="BO108" s="3"/>
      <c r="BP108" s="5"/>
      <c r="BQ108" s="1"/>
      <c r="BR108" s="1"/>
      <c r="BS108" s="5"/>
      <c r="BT108" s="5"/>
    </row>
    <row r="109" spans="1:72" x14ac:dyDescent="0.25">
      <c r="A109" s="6" t="s">
        <v>163</v>
      </c>
      <c r="B109" s="56">
        <v>806865098</v>
      </c>
      <c r="C109" s="56">
        <v>165887696</v>
      </c>
      <c r="D109" s="56">
        <v>53026373</v>
      </c>
      <c r="E109" s="56">
        <v>0</v>
      </c>
      <c r="F109" s="56">
        <v>33181325</v>
      </c>
      <c r="G109" s="56">
        <v>6222150</v>
      </c>
      <c r="H109" s="56">
        <v>9041844</v>
      </c>
      <c r="I109" s="56">
        <v>1411500</v>
      </c>
      <c r="J109" s="56">
        <v>61000</v>
      </c>
      <c r="K109" s="56">
        <v>0</v>
      </c>
      <c r="L109" s="56">
        <v>192041365</v>
      </c>
      <c r="M109" s="56">
        <v>120161042</v>
      </c>
      <c r="N109" s="56">
        <v>1195</v>
      </c>
      <c r="O109" s="56">
        <v>225</v>
      </c>
      <c r="P109" s="56">
        <v>13069207</v>
      </c>
      <c r="Q109" s="56">
        <v>4260332</v>
      </c>
      <c r="R109" s="56">
        <v>245500</v>
      </c>
      <c r="S109" s="56">
        <v>9055869</v>
      </c>
      <c r="T109" s="56">
        <v>2100637</v>
      </c>
      <c r="U109" s="56">
        <v>1153000</v>
      </c>
      <c r="V109" s="56">
        <v>13069207</v>
      </c>
      <c r="W109" s="56">
        <v>4827250</v>
      </c>
      <c r="X109" s="56">
        <v>245500</v>
      </c>
      <c r="Y109" s="56">
        <v>9055869</v>
      </c>
      <c r="Z109" s="56">
        <v>2255961</v>
      </c>
      <c r="AA109" s="56">
        <v>1153000</v>
      </c>
      <c r="AB109" s="56">
        <v>-5966626</v>
      </c>
      <c r="AC109" s="56">
        <v>-1775</v>
      </c>
      <c r="AD109" s="56">
        <v>4864</v>
      </c>
      <c r="AE109" s="56">
        <v>0</v>
      </c>
      <c r="AF109" s="56">
        <v>183215877</v>
      </c>
      <c r="AG109" s="56">
        <v>93417</v>
      </c>
      <c r="AH109" s="56">
        <v>0</v>
      </c>
      <c r="AI109" s="56">
        <v>0</v>
      </c>
      <c r="AJ109" s="72">
        <v>0</v>
      </c>
      <c r="AK109" s="1">
        <v>121188372</v>
      </c>
      <c r="AL109" s="1">
        <v>7571460</v>
      </c>
      <c r="AM109" s="56">
        <v>1068131</v>
      </c>
      <c r="AN109" s="56">
        <v>8451381</v>
      </c>
      <c r="AO109" s="56">
        <v>88405</v>
      </c>
      <c r="AP109" s="56">
        <v>134494</v>
      </c>
      <c r="AQ109" s="56">
        <v>2633997</v>
      </c>
      <c r="AR109" s="56">
        <v>424695</v>
      </c>
      <c r="AS109" s="56">
        <v>0</v>
      </c>
      <c r="AT109" s="56">
        <v>915881</v>
      </c>
      <c r="AU109" s="56">
        <v>0</v>
      </c>
      <c r="AV109" s="56">
        <v>0</v>
      </c>
      <c r="AW109" s="56">
        <v>0</v>
      </c>
      <c r="AX109" s="56">
        <v>7690</v>
      </c>
      <c r="AY109" s="56">
        <v>84400</v>
      </c>
      <c r="AZ109" s="1">
        <v>5937974.3799999999</v>
      </c>
      <c r="BA109" s="1">
        <v>3028367</v>
      </c>
      <c r="BB109" s="69">
        <v>0</v>
      </c>
      <c r="BC109" s="69">
        <v>0</v>
      </c>
      <c r="BD109" s="69">
        <v>0</v>
      </c>
      <c r="BE109" s="69">
        <v>2761718</v>
      </c>
      <c r="BF109" s="69">
        <v>2761718</v>
      </c>
      <c r="BG109" s="69">
        <v>18747007.5</v>
      </c>
      <c r="BH109" s="69">
        <v>18732974</v>
      </c>
      <c r="BI109" s="69">
        <v>0</v>
      </c>
      <c r="BJ109" s="69">
        <v>0</v>
      </c>
      <c r="BK109" s="63"/>
      <c r="BL109" s="5">
        <v>1190235841</v>
      </c>
      <c r="BM109" s="5">
        <v>1036952950</v>
      </c>
      <c r="BN109" s="15">
        <v>158413</v>
      </c>
      <c r="BO109" s="3"/>
      <c r="BP109" s="5"/>
      <c r="BQ109" s="1"/>
      <c r="BR109" s="1"/>
      <c r="BS109" s="5"/>
      <c r="BT109" s="5"/>
    </row>
    <row r="110" spans="1:72" x14ac:dyDescent="0.25">
      <c r="A110" s="6" t="s">
        <v>164</v>
      </c>
      <c r="B110" s="56">
        <v>577969960</v>
      </c>
      <c r="C110" s="56">
        <v>127426991</v>
      </c>
      <c r="D110" s="56">
        <v>268505116</v>
      </c>
      <c r="E110" s="56">
        <v>0</v>
      </c>
      <c r="F110" s="56">
        <v>73332125</v>
      </c>
      <c r="G110" s="56">
        <v>14450771</v>
      </c>
      <c r="H110" s="56">
        <v>14236700</v>
      </c>
      <c r="I110" s="56">
        <v>1421628</v>
      </c>
      <c r="J110" s="56">
        <v>205000</v>
      </c>
      <c r="K110" s="56">
        <v>36000</v>
      </c>
      <c r="L110" s="56">
        <v>269032591</v>
      </c>
      <c r="M110" s="56">
        <v>91208486</v>
      </c>
      <c r="N110" s="56">
        <v>2540</v>
      </c>
      <c r="O110" s="56">
        <v>492</v>
      </c>
      <c r="P110" s="56">
        <v>4971459</v>
      </c>
      <c r="Q110" s="56">
        <v>1697238</v>
      </c>
      <c r="R110" s="56">
        <v>5732621</v>
      </c>
      <c r="S110" s="56">
        <v>3188737</v>
      </c>
      <c r="T110" s="56">
        <v>568176</v>
      </c>
      <c r="U110" s="56">
        <v>1647080</v>
      </c>
      <c r="V110" s="56">
        <v>4971459</v>
      </c>
      <c r="W110" s="56">
        <v>2928190</v>
      </c>
      <c r="X110" s="56">
        <v>5732621</v>
      </c>
      <c r="Y110" s="56">
        <v>3188737</v>
      </c>
      <c r="Z110" s="56">
        <v>991295</v>
      </c>
      <c r="AA110" s="56">
        <v>1647080</v>
      </c>
      <c r="AB110" s="56">
        <v>-9250597</v>
      </c>
      <c r="AC110" s="56">
        <v>951606</v>
      </c>
      <c r="AD110" s="56">
        <v>49245</v>
      </c>
      <c r="AE110" s="56">
        <v>0</v>
      </c>
      <c r="AF110" s="56">
        <v>0</v>
      </c>
      <c r="AG110" s="56">
        <v>180671</v>
      </c>
      <c r="AH110" s="56">
        <v>0</v>
      </c>
      <c r="AI110" s="56">
        <v>5459.0163934426237</v>
      </c>
      <c r="AJ110" s="72">
        <v>0</v>
      </c>
      <c r="AK110" s="1">
        <v>134093062</v>
      </c>
      <c r="AL110" s="1">
        <v>5654956</v>
      </c>
      <c r="AM110" s="56">
        <v>8819062</v>
      </c>
      <c r="AN110" s="56">
        <v>51951023</v>
      </c>
      <c r="AO110" s="56">
        <v>1279590</v>
      </c>
      <c r="AP110" s="56">
        <v>41551862</v>
      </c>
      <c r="AQ110" s="56">
        <v>40999061</v>
      </c>
      <c r="AR110" s="56">
        <v>28401006</v>
      </c>
      <c r="AS110" s="56">
        <v>104508722</v>
      </c>
      <c r="AT110" s="56">
        <v>161928</v>
      </c>
      <c r="AU110" s="56">
        <v>0</v>
      </c>
      <c r="AV110" s="56">
        <v>0</v>
      </c>
      <c r="AW110" s="56">
        <v>18006</v>
      </c>
      <c r="AX110" s="56">
        <v>12356</v>
      </c>
      <c r="AY110" s="56">
        <v>66000</v>
      </c>
      <c r="AZ110" s="1">
        <v>6570276.9400000004</v>
      </c>
      <c r="BA110" s="1">
        <v>3350841</v>
      </c>
      <c r="BB110" s="69">
        <v>0</v>
      </c>
      <c r="BC110" s="69">
        <v>0</v>
      </c>
      <c r="BD110" s="69">
        <v>0</v>
      </c>
      <c r="BE110" s="69">
        <v>17681851</v>
      </c>
      <c r="BF110" s="69">
        <v>17681851</v>
      </c>
      <c r="BG110" s="69">
        <v>54977209.5</v>
      </c>
      <c r="BH110" s="69">
        <v>54262560</v>
      </c>
      <c r="BI110" s="69">
        <v>0</v>
      </c>
      <c r="BJ110" s="69">
        <v>0</v>
      </c>
      <c r="BK110" s="63"/>
      <c r="BL110" s="5">
        <v>1283180470.0163934</v>
      </c>
      <c r="BM110" s="5">
        <v>1068137200.0163934</v>
      </c>
      <c r="BN110" s="15">
        <v>1441000</v>
      </c>
      <c r="BO110" s="3"/>
      <c r="BP110" s="5"/>
      <c r="BQ110" s="1"/>
      <c r="BR110" s="1"/>
      <c r="BS110" s="5"/>
      <c r="BT110" s="5"/>
    </row>
    <row r="111" spans="1:72" x14ac:dyDescent="0.25">
      <c r="A111" s="6" t="s">
        <v>165</v>
      </c>
      <c r="B111" s="56">
        <v>210561098</v>
      </c>
      <c r="C111" s="56">
        <v>158261961</v>
      </c>
      <c r="D111" s="56">
        <v>65107153</v>
      </c>
      <c r="E111" s="56">
        <v>0</v>
      </c>
      <c r="F111" s="56">
        <v>28856520</v>
      </c>
      <c r="G111" s="56">
        <v>4481089</v>
      </c>
      <c r="H111" s="56">
        <v>8976838</v>
      </c>
      <c r="I111" s="56">
        <v>282441</v>
      </c>
      <c r="J111" s="56">
        <v>0</v>
      </c>
      <c r="K111" s="56">
        <v>0</v>
      </c>
      <c r="L111" s="56">
        <v>546468699</v>
      </c>
      <c r="M111" s="56">
        <v>61222333</v>
      </c>
      <c r="N111" s="56">
        <v>1122</v>
      </c>
      <c r="O111" s="56">
        <v>157</v>
      </c>
      <c r="P111" s="56">
        <v>3254762</v>
      </c>
      <c r="Q111" s="56">
        <v>109620</v>
      </c>
      <c r="R111" s="56">
        <v>337000</v>
      </c>
      <c r="S111" s="56">
        <v>1252522</v>
      </c>
      <c r="T111" s="56">
        <v>73040</v>
      </c>
      <c r="U111" s="56">
        <v>475280</v>
      </c>
      <c r="V111" s="56">
        <v>3254762</v>
      </c>
      <c r="W111" s="56">
        <v>0</v>
      </c>
      <c r="X111" s="56">
        <v>337000</v>
      </c>
      <c r="Y111" s="56">
        <v>1252522</v>
      </c>
      <c r="Z111" s="56">
        <v>450121</v>
      </c>
      <c r="AA111" s="56">
        <v>475280</v>
      </c>
      <c r="AB111" s="56">
        <v>-1688199</v>
      </c>
      <c r="AC111" s="56">
        <v>30619</v>
      </c>
      <c r="AD111" s="56">
        <v>70154</v>
      </c>
      <c r="AE111" s="56">
        <v>97308</v>
      </c>
      <c r="AF111" s="56">
        <v>90458808</v>
      </c>
      <c r="AG111" s="56">
        <v>227032</v>
      </c>
      <c r="AH111" s="56">
        <v>285360.65573770495</v>
      </c>
      <c r="AI111" s="56">
        <v>289770.49180327868</v>
      </c>
      <c r="AJ111" s="72">
        <v>0</v>
      </c>
      <c r="AK111" s="1">
        <v>66131702</v>
      </c>
      <c r="AL111" s="1">
        <v>1200604</v>
      </c>
      <c r="AM111" s="56">
        <v>0</v>
      </c>
      <c r="AN111" s="56">
        <v>15296096</v>
      </c>
      <c r="AO111" s="56">
        <v>545697</v>
      </c>
      <c r="AP111" s="56">
        <v>15624620</v>
      </c>
      <c r="AQ111" s="56">
        <v>18398367</v>
      </c>
      <c r="AR111" s="56">
        <v>8633280</v>
      </c>
      <c r="AS111" s="56">
        <v>44249</v>
      </c>
      <c r="AT111" s="56">
        <v>954619</v>
      </c>
      <c r="AU111" s="56">
        <v>0</v>
      </c>
      <c r="AV111" s="56">
        <v>13048127</v>
      </c>
      <c r="AW111" s="56">
        <v>8328320</v>
      </c>
      <c r="AX111" s="56">
        <v>15145</v>
      </c>
      <c r="AY111" s="56">
        <v>262000</v>
      </c>
      <c r="AZ111" s="1">
        <v>3240313.78</v>
      </c>
      <c r="BA111" s="1">
        <v>1652560</v>
      </c>
      <c r="BB111" s="69">
        <v>0</v>
      </c>
      <c r="BC111" s="69">
        <v>1349892</v>
      </c>
      <c r="BD111" s="69">
        <v>2646847</v>
      </c>
      <c r="BE111" s="69">
        <v>13883243</v>
      </c>
      <c r="BF111" s="69">
        <v>13883243</v>
      </c>
      <c r="BG111" s="69">
        <v>44893697</v>
      </c>
      <c r="BH111" s="69">
        <v>34434328</v>
      </c>
      <c r="BI111" s="69">
        <v>0</v>
      </c>
      <c r="BJ111" s="69">
        <v>0</v>
      </c>
      <c r="BK111" s="63"/>
      <c r="BL111" s="5">
        <v>587397832.14754105</v>
      </c>
      <c r="BM111" s="5">
        <v>468745503.14754099</v>
      </c>
      <c r="BN111" s="15">
        <v>900372</v>
      </c>
      <c r="BO111" s="3"/>
      <c r="BP111" s="5"/>
      <c r="BQ111" s="1"/>
      <c r="BR111" s="1"/>
      <c r="BS111" s="5"/>
      <c r="BT111" s="5"/>
    </row>
    <row r="112" spans="1:72" x14ac:dyDescent="0.25">
      <c r="A112" s="6" t="s">
        <v>166</v>
      </c>
      <c r="B112" s="56">
        <v>607641806</v>
      </c>
      <c r="C112" s="56">
        <v>93065831</v>
      </c>
      <c r="D112" s="56">
        <v>78088331</v>
      </c>
      <c r="E112" s="56">
        <v>0</v>
      </c>
      <c r="F112" s="56">
        <v>49017855</v>
      </c>
      <c r="G112" s="56">
        <v>6549575</v>
      </c>
      <c r="H112" s="56">
        <v>5727141</v>
      </c>
      <c r="I112" s="56">
        <v>529309</v>
      </c>
      <c r="J112" s="56">
        <v>180000</v>
      </c>
      <c r="K112" s="56">
        <v>72000</v>
      </c>
      <c r="L112" s="56">
        <v>495961521</v>
      </c>
      <c r="M112" s="56">
        <v>55350567</v>
      </c>
      <c r="N112" s="56">
        <v>1626</v>
      </c>
      <c r="O112" s="56">
        <v>232</v>
      </c>
      <c r="P112" s="56">
        <v>5109100</v>
      </c>
      <c r="Q112" s="56">
        <v>1238200</v>
      </c>
      <c r="R112" s="56">
        <v>194000</v>
      </c>
      <c r="S112" s="56">
        <v>2717512</v>
      </c>
      <c r="T112" s="56">
        <v>0</v>
      </c>
      <c r="U112" s="56">
        <v>111255</v>
      </c>
      <c r="V112" s="56">
        <v>5109100</v>
      </c>
      <c r="W112" s="56">
        <v>0</v>
      </c>
      <c r="X112" s="56">
        <v>194000</v>
      </c>
      <c r="Y112" s="56">
        <v>2717512</v>
      </c>
      <c r="Z112" s="56">
        <v>786213</v>
      </c>
      <c r="AA112" s="56">
        <v>111255</v>
      </c>
      <c r="AB112" s="56">
        <v>-3109954</v>
      </c>
      <c r="AC112" s="56">
        <v>-418334</v>
      </c>
      <c r="AD112" s="56">
        <v>67468</v>
      </c>
      <c r="AE112" s="56">
        <v>0</v>
      </c>
      <c r="AF112" s="56">
        <v>0</v>
      </c>
      <c r="AG112" s="56">
        <v>0</v>
      </c>
      <c r="AH112" s="56">
        <v>0</v>
      </c>
      <c r="AI112" s="56">
        <v>116983.60655737705</v>
      </c>
      <c r="AJ112" s="72">
        <v>0</v>
      </c>
      <c r="AK112" s="1">
        <v>96208063</v>
      </c>
      <c r="AL112" s="1">
        <v>14378028</v>
      </c>
      <c r="AM112" s="56">
        <v>2364718</v>
      </c>
      <c r="AN112" s="56">
        <v>11948418</v>
      </c>
      <c r="AO112" s="56">
        <v>915824</v>
      </c>
      <c r="AP112" s="56">
        <v>13303709</v>
      </c>
      <c r="AQ112" s="56">
        <v>13700018</v>
      </c>
      <c r="AR112" s="56">
        <v>8688111</v>
      </c>
      <c r="AS112" s="56">
        <v>0</v>
      </c>
      <c r="AT112" s="56">
        <v>2020757</v>
      </c>
      <c r="AU112" s="56">
        <v>0</v>
      </c>
      <c r="AV112" s="56">
        <v>2868</v>
      </c>
      <c r="AW112" s="56">
        <v>154153479</v>
      </c>
      <c r="AX112" s="56">
        <v>6000</v>
      </c>
      <c r="AY112" s="56">
        <v>103000</v>
      </c>
      <c r="AZ112" s="1">
        <v>4713991.9800000004</v>
      </c>
      <c r="BA112" s="1">
        <v>2404136</v>
      </c>
      <c r="BB112" s="69">
        <v>26727979.274611395</v>
      </c>
      <c r="BC112" s="69">
        <v>0</v>
      </c>
      <c r="BD112" s="69">
        <v>0</v>
      </c>
      <c r="BE112" s="69">
        <v>3712581</v>
      </c>
      <c r="BF112" s="69">
        <v>3712581</v>
      </c>
      <c r="BG112" s="69">
        <v>22775419</v>
      </c>
      <c r="BH112" s="69">
        <v>22593548</v>
      </c>
      <c r="BI112" s="69">
        <v>0</v>
      </c>
      <c r="BJ112" s="69">
        <v>0</v>
      </c>
      <c r="BK112" s="63"/>
      <c r="BL112" s="5">
        <v>944773567.60655737</v>
      </c>
      <c r="BM112" s="5">
        <v>805477211.60655737</v>
      </c>
      <c r="BN112" s="15">
        <v>674237</v>
      </c>
      <c r="BO112" s="3"/>
      <c r="BP112" s="5"/>
      <c r="BQ112" s="1"/>
      <c r="BR112" s="1"/>
      <c r="BS112" s="5"/>
      <c r="BT112" s="5"/>
    </row>
    <row r="113" spans="1:72" x14ac:dyDescent="0.25">
      <c r="A113" s="6" t="s">
        <v>167</v>
      </c>
      <c r="B113" s="56">
        <v>192325200</v>
      </c>
      <c r="C113" s="56">
        <v>83646300</v>
      </c>
      <c r="D113" s="56">
        <v>20275400</v>
      </c>
      <c r="E113" s="56">
        <v>0</v>
      </c>
      <c r="F113" s="56">
        <v>18545200</v>
      </c>
      <c r="G113" s="56">
        <v>4642800</v>
      </c>
      <c r="H113" s="56">
        <v>7170100</v>
      </c>
      <c r="I113" s="56">
        <v>660300</v>
      </c>
      <c r="J113" s="56">
        <v>0</v>
      </c>
      <c r="K113" s="56">
        <v>0</v>
      </c>
      <c r="L113" s="56">
        <v>155496600</v>
      </c>
      <c r="M113" s="56">
        <v>63899900</v>
      </c>
      <c r="N113" s="56">
        <v>749</v>
      </c>
      <c r="O113" s="56">
        <v>165</v>
      </c>
      <c r="P113" s="56">
        <v>2586200</v>
      </c>
      <c r="Q113" s="56">
        <v>1022700</v>
      </c>
      <c r="R113" s="56">
        <v>410400</v>
      </c>
      <c r="S113" s="56">
        <v>2430000</v>
      </c>
      <c r="T113" s="56">
        <v>647000</v>
      </c>
      <c r="U113" s="56">
        <v>184000</v>
      </c>
      <c r="V113" s="56">
        <v>2586200</v>
      </c>
      <c r="W113" s="56">
        <v>1122600</v>
      </c>
      <c r="X113" s="56">
        <v>410400</v>
      </c>
      <c r="Y113" s="56">
        <v>2430000</v>
      </c>
      <c r="Z113" s="56">
        <v>1350900</v>
      </c>
      <c r="AA113" s="56">
        <v>184000</v>
      </c>
      <c r="AB113" s="56">
        <v>-765200</v>
      </c>
      <c r="AC113" s="56">
        <v>-8619</v>
      </c>
      <c r="AD113" s="56">
        <v>50316</v>
      </c>
      <c r="AE113" s="56">
        <v>8857</v>
      </c>
      <c r="AF113" s="56">
        <v>40704500</v>
      </c>
      <c r="AG113" s="56">
        <v>82963</v>
      </c>
      <c r="AH113" s="56">
        <v>0</v>
      </c>
      <c r="AI113" s="56">
        <v>0</v>
      </c>
      <c r="AJ113" s="72">
        <v>0</v>
      </c>
      <c r="AK113" s="1">
        <v>56574155</v>
      </c>
      <c r="AL113" s="1">
        <v>1414511</v>
      </c>
      <c r="AM113" s="56">
        <v>22000</v>
      </c>
      <c r="AN113" s="56">
        <v>6084004</v>
      </c>
      <c r="AO113" s="56">
        <v>57092</v>
      </c>
      <c r="AP113" s="56">
        <v>1542587</v>
      </c>
      <c r="AQ113" s="56">
        <v>1674190</v>
      </c>
      <c r="AR113" s="56">
        <v>160981</v>
      </c>
      <c r="AS113" s="56">
        <v>0</v>
      </c>
      <c r="AT113" s="56">
        <v>73619</v>
      </c>
      <c r="AU113" s="56">
        <v>0</v>
      </c>
      <c r="AV113" s="56">
        <v>0</v>
      </c>
      <c r="AW113" s="56">
        <v>0</v>
      </c>
      <c r="AX113" s="56">
        <v>653</v>
      </c>
      <c r="AY113" s="56">
        <v>0</v>
      </c>
      <c r="AZ113" s="1">
        <v>2772014.16</v>
      </c>
      <c r="BA113" s="1">
        <v>1413727</v>
      </c>
      <c r="BB113" s="69">
        <v>20673575.129533678</v>
      </c>
      <c r="BC113" s="69">
        <v>0</v>
      </c>
      <c r="BD113" s="69">
        <v>0</v>
      </c>
      <c r="BE113" s="69">
        <v>135467110</v>
      </c>
      <c r="BF113" s="69">
        <v>135467110</v>
      </c>
      <c r="BG113" s="69">
        <v>47047677</v>
      </c>
      <c r="BH113" s="69">
        <v>46622945</v>
      </c>
      <c r="BI113" s="69">
        <v>0</v>
      </c>
      <c r="BJ113" s="69">
        <v>0</v>
      </c>
      <c r="BK113" s="63"/>
      <c r="BL113" s="5">
        <v>545554634</v>
      </c>
      <c r="BM113" s="5">
        <v>304062186</v>
      </c>
      <c r="BN113" s="15">
        <v>296600</v>
      </c>
      <c r="BO113" s="3"/>
      <c r="BP113" s="5"/>
      <c r="BQ113" s="1"/>
      <c r="BR113" s="1"/>
      <c r="BS113" s="5"/>
      <c r="BT113" s="5"/>
    </row>
    <row r="114" spans="1:72" x14ac:dyDescent="0.25">
      <c r="A114" s="6" t="s">
        <v>168</v>
      </c>
      <c r="B114" s="56">
        <v>272428186</v>
      </c>
      <c r="C114" s="56">
        <v>151156138</v>
      </c>
      <c r="D114" s="56">
        <v>101327383</v>
      </c>
      <c r="E114" s="56">
        <v>1310000</v>
      </c>
      <c r="F114" s="56">
        <v>36725306</v>
      </c>
      <c r="G114" s="56">
        <v>7133611</v>
      </c>
      <c r="H114" s="56">
        <v>5151135</v>
      </c>
      <c r="I114" s="56">
        <v>380544</v>
      </c>
      <c r="J114" s="56">
        <v>72000</v>
      </c>
      <c r="K114" s="56">
        <v>0</v>
      </c>
      <c r="L114" s="56">
        <v>506733843</v>
      </c>
      <c r="M114" s="56">
        <v>42021469</v>
      </c>
      <c r="N114" s="56">
        <v>1248</v>
      </c>
      <c r="O114" s="56">
        <v>241</v>
      </c>
      <c r="P114" s="56">
        <v>3001601</v>
      </c>
      <c r="Q114" s="56">
        <v>1904035</v>
      </c>
      <c r="R114" s="56">
        <v>1151789</v>
      </c>
      <c r="S114" s="56">
        <v>1020469</v>
      </c>
      <c r="T114" s="56">
        <v>35920</v>
      </c>
      <c r="U114" s="56">
        <v>40500</v>
      </c>
      <c r="V114" s="56">
        <v>3001601</v>
      </c>
      <c r="W114" s="56">
        <v>2028137</v>
      </c>
      <c r="X114" s="56">
        <v>1151789</v>
      </c>
      <c r="Y114" s="56">
        <v>1020469</v>
      </c>
      <c r="Z114" s="56">
        <v>35920</v>
      </c>
      <c r="AA114" s="56">
        <v>40500</v>
      </c>
      <c r="AB114" s="56">
        <v>-152230</v>
      </c>
      <c r="AC114" s="56">
        <v>0</v>
      </c>
      <c r="AD114" s="56">
        <v>7908</v>
      </c>
      <c r="AE114" s="56">
        <v>3145390</v>
      </c>
      <c r="AF114" s="56">
        <v>38804164</v>
      </c>
      <c r="AG114" s="56">
        <v>300092</v>
      </c>
      <c r="AH114" s="56">
        <v>34157713.114754103</v>
      </c>
      <c r="AI114" s="56">
        <v>0</v>
      </c>
      <c r="AJ114" s="72">
        <v>76931915</v>
      </c>
      <c r="AK114" s="1">
        <v>116112205</v>
      </c>
      <c r="AL114" s="1">
        <v>4668165</v>
      </c>
      <c r="AM114" s="56">
        <v>48550</v>
      </c>
      <c r="AN114" s="56">
        <v>160482708</v>
      </c>
      <c r="AO114" s="56">
        <v>9685531</v>
      </c>
      <c r="AP114" s="56">
        <v>91221232</v>
      </c>
      <c r="AQ114" s="56">
        <v>44276193</v>
      </c>
      <c r="AR114" s="56">
        <v>20039871</v>
      </c>
      <c r="AS114" s="56">
        <v>23743397</v>
      </c>
      <c r="AT114" s="56">
        <v>1886983</v>
      </c>
      <c r="AU114" s="56">
        <v>0</v>
      </c>
      <c r="AV114" s="56">
        <v>102464</v>
      </c>
      <c r="AW114" s="56">
        <v>17522922</v>
      </c>
      <c r="AX114" s="56">
        <v>171403</v>
      </c>
      <c r="AY114" s="56">
        <v>1655142</v>
      </c>
      <c r="AZ114" s="1">
        <v>5689252.9100000001</v>
      </c>
      <c r="BA114" s="1">
        <v>2901519</v>
      </c>
      <c r="BB114" s="69">
        <v>41051813.471502595</v>
      </c>
      <c r="BC114" s="69">
        <v>0</v>
      </c>
      <c r="BD114" s="69">
        <v>0</v>
      </c>
      <c r="BE114" s="69">
        <v>4601982</v>
      </c>
      <c r="BF114" s="69">
        <v>4601982</v>
      </c>
      <c r="BG114" s="69">
        <v>28305995.5</v>
      </c>
      <c r="BH114" s="69">
        <v>28291270</v>
      </c>
      <c r="BI114" s="69">
        <v>0</v>
      </c>
      <c r="BJ114" s="69">
        <v>0</v>
      </c>
      <c r="BK114" s="63"/>
      <c r="BL114" s="5">
        <v>1007020908.1147541</v>
      </c>
      <c r="BM114" s="5">
        <v>850445767.11475408</v>
      </c>
      <c r="BN114" s="15">
        <v>891230</v>
      </c>
      <c r="BO114" s="3"/>
      <c r="BP114" s="5"/>
      <c r="BQ114" s="1"/>
      <c r="BR114" s="1"/>
      <c r="BS114" s="5"/>
      <c r="BT114" s="5"/>
    </row>
    <row r="115" spans="1:72" x14ac:dyDescent="0.25">
      <c r="A115" s="6" t="s">
        <v>169</v>
      </c>
      <c r="B115" s="56">
        <v>4365085754</v>
      </c>
      <c r="C115" s="56">
        <v>437659720</v>
      </c>
      <c r="D115" s="56">
        <v>2409558360</v>
      </c>
      <c r="E115" s="56">
        <v>55947900</v>
      </c>
      <c r="F115" s="56">
        <v>215453360</v>
      </c>
      <c r="G115" s="56">
        <v>22892570</v>
      </c>
      <c r="H115" s="56">
        <v>26893930</v>
      </c>
      <c r="I115" s="56">
        <v>1963270</v>
      </c>
      <c r="J115" s="56">
        <v>468000</v>
      </c>
      <c r="K115" s="56">
        <v>0</v>
      </c>
      <c r="L115" s="56">
        <v>855077510</v>
      </c>
      <c r="M115" s="56">
        <v>0</v>
      </c>
      <c r="N115" s="56">
        <v>6853</v>
      </c>
      <c r="O115" s="56">
        <v>754</v>
      </c>
      <c r="P115" s="56">
        <v>89265600</v>
      </c>
      <c r="Q115" s="56">
        <v>5959100</v>
      </c>
      <c r="R115" s="56">
        <v>71863740</v>
      </c>
      <c r="S115" s="56">
        <v>1120260</v>
      </c>
      <c r="T115" s="56">
        <v>519100</v>
      </c>
      <c r="U115" s="56">
        <v>3008750</v>
      </c>
      <c r="V115" s="56">
        <v>89265600</v>
      </c>
      <c r="W115" s="56">
        <v>5959100</v>
      </c>
      <c r="X115" s="56">
        <v>71863740</v>
      </c>
      <c r="Y115" s="56">
        <v>1120260</v>
      </c>
      <c r="Z115" s="56">
        <v>519100</v>
      </c>
      <c r="AA115" s="56">
        <v>3008750</v>
      </c>
      <c r="AB115" s="56">
        <v>19672842</v>
      </c>
      <c r="AC115" s="56">
        <v>-34004817</v>
      </c>
      <c r="AD115" s="56">
        <v>71728</v>
      </c>
      <c r="AE115" s="56">
        <v>0</v>
      </c>
      <c r="AF115" s="56">
        <v>0</v>
      </c>
      <c r="AG115" s="56">
        <v>0</v>
      </c>
      <c r="AH115" s="56">
        <v>9807000.0000000019</v>
      </c>
      <c r="AI115" s="56">
        <v>943500</v>
      </c>
      <c r="AJ115" s="72">
        <v>0</v>
      </c>
      <c r="AK115" s="1">
        <v>650346317</v>
      </c>
      <c r="AL115" s="1">
        <v>14808326</v>
      </c>
      <c r="AM115" s="56">
        <v>0</v>
      </c>
      <c r="AN115" s="56">
        <v>317169525</v>
      </c>
      <c r="AO115" s="56">
        <v>68896172</v>
      </c>
      <c r="AP115" s="56">
        <v>871900193</v>
      </c>
      <c r="AQ115" s="56">
        <v>337545150</v>
      </c>
      <c r="AR115" s="56">
        <v>281310163</v>
      </c>
      <c r="AS115" s="56">
        <v>139041857</v>
      </c>
      <c r="AT115" s="56">
        <v>3043726</v>
      </c>
      <c r="AU115" s="56">
        <v>0</v>
      </c>
      <c r="AV115" s="56">
        <v>38157</v>
      </c>
      <c r="AW115" s="56">
        <v>92943683</v>
      </c>
      <c r="AX115" s="56">
        <v>823776</v>
      </c>
      <c r="AY115" s="56">
        <v>8496070</v>
      </c>
      <c r="AZ115" s="1">
        <v>31865596.539999999</v>
      </c>
      <c r="BA115" s="1">
        <v>16251454</v>
      </c>
      <c r="BB115" s="69">
        <v>0</v>
      </c>
      <c r="BC115" s="69">
        <v>2808480</v>
      </c>
      <c r="BD115" s="69">
        <v>5506823</v>
      </c>
      <c r="BE115" s="69">
        <v>48636347</v>
      </c>
      <c r="BF115" s="69">
        <v>48636347</v>
      </c>
      <c r="BG115" s="69">
        <v>148889496.5</v>
      </c>
      <c r="BH115" s="69">
        <v>142415792</v>
      </c>
      <c r="BI115" s="69">
        <v>300781</v>
      </c>
      <c r="BJ115" s="69">
        <v>32752577</v>
      </c>
      <c r="BK115" s="63"/>
      <c r="BL115" s="5">
        <v>8854985255</v>
      </c>
      <c r="BM115" s="5">
        <v>7946665181</v>
      </c>
      <c r="BN115" s="15">
        <v>3576160</v>
      </c>
      <c r="BO115" s="3"/>
      <c r="BP115" s="5"/>
      <c r="BQ115" s="1"/>
      <c r="BR115" s="1"/>
      <c r="BS115" s="5"/>
      <c r="BT115" s="5"/>
    </row>
    <row r="116" spans="1:72" x14ac:dyDescent="0.25">
      <c r="A116" s="6" t="s">
        <v>170</v>
      </c>
      <c r="B116" s="56">
        <v>244992910</v>
      </c>
      <c r="C116" s="56">
        <v>160328599</v>
      </c>
      <c r="D116" s="56">
        <v>78463922</v>
      </c>
      <c r="E116" s="56">
        <v>0</v>
      </c>
      <c r="F116" s="56">
        <v>28230900</v>
      </c>
      <c r="G116" s="56">
        <v>5230500</v>
      </c>
      <c r="H116" s="56">
        <v>14471600</v>
      </c>
      <c r="I116" s="56">
        <v>2114300</v>
      </c>
      <c r="J116" s="56">
        <v>28000</v>
      </c>
      <c r="K116" s="56">
        <v>0</v>
      </c>
      <c r="L116" s="56">
        <v>280013116</v>
      </c>
      <c r="M116" s="56">
        <v>109802809</v>
      </c>
      <c r="N116" s="56">
        <v>1224</v>
      </c>
      <c r="O116" s="56">
        <v>225</v>
      </c>
      <c r="P116" s="56">
        <v>3596041</v>
      </c>
      <c r="Q116" s="56">
        <v>3088125</v>
      </c>
      <c r="R116" s="56">
        <v>1240100</v>
      </c>
      <c r="S116" s="56">
        <v>2278434</v>
      </c>
      <c r="T116" s="56">
        <v>1600276</v>
      </c>
      <c r="U116" s="56">
        <v>104880</v>
      </c>
      <c r="V116" s="56">
        <v>3596041</v>
      </c>
      <c r="W116" s="56">
        <v>3320075</v>
      </c>
      <c r="X116" s="56">
        <v>1240100</v>
      </c>
      <c r="Y116" s="56">
        <v>2272434</v>
      </c>
      <c r="Z116" s="56">
        <v>1347844</v>
      </c>
      <c r="AA116" s="56">
        <v>104880</v>
      </c>
      <c r="AB116" s="56">
        <v>-662500</v>
      </c>
      <c r="AC116" s="56">
        <v>0</v>
      </c>
      <c r="AD116" s="56">
        <v>45138</v>
      </c>
      <c r="AE116" s="56">
        <v>0</v>
      </c>
      <c r="AF116" s="56">
        <v>0</v>
      </c>
      <c r="AG116" s="56">
        <v>179623</v>
      </c>
      <c r="AH116" s="56">
        <v>0</v>
      </c>
      <c r="AI116" s="56">
        <v>0</v>
      </c>
      <c r="AJ116" s="72">
        <v>0</v>
      </c>
      <c r="AK116" s="1">
        <v>70097269</v>
      </c>
      <c r="AL116" s="1">
        <v>1341154</v>
      </c>
      <c r="AM116" s="56">
        <v>0</v>
      </c>
      <c r="AN116" s="56">
        <v>16645352</v>
      </c>
      <c r="AO116" s="56">
        <v>338255</v>
      </c>
      <c r="AP116" s="56">
        <v>85873544</v>
      </c>
      <c r="AQ116" s="56">
        <v>24650750</v>
      </c>
      <c r="AR116" s="56">
        <v>30950497</v>
      </c>
      <c r="AS116" s="56">
        <v>989851</v>
      </c>
      <c r="AT116" s="56">
        <v>36734</v>
      </c>
      <c r="AU116" s="56">
        <v>0</v>
      </c>
      <c r="AV116" s="56">
        <v>0</v>
      </c>
      <c r="AW116" s="56">
        <v>18706</v>
      </c>
      <c r="AX116" s="56">
        <v>15130</v>
      </c>
      <c r="AY116" s="56">
        <v>505760</v>
      </c>
      <c r="AZ116" s="1">
        <v>3434618.19</v>
      </c>
      <c r="BA116" s="1">
        <v>1751655</v>
      </c>
      <c r="BB116" s="69">
        <v>0</v>
      </c>
      <c r="BC116" s="69">
        <v>0</v>
      </c>
      <c r="BD116" s="69">
        <v>0</v>
      </c>
      <c r="BE116" s="69">
        <v>1744082</v>
      </c>
      <c r="BF116" s="69">
        <v>1744082</v>
      </c>
      <c r="BG116" s="69">
        <v>25306660.5</v>
      </c>
      <c r="BH116" s="69">
        <v>25014080</v>
      </c>
      <c r="BI116" s="69">
        <v>0</v>
      </c>
      <c r="BJ116" s="69">
        <v>0</v>
      </c>
      <c r="BK116" s="63"/>
      <c r="BL116" s="5">
        <v>625368028</v>
      </c>
      <c r="BM116" s="5">
        <v>525419788</v>
      </c>
      <c r="BN116" s="15">
        <v>359500</v>
      </c>
      <c r="BO116" s="3"/>
      <c r="BP116" s="5"/>
      <c r="BQ116" s="1"/>
      <c r="BR116" s="1"/>
      <c r="BS116" s="5"/>
      <c r="BT116" s="5"/>
    </row>
    <row r="117" spans="1:72" x14ac:dyDescent="0.25">
      <c r="A117" s="6" t="s">
        <v>171</v>
      </c>
      <c r="B117" s="56">
        <v>454151371</v>
      </c>
      <c r="C117" s="56">
        <v>127019331</v>
      </c>
      <c r="D117" s="56">
        <v>103343625</v>
      </c>
      <c r="E117" s="56">
        <v>0</v>
      </c>
      <c r="F117" s="56">
        <v>54279575</v>
      </c>
      <c r="G117" s="56">
        <v>17056374</v>
      </c>
      <c r="H117" s="56">
        <v>15749587</v>
      </c>
      <c r="I117" s="56">
        <v>2083106</v>
      </c>
      <c r="J117" s="56">
        <v>185260</v>
      </c>
      <c r="K117" s="56">
        <v>36000</v>
      </c>
      <c r="L117" s="56">
        <v>277452399</v>
      </c>
      <c r="M117" s="56">
        <v>81680657</v>
      </c>
      <c r="N117" s="56">
        <v>2189</v>
      </c>
      <c r="O117" s="56">
        <v>668</v>
      </c>
      <c r="P117" s="56">
        <v>7058616</v>
      </c>
      <c r="Q117" s="56">
        <v>1256112</v>
      </c>
      <c r="R117" s="56">
        <v>224749</v>
      </c>
      <c r="S117" s="56">
        <v>4214754</v>
      </c>
      <c r="T117" s="56">
        <v>566305</v>
      </c>
      <c r="U117" s="56">
        <v>1140154</v>
      </c>
      <c r="V117" s="56">
        <v>7058616</v>
      </c>
      <c r="W117" s="56">
        <v>1275537</v>
      </c>
      <c r="X117" s="56">
        <v>224749</v>
      </c>
      <c r="Y117" s="56">
        <v>4214754</v>
      </c>
      <c r="Z117" s="56">
        <v>2240411</v>
      </c>
      <c r="AA117" s="56">
        <v>1140154</v>
      </c>
      <c r="AB117" s="56">
        <v>-1375741</v>
      </c>
      <c r="AC117" s="56">
        <v>-250293</v>
      </c>
      <c r="AD117" s="56">
        <v>175072</v>
      </c>
      <c r="AE117" s="56">
        <v>8169</v>
      </c>
      <c r="AF117" s="56">
        <v>10116572</v>
      </c>
      <c r="AG117" s="56">
        <v>242924</v>
      </c>
      <c r="AH117" s="56">
        <v>849393.44262295088</v>
      </c>
      <c r="AI117" s="56">
        <v>69081.967213114753</v>
      </c>
      <c r="AJ117" s="72">
        <v>0</v>
      </c>
      <c r="AK117" s="1">
        <v>94579350</v>
      </c>
      <c r="AL117" s="1">
        <v>12204185</v>
      </c>
      <c r="AM117" s="56">
        <v>15026617</v>
      </c>
      <c r="AN117" s="56">
        <v>18470294</v>
      </c>
      <c r="AO117" s="56">
        <v>5356984</v>
      </c>
      <c r="AP117" s="56">
        <v>35648704</v>
      </c>
      <c r="AQ117" s="56">
        <v>16774628</v>
      </c>
      <c r="AR117" s="56">
        <v>19291221</v>
      </c>
      <c r="AS117" s="56">
        <v>1051147</v>
      </c>
      <c r="AT117" s="56">
        <v>6493527</v>
      </c>
      <c r="AU117" s="56">
        <v>0</v>
      </c>
      <c r="AV117" s="56">
        <v>0</v>
      </c>
      <c r="AW117" s="56">
        <v>0</v>
      </c>
      <c r="AX117" s="56">
        <v>0</v>
      </c>
      <c r="AY117" s="56">
        <v>108500</v>
      </c>
      <c r="AZ117" s="1">
        <v>4634188.4800000004</v>
      </c>
      <c r="BA117" s="1">
        <v>2363436</v>
      </c>
      <c r="BB117" s="69">
        <v>0</v>
      </c>
      <c r="BC117" s="69">
        <v>0</v>
      </c>
      <c r="BD117" s="69">
        <v>0</v>
      </c>
      <c r="BE117" s="69">
        <v>723651</v>
      </c>
      <c r="BF117" s="69">
        <v>723651</v>
      </c>
      <c r="BG117" s="69">
        <v>29549887</v>
      </c>
      <c r="BH117" s="69">
        <v>29293684</v>
      </c>
      <c r="BI117" s="69">
        <v>0</v>
      </c>
      <c r="BJ117" s="69">
        <v>0</v>
      </c>
      <c r="BK117" s="63"/>
      <c r="BL117" s="5">
        <v>865199014.40983605</v>
      </c>
      <c r="BM117" s="5">
        <v>726034708.40983605</v>
      </c>
      <c r="BN117" s="15">
        <v>798000</v>
      </c>
      <c r="BO117" s="3"/>
      <c r="BP117" s="5"/>
      <c r="BQ117" s="1"/>
      <c r="BR117" s="1"/>
      <c r="BS117" s="5"/>
      <c r="BT117" s="5"/>
    </row>
    <row r="118" spans="1:72" x14ac:dyDescent="0.25">
      <c r="A118" s="6" t="s">
        <v>172</v>
      </c>
      <c r="B118" s="56">
        <v>203272903</v>
      </c>
      <c r="C118" s="56">
        <v>144774343</v>
      </c>
      <c r="D118" s="56">
        <v>53736086</v>
      </c>
      <c r="E118" s="56">
        <v>12960000</v>
      </c>
      <c r="F118" s="56">
        <v>32679867</v>
      </c>
      <c r="G118" s="56">
        <v>6420500</v>
      </c>
      <c r="H118" s="56">
        <v>7893303</v>
      </c>
      <c r="I118" s="56">
        <v>830200</v>
      </c>
      <c r="J118" s="56">
        <v>5000</v>
      </c>
      <c r="K118" s="56">
        <v>0</v>
      </c>
      <c r="L118" s="56">
        <v>301178025</v>
      </c>
      <c r="M118" s="56">
        <v>57321200</v>
      </c>
      <c r="N118" s="56">
        <v>1291</v>
      </c>
      <c r="O118" s="56">
        <v>262</v>
      </c>
      <c r="P118" s="56">
        <v>2165800</v>
      </c>
      <c r="Q118" s="56">
        <v>1605200</v>
      </c>
      <c r="R118" s="56">
        <v>101100</v>
      </c>
      <c r="S118" s="56">
        <v>159400</v>
      </c>
      <c r="T118" s="56">
        <v>47800</v>
      </c>
      <c r="U118" s="56">
        <v>0</v>
      </c>
      <c r="V118" s="56">
        <v>2165800</v>
      </c>
      <c r="W118" s="56">
        <v>1605200</v>
      </c>
      <c r="X118" s="56">
        <v>101100</v>
      </c>
      <c r="Y118" s="56">
        <v>159400</v>
      </c>
      <c r="Z118" s="56">
        <v>47800</v>
      </c>
      <c r="AA118" s="56">
        <v>0</v>
      </c>
      <c r="AB118" s="56">
        <v>-216000</v>
      </c>
      <c r="AC118" s="56">
        <v>0</v>
      </c>
      <c r="AD118" s="56">
        <v>60914</v>
      </c>
      <c r="AE118" s="56">
        <v>12229</v>
      </c>
      <c r="AF118" s="56">
        <v>4446088</v>
      </c>
      <c r="AG118" s="56">
        <v>198981</v>
      </c>
      <c r="AH118" s="56">
        <v>21587155.737704922</v>
      </c>
      <c r="AI118" s="56">
        <v>0</v>
      </c>
      <c r="AJ118" s="72">
        <v>39431590.163934432</v>
      </c>
      <c r="AK118" s="1">
        <v>99927127</v>
      </c>
      <c r="AL118" s="1">
        <v>3356931</v>
      </c>
      <c r="AM118" s="56">
        <v>30250</v>
      </c>
      <c r="AN118" s="56">
        <v>91643192</v>
      </c>
      <c r="AO118" s="56">
        <v>5887283</v>
      </c>
      <c r="AP118" s="56">
        <v>70965506</v>
      </c>
      <c r="AQ118" s="56">
        <v>15780525</v>
      </c>
      <c r="AR118" s="56">
        <v>5911462</v>
      </c>
      <c r="AS118" s="56">
        <v>554633</v>
      </c>
      <c r="AT118" s="56">
        <v>1125018</v>
      </c>
      <c r="AU118" s="56">
        <v>0</v>
      </c>
      <c r="AV118" s="56">
        <v>0</v>
      </c>
      <c r="AW118" s="56">
        <v>3286485</v>
      </c>
      <c r="AX118" s="56">
        <v>2086173</v>
      </c>
      <c r="AY118" s="56">
        <v>265500</v>
      </c>
      <c r="AZ118" s="1">
        <v>4896218.26</v>
      </c>
      <c r="BA118" s="1">
        <v>2497071</v>
      </c>
      <c r="BB118" s="69">
        <v>2534974.0932642492</v>
      </c>
      <c r="BC118" s="69">
        <v>1243625</v>
      </c>
      <c r="BD118" s="69">
        <v>2438481</v>
      </c>
      <c r="BE118" s="69">
        <v>26811946</v>
      </c>
      <c r="BF118" s="69">
        <v>26642709</v>
      </c>
      <c r="BG118" s="69">
        <v>64681643</v>
      </c>
      <c r="BH118" s="69">
        <v>62834147</v>
      </c>
      <c r="BI118" s="69">
        <v>0</v>
      </c>
      <c r="BJ118" s="69">
        <v>0</v>
      </c>
      <c r="BK118" s="63"/>
      <c r="BL118" s="5">
        <v>772614687.90163934</v>
      </c>
      <c r="BM118" s="5">
        <v>576113077.90163934</v>
      </c>
      <c r="BN118" s="15"/>
      <c r="BO118" s="3"/>
      <c r="BP118" s="5"/>
      <c r="BQ118" s="1"/>
      <c r="BR118" s="1"/>
      <c r="BS118" s="5"/>
      <c r="BT118" s="5"/>
    </row>
    <row r="119" spans="1:72" x14ac:dyDescent="0.25">
      <c r="A119" s="6" t="s">
        <v>173</v>
      </c>
      <c r="B119" s="56">
        <v>655374879</v>
      </c>
      <c r="C119" s="56">
        <v>134092369</v>
      </c>
      <c r="D119" s="56">
        <v>211938271</v>
      </c>
      <c r="E119" s="56">
        <v>2100000</v>
      </c>
      <c r="F119" s="56">
        <v>89246176</v>
      </c>
      <c r="G119" s="56">
        <v>26106270</v>
      </c>
      <c r="H119" s="56">
        <v>16277867</v>
      </c>
      <c r="I119" s="56">
        <v>2493682</v>
      </c>
      <c r="J119" s="56">
        <v>36000</v>
      </c>
      <c r="K119" s="56">
        <v>0</v>
      </c>
      <c r="L119" s="56">
        <v>433979492</v>
      </c>
      <c r="M119" s="56">
        <v>45352846</v>
      </c>
      <c r="N119" s="56">
        <v>3409</v>
      </c>
      <c r="O119" s="56">
        <v>980</v>
      </c>
      <c r="P119" s="56">
        <v>383800</v>
      </c>
      <c r="Q119" s="56">
        <v>237720</v>
      </c>
      <c r="R119" s="56">
        <v>132160</v>
      </c>
      <c r="S119" s="56">
        <v>7722150</v>
      </c>
      <c r="T119" s="56">
        <v>2272866</v>
      </c>
      <c r="U119" s="56">
        <v>3764825</v>
      </c>
      <c r="V119" s="56">
        <v>383800</v>
      </c>
      <c r="W119" s="56">
        <v>600000</v>
      </c>
      <c r="X119" s="56">
        <v>132160</v>
      </c>
      <c r="Y119" s="56">
        <v>7722150</v>
      </c>
      <c r="Z119" s="56">
        <v>2774400</v>
      </c>
      <c r="AA119" s="56">
        <v>3764825</v>
      </c>
      <c r="AB119" s="56">
        <v>-8097911</v>
      </c>
      <c r="AC119" s="56">
        <v>-1256319</v>
      </c>
      <c r="AD119" s="56">
        <v>201238</v>
      </c>
      <c r="AE119" s="56">
        <v>0</v>
      </c>
      <c r="AF119" s="56">
        <v>0</v>
      </c>
      <c r="AG119" s="56">
        <v>203371</v>
      </c>
      <c r="AH119" s="56">
        <v>1327229.5081967213</v>
      </c>
      <c r="AI119" s="56">
        <v>8261314.7540983623</v>
      </c>
      <c r="AJ119" s="72">
        <v>9115048</v>
      </c>
      <c r="AK119" s="1">
        <v>182235989</v>
      </c>
      <c r="AL119" s="1">
        <v>6469088</v>
      </c>
      <c r="AM119" s="56">
        <v>2554619</v>
      </c>
      <c r="AN119" s="56">
        <v>50775271</v>
      </c>
      <c r="AO119" s="56">
        <v>2848572</v>
      </c>
      <c r="AP119" s="56">
        <v>54230016</v>
      </c>
      <c r="AQ119" s="56">
        <v>70060014</v>
      </c>
      <c r="AR119" s="56">
        <v>13759545</v>
      </c>
      <c r="AS119" s="56">
        <v>4811123</v>
      </c>
      <c r="AT119" s="56">
        <v>326834</v>
      </c>
      <c r="AU119" s="56">
        <v>31</v>
      </c>
      <c r="AV119" s="56">
        <v>0</v>
      </c>
      <c r="AW119" s="56">
        <v>0</v>
      </c>
      <c r="AX119" s="56">
        <v>60708</v>
      </c>
      <c r="AY119" s="56">
        <v>70000</v>
      </c>
      <c r="AZ119" s="1">
        <v>8929178.7300000004</v>
      </c>
      <c r="BA119" s="1">
        <v>4553881</v>
      </c>
      <c r="BB119" s="69">
        <v>0</v>
      </c>
      <c r="BC119" s="69">
        <v>12145991</v>
      </c>
      <c r="BD119" s="69">
        <v>23815669</v>
      </c>
      <c r="BE119" s="69">
        <v>54369226</v>
      </c>
      <c r="BF119" s="69">
        <v>54369226</v>
      </c>
      <c r="BG119" s="69">
        <v>69986911</v>
      </c>
      <c r="BH119" s="69">
        <v>58237802</v>
      </c>
      <c r="BI119" s="69">
        <v>0</v>
      </c>
      <c r="BJ119" s="69">
        <v>0</v>
      </c>
      <c r="BK119" s="63"/>
      <c r="BL119" s="5">
        <v>1461804945.2622952</v>
      </c>
      <c r="BM119" s="5">
        <v>1143792968.2622952</v>
      </c>
      <c r="BN119" s="15">
        <v>1445926</v>
      </c>
      <c r="BO119" s="3"/>
      <c r="BP119" s="5"/>
      <c r="BQ119" s="1"/>
      <c r="BR119" s="1"/>
      <c r="BS119" s="5"/>
      <c r="BT119" s="5"/>
    </row>
    <row r="120" spans="1:72" x14ac:dyDescent="0.25">
      <c r="A120" s="6" t="s">
        <v>174</v>
      </c>
      <c r="B120" s="56">
        <v>53925825</v>
      </c>
      <c r="C120" s="56">
        <v>61964650</v>
      </c>
      <c r="D120" s="56">
        <v>35170000</v>
      </c>
      <c r="E120" s="56">
        <v>0</v>
      </c>
      <c r="F120" s="56">
        <v>10549300</v>
      </c>
      <c r="G120" s="56">
        <v>9243000</v>
      </c>
      <c r="H120" s="56">
        <v>9236500</v>
      </c>
      <c r="I120" s="56">
        <v>4504800</v>
      </c>
      <c r="J120" s="56">
        <v>0</v>
      </c>
      <c r="K120" s="56">
        <v>0</v>
      </c>
      <c r="L120" s="56">
        <v>65069001</v>
      </c>
      <c r="M120" s="56">
        <v>0</v>
      </c>
      <c r="N120" s="56">
        <v>640</v>
      </c>
      <c r="O120" s="56">
        <v>517</v>
      </c>
      <c r="P120" s="56">
        <v>444500</v>
      </c>
      <c r="Q120" s="56">
        <v>374000</v>
      </c>
      <c r="R120" s="56">
        <v>1500000</v>
      </c>
      <c r="S120" s="56">
        <v>530000</v>
      </c>
      <c r="T120" s="56">
        <v>85000</v>
      </c>
      <c r="U120" s="56">
        <v>745000</v>
      </c>
      <c r="V120" s="56">
        <v>444500</v>
      </c>
      <c r="W120" s="56">
        <v>465000</v>
      </c>
      <c r="X120" s="56">
        <v>1500000</v>
      </c>
      <c r="Y120" s="56">
        <v>530000</v>
      </c>
      <c r="Z120" s="56">
        <v>170000</v>
      </c>
      <c r="AA120" s="56">
        <v>745000</v>
      </c>
      <c r="AB120" s="56">
        <v>-1732000</v>
      </c>
      <c r="AC120" s="56">
        <v>0</v>
      </c>
      <c r="AD120" s="56">
        <v>87637</v>
      </c>
      <c r="AE120" s="56">
        <v>0</v>
      </c>
      <c r="AF120" s="56">
        <v>0</v>
      </c>
      <c r="AG120" s="56">
        <v>115786</v>
      </c>
      <c r="AH120" s="56">
        <v>9281426.2295081969</v>
      </c>
      <c r="AI120" s="56">
        <v>2006.5573770491808</v>
      </c>
      <c r="AJ120" s="72">
        <v>0</v>
      </c>
      <c r="AK120" s="1">
        <v>40494243</v>
      </c>
      <c r="AL120" s="1">
        <v>504126</v>
      </c>
      <c r="AM120" s="56">
        <v>0</v>
      </c>
      <c r="AN120" s="56">
        <v>4750093</v>
      </c>
      <c r="AO120" s="56">
        <v>46169</v>
      </c>
      <c r="AP120" s="56">
        <v>148749</v>
      </c>
      <c r="AQ120" s="56">
        <v>10483586</v>
      </c>
      <c r="AR120" s="56">
        <v>2846597</v>
      </c>
      <c r="AS120" s="56">
        <v>0</v>
      </c>
      <c r="AT120" s="56">
        <v>0</v>
      </c>
      <c r="AU120" s="56">
        <v>0</v>
      </c>
      <c r="AV120" s="56">
        <v>0</v>
      </c>
      <c r="AW120" s="56">
        <v>0</v>
      </c>
      <c r="AX120" s="56">
        <v>0</v>
      </c>
      <c r="AY120" s="56">
        <v>0</v>
      </c>
      <c r="AZ120" s="1">
        <v>1984132.42</v>
      </c>
      <c r="BA120" s="1">
        <v>1011908</v>
      </c>
      <c r="BB120" s="69">
        <v>0</v>
      </c>
      <c r="BC120" s="69">
        <v>0</v>
      </c>
      <c r="BD120" s="69">
        <v>0</v>
      </c>
      <c r="BE120" s="69">
        <v>442678</v>
      </c>
      <c r="BF120" s="69">
        <v>442678</v>
      </c>
      <c r="BG120" s="69">
        <v>29915501.5</v>
      </c>
      <c r="BH120" s="69">
        <v>29869184</v>
      </c>
      <c r="BI120" s="69">
        <v>0</v>
      </c>
      <c r="BJ120" s="69">
        <v>0</v>
      </c>
      <c r="BK120" s="63"/>
      <c r="BL120" s="5">
        <v>247945894.78688523</v>
      </c>
      <c r="BM120" s="5">
        <v>175623755.78688523</v>
      </c>
      <c r="BN120" s="15">
        <v>362000</v>
      </c>
      <c r="BO120" s="3"/>
      <c r="BP120" s="5"/>
      <c r="BQ120" s="1"/>
      <c r="BR120" s="1"/>
      <c r="BS120" s="5"/>
      <c r="BT120" s="5"/>
    </row>
    <row r="121" spans="1:72" ht="15.75" thickBot="1" x14ac:dyDescent="0.3">
      <c r="A121" s="9" t="s">
        <v>175</v>
      </c>
      <c r="B121" s="66">
        <v>1286169070</v>
      </c>
      <c r="C121" s="66">
        <v>505158300</v>
      </c>
      <c r="D121" s="66">
        <v>245858245</v>
      </c>
      <c r="E121" s="66">
        <v>0</v>
      </c>
      <c r="F121" s="66">
        <v>66654300</v>
      </c>
      <c r="G121" s="66">
        <v>7594100</v>
      </c>
      <c r="H121" s="66">
        <v>8380900</v>
      </c>
      <c r="I121" s="66">
        <v>396000</v>
      </c>
      <c r="J121" s="66">
        <v>180000</v>
      </c>
      <c r="K121" s="66">
        <v>36000</v>
      </c>
      <c r="L121" s="66">
        <v>871353400</v>
      </c>
      <c r="M121" s="66">
        <v>259980500</v>
      </c>
      <c r="N121" s="66">
        <v>21074</v>
      </c>
      <c r="O121" s="66">
        <v>226</v>
      </c>
      <c r="P121" s="66">
        <v>19259200</v>
      </c>
      <c r="Q121" s="66">
        <v>2673000</v>
      </c>
      <c r="R121" s="66">
        <v>4860000</v>
      </c>
      <c r="S121" s="66">
        <v>25000</v>
      </c>
      <c r="T121" s="66">
        <v>78000</v>
      </c>
      <c r="U121" s="66">
        <v>0</v>
      </c>
      <c r="V121" s="66">
        <v>19259200</v>
      </c>
      <c r="W121" s="66">
        <v>2673000</v>
      </c>
      <c r="X121" s="66">
        <v>4860000</v>
      </c>
      <c r="Y121" s="66">
        <v>25000</v>
      </c>
      <c r="Z121" s="66">
        <v>78000</v>
      </c>
      <c r="AA121" s="66">
        <v>0</v>
      </c>
      <c r="AB121" s="66">
        <v>-2052500</v>
      </c>
      <c r="AC121" s="66">
        <v>-242591</v>
      </c>
      <c r="AD121" s="66">
        <v>0</v>
      </c>
      <c r="AE121" s="66">
        <v>0</v>
      </c>
      <c r="AF121" s="66">
        <v>0</v>
      </c>
      <c r="AG121" s="66">
        <v>107029</v>
      </c>
      <c r="AH121" s="66">
        <v>0</v>
      </c>
      <c r="AI121" s="66">
        <v>0</v>
      </c>
      <c r="AJ121" s="66">
        <v>0</v>
      </c>
      <c r="AK121" s="21">
        <v>187081286</v>
      </c>
      <c r="AL121" s="21">
        <v>4681355</v>
      </c>
      <c r="AM121" s="66">
        <v>12000</v>
      </c>
      <c r="AN121" s="66">
        <v>42189775</v>
      </c>
      <c r="AO121" s="66">
        <v>8686309</v>
      </c>
      <c r="AP121" s="66">
        <v>179917879</v>
      </c>
      <c r="AQ121" s="66">
        <v>27728553</v>
      </c>
      <c r="AR121" s="66">
        <v>53388773</v>
      </c>
      <c r="AS121" s="66">
        <v>95009396</v>
      </c>
      <c r="AT121" s="66">
        <v>213642388</v>
      </c>
      <c r="AU121" s="66">
        <v>0</v>
      </c>
      <c r="AV121" s="66">
        <v>0</v>
      </c>
      <c r="AW121" s="66">
        <v>0</v>
      </c>
      <c r="AX121" s="66">
        <v>327010</v>
      </c>
      <c r="AY121" s="66">
        <v>154600</v>
      </c>
      <c r="AZ121" s="21">
        <v>9166588.0500000007</v>
      </c>
      <c r="BA121" s="21">
        <v>4674960</v>
      </c>
      <c r="BB121" s="73">
        <v>0</v>
      </c>
      <c r="BC121" s="73">
        <v>992836</v>
      </c>
      <c r="BD121" s="73">
        <v>1946736</v>
      </c>
      <c r="BE121" s="73">
        <v>14595535</v>
      </c>
      <c r="BF121" s="73">
        <v>13133527</v>
      </c>
      <c r="BG121" s="73">
        <v>37906054.5</v>
      </c>
      <c r="BH121" s="73">
        <v>37425616</v>
      </c>
      <c r="BI121" s="23">
        <v>37577361</v>
      </c>
      <c r="BJ121" s="23">
        <v>0</v>
      </c>
      <c r="BK121" s="67"/>
      <c r="BL121" s="25">
        <v>2401357193</v>
      </c>
      <c r="BM121" s="25">
        <v>2115790252</v>
      </c>
      <c r="BN121" s="23">
        <v>1815645</v>
      </c>
      <c r="BO121" s="16"/>
      <c r="BP121" s="5"/>
      <c r="BQ121" s="1"/>
      <c r="BR121" s="1"/>
      <c r="BS121" s="5"/>
      <c r="BT121" s="5"/>
    </row>
    <row r="122" spans="1:72" ht="15.75" thickTop="1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15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26"/>
      <c r="BA122" s="26"/>
      <c r="BB122" s="40"/>
      <c r="BC122" s="3"/>
      <c r="BD122" s="3"/>
      <c r="BE122" s="27"/>
      <c r="BF122" s="27"/>
      <c r="BG122" s="27"/>
      <c r="BH122" s="27"/>
      <c r="BI122" s="40"/>
      <c r="BJ122" s="40"/>
      <c r="BK122" s="3"/>
      <c r="BL122" s="3"/>
      <c r="BM122" s="3"/>
      <c r="BN122" s="3"/>
      <c r="BO122" s="3"/>
      <c r="BP122" s="3"/>
      <c r="BQ122" s="3"/>
      <c r="BR122" s="3"/>
      <c r="BS122" s="3"/>
      <c r="BT122" s="3"/>
    </row>
    <row r="123" spans="1:72" x14ac:dyDescent="0.25">
      <c r="B123" s="52">
        <v>151013968651</v>
      </c>
      <c r="C123" s="40">
        <v>19075961542</v>
      </c>
      <c r="D123" s="52">
        <v>58119480510</v>
      </c>
      <c r="E123" s="52">
        <v>2413428661</v>
      </c>
      <c r="F123" s="52">
        <v>10352292857</v>
      </c>
      <c r="G123" s="52">
        <v>2219127451</v>
      </c>
      <c r="H123" s="52">
        <v>1548086061</v>
      </c>
      <c r="I123" s="52">
        <v>288693914</v>
      </c>
      <c r="J123" s="52">
        <v>23208530</v>
      </c>
      <c r="K123" s="52">
        <v>3659884</v>
      </c>
      <c r="L123" s="52">
        <v>35442310097</v>
      </c>
      <c r="M123" s="52">
        <v>12011071647</v>
      </c>
      <c r="N123" s="52">
        <v>367334</v>
      </c>
      <c r="O123" s="52">
        <v>81876</v>
      </c>
      <c r="P123" s="52">
        <v>1668375728</v>
      </c>
      <c r="Q123" s="52">
        <v>271416646</v>
      </c>
      <c r="R123" s="52">
        <v>1129614325</v>
      </c>
      <c r="S123" s="52">
        <v>1083205924</v>
      </c>
      <c r="T123" s="52">
        <v>134057549</v>
      </c>
      <c r="U123" s="52">
        <v>768208946</v>
      </c>
      <c r="V123" s="52">
        <v>1668473328</v>
      </c>
      <c r="W123" s="52">
        <v>425369217</v>
      </c>
      <c r="X123" s="52">
        <v>1132177132</v>
      </c>
      <c r="Y123" s="52">
        <v>1084521215</v>
      </c>
      <c r="Z123" s="52">
        <v>279581224</v>
      </c>
      <c r="AA123" s="52">
        <v>767893783</v>
      </c>
      <c r="AB123" s="52">
        <v>-445322649</v>
      </c>
      <c r="AC123" s="52">
        <v>-268263094</v>
      </c>
      <c r="AD123" s="52">
        <v>8249782</v>
      </c>
      <c r="AE123" s="52">
        <v>4867873</v>
      </c>
      <c r="AF123" s="52">
        <v>1791500371</v>
      </c>
      <c r="AG123" s="52">
        <v>49417158.419999994</v>
      </c>
      <c r="AH123" s="52">
        <v>438695073.77049184</v>
      </c>
      <c r="AI123" s="52">
        <v>719635449.18032801</v>
      </c>
      <c r="AJ123" s="74">
        <v>2513850343.1147542</v>
      </c>
      <c r="AK123" s="52">
        <v>26698474377</v>
      </c>
      <c r="AL123" s="52">
        <v>767657836</v>
      </c>
      <c r="AM123" s="52">
        <v>133743517</v>
      </c>
      <c r="AN123" s="52">
        <v>11087721881</v>
      </c>
      <c r="AO123" s="52">
        <v>922048126</v>
      </c>
      <c r="AP123" s="52">
        <v>17888933189</v>
      </c>
      <c r="AQ123" s="52">
        <v>9593245713</v>
      </c>
      <c r="AR123" s="52">
        <v>9590341855</v>
      </c>
      <c r="AS123" s="52">
        <v>8765390681</v>
      </c>
      <c r="AT123" s="52">
        <v>7693844296</v>
      </c>
      <c r="AU123" s="52">
        <v>63691729</v>
      </c>
      <c r="AV123" s="52">
        <v>55576755</v>
      </c>
      <c r="AW123" s="52">
        <v>920965627</v>
      </c>
      <c r="AX123" s="52">
        <v>150971403</v>
      </c>
      <c r="AY123" s="52">
        <v>286142793</v>
      </c>
      <c r="AZ123" s="52">
        <v>1308168884.240001</v>
      </c>
      <c r="BA123" s="52">
        <v>667166128</v>
      </c>
      <c r="BB123" s="53">
        <v>950000000.02046645</v>
      </c>
      <c r="BC123" s="53">
        <v>267378798</v>
      </c>
      <c r="BD123" s="53">
        <v>524272155</v>
      </c>
      <c r="BE123" s="29">
        <v>4956691773</v>
      </c>
      <c r="BF123" s="29">
        <v>4893862480</v>
      </c>
      <c r="BG123" s="29">
        <v>10136956154</v>
      </c>
      <c r="BH123" s="29">
        <v>9390024223</v>
      </c>
      <c r="BI123" s="53">
        <v>1323985426</v>
      </c>
      <c r="BJ123" s="53">
        <v>194533820</v>
      </c>
      <c r="BK123" s="53">
        <v>0</v>
      </c>
      <c r="BL123" s="30">
        <v>297679353258.06549</v>
      </c>
      <c r="BM123" s="30">
        <v>253476270170.06564</v>
      </c>
      <c r="BN123" s="30">
        <v>352848811</v>
      </c>
      <c r="BO123" s="14"/>
      <c r="BP123" s="3"/>
      <c r="BQ123" s="3"/>
      <c r="BR123" s="3"/>
      <c r="BS123" s="3"/>
      <c r="BT123" s="3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T123"/>
  <sheetViews>
    <sheetView workbookViewId="0"/>
  </sheetViews>
  <sheetFormatPr defaultColWidth="9.140625" defaultRowHeight="15" x14ac:dyDescent="0.25"/>
  <cols>
    <col min="1" max="1" width="15" bestFit="1" customWidth="1"/>
    <col min="2" max="2" width="16" bestFit="1" customWidth="1"/>
    <col min="3" max="4" width="15" bestFit="1" customWidth="1"/>
    <col min="5" max="5" width="14" bestFit="1" customWidth="1"/>
    <col min="6" max="6" width="15" bestFit="1" customWidth="1"/>
    <col min="7" max="8" width="14" bestFit="1" customWidth="1"/>
    <col min="9" max="9" width="12.28515625" bestFit="1" customWidth="1"/>
    <col min="10" max="10" width="13.85546875" customWidth="1"/>
    <col min="11" max="11" width="14" customWidth="1"/>
    <col min="12" max="13" width="15" bestFit="1" customWidth="1"/>
    <col min="14" max="14" width="13" customWidth="1"/>
    <col min="15" max="15" width="14.140625" customWidth="1"/>
    <col min="16" max="16" width="14" bestFit="1" customWidth="1"/>
    <col min="17" max="17" width="12.28515625" bestFit="1" customWidth="1"/>
    <col min="18" max="19" width="14" bestFit="1" customWidth="1"/>
    <col min="20" max="21" width="12.28515625" bestFit="1" customWidth="1"/>
    <col min="22" max="22" width="14" bestFit="1" customWidth="1"/>
    <col min="23" max="23" width="12.28515625" bestFit="1" customWidth="1"/>
    <col min="24" max="25" width="14" bestFit="1" customWidth="1"/>
    <col min="26" max="27" width="12.28515625" bestFit="1" customWidth="1"/>
    <col min="28" max="29" width="12.85546875" bestFit="1" customWidth="1"/>
    <col min="30" max="31" width="10.28515625" bestFit="1" customWidth="1"/>
    <col min="32" max="32" width="14" bestFit="1" customWidth="1"/>
    <col min="33" max="33" width="11.28515625" bestFit="1" customWidth="1"/>
    <col min="34" max="35" width="12.28515625" bestFit="1" customWidth="1"/>
    <col min="36" max="36" width="14" bestFit="1" customWidth="1"/>
    <col min="37" max="37" width="15" bestFit="1" customWidth="1"/>
    <col min="38" max="39" width="12.28515625" bestFit="1" customWidth="1"/>
    <col min="40" max="40" width="15" bestFit="1" customWidth="1"/>
    <col min="41" max="41" width="12.28515625" bestFit="1" customWidth="1"/>
    <col min="42" max="42" width="15" bestFit="1" customWidth="1"/>
    <col min="43" max="43" width="14" bestFit="1" customWidth="1"/>
    <col min="44" max="45" width="15" bestFit="1" customWidth="1"/>
    <col min="46" max="46" width="14" bestFit="1" customWidth="1"/>
    <col min="47" max="48" width="11.28515625" bestFit="1" customWidth="1"/>
    <col min="49" max="49" width="14" bestFit="1" customWidth="1"/>
    <col min="50" max="51" width="12.28515625" bestFit="1" customWidth="1"/>
    <col min="52" max="52" width="14" bestFit="1" customWidth="1"/>
    <col min="53" max="53" width="12.28515625" bestFit="1" customWidth="1"/>
    <col min="54" max="54" width="14" bestFit="1" customWidth="1"/>
    <col min="55" max="56" width="12.28515625" bestFit="1" customWidth="1"/>
    <col min="57" max="58" width="13.42578125" bestFit="1" customWidth="1"/>
    <col min="59" max="60" width="14.42578125" bestFit="1" customWidth="1"/>
    <col min="61" max="61" width="14" bestFit="1" customWidth="1"/>
    <col min="62" max="62" width="12.28515625" bestFit="1" customWidth="1"/>
    <col min="63" max="63" width="12.42578125" customWidth="1"/>
    <col min="64" max="65" width="16" bestFit="1" customWidth="1"/>
    <col min="66" max="66" width="12.28515625" bestFit="1" customWidth="1"/>
    <col min="68" max="68" width="15" bestFit="1" customWidth="1"/>
    <col min="69" max="69" width="13.42578125" bestFit="1" customWidth="1"/>
    <col min="70" max="70" width="10.7109375" bestFit="1" customWidth="1"/>
    <col min="71" max="71" width="14" bestFit="1" customWidth="1"/>
    <col min="72" max="72" width="15" bestFit="1" customWidth="1"/>
  </cols>
  <sheetData>
    <row r="1" spans="1:72" ht="78" thickBot="1" x14ac:dyDescent="0.3">
      <c r="A1" s="75" t="s">
        <v>310</v>
      </c>
      <c r="B1" s="38" t="s">
        <v>0</v>
      </c>
      <c r="C1" s="38" t="s">
        <v>1</v>
      </c>
      <c r="D1" s="38" t="s">
        <v>2</v>
      </c>
      <c r="E1" s="38" t="s">
        <v>3</v>
      </c>
      <c r="F1" s="38" t="s">
        <v>4</v>
      </c>
      <c r="G1" s="38" t="s">
        <v>5</v>
      </c>
      <c r="H1" s="38" t="s">
        <v>6</v>
      </c>
      <c r="I1" s="39" t="s">
        <v>7</v>
      </c>
      <c r="J1" s="38" t="s">
        <v>8</v>
      </c>
      <c r="K1" s="38" t="s">
        <v>9</v>
      </c>
      <c r="L1" s="38" t="s">
        <v>10</v>
      </c>
      <c r="M1" s="38" t="s">
        <v>11</v>
      </c>
      <c r="N1" s="38" t="s">
        <v>12</v>
      </c>
      <c r="O1" s="38" t="s">
        <v>13</v>
      </c>
      <c r="P1" s="38" t="s">
        <v>311</v>
      </c>
      <c r="Q1" s="38" t="s">
        <v>312</v>
      </c>
      <c r="R1" s="38" t="s">
        <v>313</v>
      </c>
      <c r="S1" s="38" t="s">
        <v>314</v>
      </c>
      <c r="T1" s="38" t="s">
        <v>315</v>
      </c>
      <c r="U1" s="38" t="s">
        <v>316</v>
      </c>
      <c r="V1" s="38" t="s">
        <v>317</v>
      </c>
      <c r="W1" s="38" t="s">
        <v>318</v>
      </c>
      <c r="X1" s="38" t="s">
        <v>319</v>
      </c>
      <c r="Y1" s="38" t="s">
        <v>320</v>
      </c>
      <c r="Z1" s="38" t="s">
        <v>321</v>
      </c>
      <c r="AA1" s="38" t="s">
        <v>322</v>
      </c>
      <c r="AB1" s="38" t="s">
        <v>323</v>
      </c>
      <c r="AC1" s="38" t="s">
        <v>324</v>
      </c>
      <c r="AD1" s="38" t="s">
        <v>14</v>
      </c>
      <c r="AE1" s="38" t="s">
        <v>15</v>
      </c>
      <c r="AF1" s="38" t="s">
        <v>16</v>
      </c>
      <c r="AG1" s="38" t="s">
        <v>17</v>
      </c>
      <c r="AH1" s="38" t="s">
        <v>18</v>
      </c>
      <c r="AI1" s="38" t="s">
        <v>19</v>
      </c>
      <c r="AJ1" s="38" t="s">
        <v>325</v>
      </c>
      <c r="AK1" s="38" t="s">
        <v>21</v>
      </c>
      <c r="AL1" s="38" t="s">
        <v>22</v>
      </c>
      <c r="AM1" s="38" t="s">
        <v>23</v>
      </c>
      <c r="AN1" s="38" t="s">
        <v>24</v>
      </c>
      <c r="AO1" s="38" t="s">
        <v>25</v>
      </c>
      <c r="AP1" s="38" t="s">
        <v>26</v>
      </c>
      <c r="AQ1" s="38" t="s">
        <v>27</v>
      </c>
      <c r="AR1" s="38" t="s">
        <v>28</v>
      </c>
      <c r="AS1" s="38" t="s">
        <v>29</v>
      </c>
      <c r="AT1" s="38" t="s">
        <v>30</v>
      </c>
      <c r="AU1" s="38" t="s">
        <v>31</v>
      </c>
      <c r="AV1" s="38" t="s">
        <v>32</v>
      </c>
      <c r="AW1" s="38" t="s">
        <v>33</v>
      </c>
      <c r="AX1" s="38" t="s">
        <v>34</v>
      </c>
      <c r="AY1" s="38" t="s">
        <v>35</v>
      </c>
      <c r="AZ1" s="38" t="s">
        <v>40</v>
      </c>
      <c r="BA1" s="38" t="s">
        <v>41</v>
      </c>
      <c r="BB1" s="38" t="s">
        <v>42</v>
      </c>
      <c r="BC1" s="62" t="s">
        <v>307</v>
      </c>
      <c r="BD1" s="62" t="s">
        <v>43</v>
      </c>
      <c r="BE1" s="38" t="s">
        <v>44</v>
      </c>
      <c r="BF1" s="38" t="s">
        <v>308</v>
      </c>
      <c r="BG1" s="38" t="s">
        <v>45</v>
      </c>
      <c r="BH1" s="38" t="s">
        <v>309</v>
      </c>
      <c r="BI1" s="62" t="s">
        <v>46</v>
      </c>
      <c r="BJ1" s="38" t="s">
        <v>47</v>
      </c>
      <c r="BK1" s="38" t="s">
        <v>48</v>
      </c>
      <c r="BL1" s="76" t="s">
        <v>49</v>
      </c>
      <c r="BM1" s="76" t="s">
        <v>50</v>
      </c>
      <c r="BN1" s="76" t="s">
        <v>51</v>
      </c>
      <c r="BO1" s="76"/>
      <c r="BP1" s="77" t="s">
        <v>326</v>
      </c>
      <c r="BQ1" s="78" t="s">
        <v>327</v>
      </c>
      <c r="BR1" s="78" t="s">
        <v>328</v>
      </c>
      <c r="BS1" s="78" t="s">
        <v>329</v>
      </c>
      <c r="BT1" s="78" t="s">
        <v>330</v>
      </c>
    </row>
    <row r="2" spans="1:72" x14ac:dyDescent="0.25">
      <c r="A2" s="79" t="s">
        <v>56</v>
      </c>
      <c r="B2" s="80">
        <v>284679300</v>
      </c>
      <c r="C2" s="80">
        <v>149900500</v>
      </c>
      <c r="D2" s="80">
        <v>103472100</v>
      </c>
      <c r="E2" s="80">
        <v>0</v>
      </c>
      <c r="F2" s="80">
        <v>39945600</v>
      </c>
      <c r="G2" s="80">
        <v>14346000</v>
      </c>
      <c r="H2" s="80">
        <v>21504280</v>
      </c>
      <c r="I2" s="80">
        <v>3693300</v>
      </c>
      <c r="J2" s="80">
        <v>73800</v>
      </c>
      <c r="K2" s="80">
        <v>36900</v>
      </c>
      <c r="L2" s="80">
        <v>379045170</v>
      </c>
      <c r="M2" s="80">
        <v>17620125</v>
      </c>
      <c r="N2" s="80">
        <v>1780</v>
      </c>
      <c r="O2" s="80">
        <v>582</v>
      </c>
      <c r="P2" s="80">
        <v>1179600</v>
      </c>
      <c r="Q2" s="80">
        <v>534300</v>
      </c>
      <c r="R2" s="80">
        <v>881000</v>
      </c>
      <c r="S2" s="80">
        <v>258200</v>
      </c>
      <c r="T2" s="80">
        <v>171500</v>
      </c>
      <c r="U2" s="80">
        <v>246000</v>
      </c>
      <c r="V2" s="80">
        <v>1179600</v>
      </c>
      <c r="W2" s="80">
        <v>534300</v>
      </c>
      <c r="X2" s="80">
        <v>881000</v>
      </c>
      <c r="Y2" s="80">
        <v>258200</v>
      </c>
      <c r="Z2" s="80">
        <v>171500</v>
      </c>
      <c r="AA2" s="80">
        <v>246000</v>
      </c>
      <c r="AB2" s="80">
        <v>-1840400</v>
      </c>
      <c r="AC2" s="80">
        <v>-86469</v>
      </c>
      <c r="AD2" s="80">
        <v>109711</v>
      </c>
      <c r="AE2" s="80">
        <v>0</v>
      </c>
      <c r="AF2" s="80">
        <v>0</v>
      </c>
      <c r="AG2" s="80">
        <v>224713</v>
      </c>
      <c r="AH2" s="81">
        <v>7107229.5081967218</v>
      </c>
      <c r="AI2" s="80">
        <v>307696.72131147538</v>
      </c>
      <c r="AJ2" s="80">
        <v>0</v>
      </c>
      <c r="AK2" s="82">
        <v>94785096</v>
      </c>
      <c r="AL2" s="83">
        <v>3201592</v>
      </c>
      <c r="AM2" s="80">
        <v>908145</v>
      </c>
      <c r="AN2" s="80">
        <v>16145882</v>
      </c>
      <c r="AO2" s="80">
        <v>213029</v>
      </c>
      <c r="AP2" s="80">
        <v>15822276</v>
      </c>
      <c r="AQ2" s="80">
        <v>19637123</v>
      </c>
      <c r="AR2" s="80">
        <v>12935537</v>
      </c>
      <c r="AS2" s="80">
        <v>0</v>
      </c>
      <c r="AT2" s="80">
        <v>692228</v>
      </c>
      <c r="AU2" s="80">
        <v>0</v>
      </c>
      <c r="AV2" s="80">
        <v>0</v>
      </c>
      <c r="AW2" s="80">
        <v>0</v>
      </c>
      <c r="AX2" s="80">
        <v>493058</v>
      </c>
      <c r="AY2" s="80">
        <v>461300</v>
      </c>
      <c r="AZ2" s="82">
        <v>4495639.7699999996</v>
      </c>
      <c r="BA2" s="82">
        <v>2292776.2799999998</v>
      </c>
      <c r="BB2" s="84">
        <v>0</v>
      </c>
      <c r="BC2" s="84">
        <v>0</v>
      </c>
      <c r="BD2" s="84">
        <v>0</v>
      </c>
      <c r="BE2" s="84">
        <v>20998111</v>
      </c>
      <c r="BF2" s="84">
        <v>20998111</v>
      </c>
      <c r="BG2" s="84">
        <v>40845118</v>
      </c>
      <c r="BH2" s="84">
        <v>40225352</v>
      </c>
      <c r="BI2" s="84">
        <v>0</v>
      </c>
      <c r="BJ2" s="84">
        <v>0</v>
      </c>
      <c r="BK2" s="85"/>
      <c r="BL2" s="86">
        <v>742965787.50950813</v>
      </c>
      <c r="BM2" s="86">
        <v>581462860.22950816</v>
      </c>
      <c r="BN2" s="87">
        <v>272500</v>
      </c>
      <c r="BO2" s="88"/>
      <c r="BP2" s="89">
        <v>538051900</v>
      </c>
      <c r="BQ2" s="90">
        <v>94785096</v>
      </c>
      <c r="BR2" s="90">
        <v>3201592</v>
      </c>
      <c r="BS2" s="89">
        <v>35996034</v>
      </c>
      <c r="BT2" s="89">
        <v>672034622</v>
      </c>
    </row>
    <row r="3" spans="1:72" x14ac:dyDescent="0.25">
      <c r="A3" s="91" t="s">
        <v>57</v>
      </c>
      <c r="B3" s="80">
        <v>418648771</v>
      </c>
      <c r="C3" s="80">
        <v>157948687</v>
      </c>
      <c r="D3" s="80">
        <v>112749019</v>
      </c>
      <c r="E3" s="80">
        <v>3150000</v>
      </c>
      <c r="F3" s="80">
        <v>45524745</v>
      </c>
      <c r="G3" s="80">
        <v>13206695</v>
      </c>
      <c r="H3" s="80">
        <v>19088925</v>
      </c>
      <c r="I3" s="80">
        <v>2113480</v>
      </c>
      <c r="J3" s="80">
        <v>34500</v>
      </c>
      <c r="K3" s="80">
        <v>0</v>
      </c>
      <c r="L3" s="80">
        <v>286132042</v>
      </c>
      <c r="M3" s="80">
        <v>106505240</v>
      </c>
      <c r="N3" s="80">
        <v>1855</v>
      </c>
      <c r="O3" s="80">
        <v>443</v>
      </c>
      <c r="P3" s="80">
        <v>8440132</v>
      </c>
      <c r="Q3" s="80">
        <v>4388500</v>
      </c>
      <c r="R3" s="80">
        <v>2199500</v>
      </c>
      <c r="S3" s="80">
        <v>5046367</v>
      </c>
      <c r="T3" s="80">
        <v>948609</v>
      </c>
      <c r="U3" s="80">
        <v>326091</v>
      </c>
      <c r="V3" s="80">
        <v>8440132</v>
      </c>
      <c r="W3" s="80">
        <v>6581026</v>
      </c>
      <c r="X3" s="80">
        <v>2199500</v>
      </c>
      <c r="Y3" s="80">
        <v>5046367</v>
      </c>
      <c r="Z3" s="80">
        <v>3273226</v>
      </c>
      <c r="AA3" s="80">
        <v>326091</v>
      </c>
      <c r="AB3" s="80">
        <v>-3148752</v>
      </c>
      <c r="AC3" s="80">
        <v>0</v>
      </c>
      <c r="AD3" s="80">
        <v>186749</v>
      </c>
      <c r="AE3" s="80">
        <v>0</v>
      </c>
      <c r="AF3" s="80">
        <v>0</v>
      </c>
      <c r="AG3" s="80">
        <v>0</v>
      </c>
      <c r="AH3" s="81">
        <v>2055122.9508196723</v>
      </c>
      <c r="AI3" s="80">
        <v>351565.57377049181</v>
      </c>
      <c r="AJ3" s="92">
        <v>0</v>
      </c>
      <c r="AK3" s="82">
        <v>101489908</v>
      </c>
      <c r="AL3" s="83">
        <v>5688369</v>
      </c>
      <c r="AM3" s="80">
        <v>132000</v>
      </c>
      <c r="AN3" s="80">
        <v>21409515</v>
      </c>
      <c r="AO3" s="80">
        <v>1391845</v>
      </c>
      <c r="AP3" s="80">
        <v>131127723</v>
      </c>
      <c r="AQ3" s="80">
        <v>35989049</v>
      </c>
      <c r="AR3" s="80">
        <v>13547340</v>
      </c>
      <c r="AS3" s="80">
        <v>33160677</v>
      </c>
      <c r="AT3" s="80">
        <v>103929</v>
      </c>
      <c r="AU3" s="80">
        <v>0</v>
      </c>
      <c r="AV3" s="80">
        <v>0</v>
      </c>
      <c r="AW3" s="80">
        <v>0</v>
      </c>
      <c r="AX3" s="80">
        <v>17018</v>
      </c>
      <c r="AY3" s="80">
        <v>0</v>
      </c>
      <c r="AZ3" s="82">
        <v>4813647.78</v>
      </c>
      <c r="BA3" s="82">
        <v>2454960.37</v>
      </c>
      <c r="BB3" s="84">
        <v>0</v>
      </c>
      <c r="BC3" s="84">
        <v>0</v>
      </c>
      <c r="BD3" s="84">
        <v>0</v>
      </c>
      <c r="BE3" s="84">
        <v>18010396</v>
      </c>
      <c r="BF3" s="84">
        <v>18010396</v>
      </c>
      <c r="BG3" s="84">
        <v>40737094</v>
      </c>
      <c r="BH3" s="84">
        <v>40659531</v>
      </c>
      <c r="BI3" s="84">
        <v>0</v>
      </c>
      <c r="BJ3" s="84">
        <v>0</v>
      </c>
      <c r="BK3" s="85"/>
      <c r="BL3" s="86">
        <v>918846738.89459026</v>
      </c>
      <c r="BM3" s="86">
        <v>750543574.52459025</v>
      </c>
      <c r="BN3" s="87">
        <v>1298043</v>
      </c>
      <c r="BO3" s="88"/>
      <c r="BP3" s="89">
        <v>689346477</v>
      </c>
      <c r="BQ3" s="90">
        <v>101489908</v>
      </c>
      <c r="BR3" s="90">
        <v>5688369</v>
      </c>
      <c r="BS3" s="89">
        <v>91951086</v>
      </c>
      <c r="BT3" s="89">
        <v>888475840</v>
      </c>
    </row>
    <row r="4" spans="1:72" x14ac:dyDescent="0.25">
      <c r="A4" s="91" t="s">
        <v>58</v>
      </c>
      <c r="B4" s="80">
        <v>861006503</v>
      </c>
      <c r="C4" s="80">
        <v>196280451</v>
      </c>
      <c r="D4" s="80">
        <v>230539281</v>
      </c>
      <c r="E4" s="80">
        <v>0</v>
      </c>
      <c r="F4" s="80">
        <v>56122650</v>
      </c>
      <c r="G4" s="80">
        <v>8181300</v>
      </c>
      <c r="H4" s="80">
        <v>11915800</v>
      </c>
      <c r="I4" s="80">
        <v>1288700</v>
      </c>
      <c r="J4" s="80">
        <v>295200</v>
      </c>
      <c r="K4" s="80">
        <v>0</v>
      </c>
      <c r="L4" s="80">
        <v>162580319</v>
      </c>
      <c r="M4" s="80">
        <v>126926506</v>
      </c>
      <c r="N4" s="80">
        <v>1878</v>
      </c>
      <c r="O4" s="80">
        <v>272</v>
      </c>
      <c r="P4" s="80">
        <v>4711711</v>
      </c>
      <c r="Q4" s="80">
        <v>1437000</v>
      </c>
      <c r="R4" s="80">
        <v>1603636</v>
      </c>
      <c r="S4" s="80">
        <v>10589630</v>
      </c>
      <c r="T4" s="80">
        <v>515000</v>
      </c>
      <c r="U4" s="80">
        <v>862000</v>
      </c>
      <c r="V4" s="80">
        <v>4711711</v>
      </c>
      <c r="W4" s="80">
        <v>964000</v>
      </c>
      <c r="X4" s="80">
        <v>1603636</v>
      </c>
      <c r="Y4" s="80">
        <v>10589630</v>
      </c>
      <c r="Z4" s="80">
        <v>649000</v>
      </c>
      <c r="AA4" s="80">
        <v>862000</v>
      </c>
      <c r="AB4" s="80">
        <v>-2970400</v>
      </c>
      <c r="AC4" s="80">
        <v>-1341372</v>
      </c>
      <c r="AD4" s="80">
        <v>0</v>
      </c>
      <c r="AE4" s="80">
        <v>0</v>
      </c>
      <c r="AF4" s="80">
        <v>0</v>
      </c>
      <c r="AG4" s="80">
        <v>109283</v>
      </c>
      <c r="AH4" s="81">
        <v>0</v>
      </c>
      <c r="AI4" s="80">
        <v>89418.032786885247</v>
      </c>
      <c r="AJ4" s="92">
        <v>0</v>
      </c>
      <c r="AK4" s="82">
        <v>145820931</v>
      </c>
      <c r="AL4" s="83">
        <v>4441534</v>
      </c>
      <c r="AM4" s="80">
        <v>0</v>
      </c>
      <c r="AN4" s="80">
        <v>29077358</v>
      </c>
      <c r="AO4" s="80">
        <v>2847917</v>
      </c>
      <c r="AP4" s="80">
        <v>110027123</v>
      </c>
      <c r="AQ4" s="80">
        <v>40414813</v>
      </c>
      <c r="AR4" s="80">
        <v>30901154</v>
      </c>
      <c r="AS4" s="80">
        <v>37520391</v>
      </c>
      <c r="AT4" s="80">
        <v>502212</v>
      </c>
      <c r="AU4" s="80">
        <v>0</v>
      </c>
      <c r="AV4" s="80">
        <v>0</v>
      </c>
      <c r="AW4" s="80">
        <v>6897510</v>
      </c>
      <c r="AX4" s="80">
        <v>7592</v>
      </c>
      <c r="AY4" s="80">
        <v>32500</v>
      </c>
      <c r="AZ4" s="82">
        <v>6916260.0999999996</v>
      </c>
      <c r="BA4" s="82">
        <v>3527292.65</v>
      </c>
      <c r="BB4" s="84">
        <v>0</v>
      </c>
      <c r="BC4" s="84">
        <v>1475207</v>
      </c>
      <c r="BD4" s="84">
        <v>2892562</v>
      </c>
      <c r="BE4" s="84">
        <v>17268248</v>
      </c>
      <c r="BF4" s="84">
        <v>17268248</v>
      </c>
      <c r="BG4" s="84">
        <v>33797621</v>
      </c>
      <c r="BH4" s="84">
        <v>32047835</v>
      </c>
      <c r="BI4" s="84">
        <v>95603520</v>
      </c>
      <c r="BJ4" s="84">
        <v>0</v>
      </c>
      <c r="BK4" s="85"/>
      <c r="BL4" s="86">
        <v>1660440308.6827869</v>
      </c>
      <c r="BM4" s="86">
        <v>1360255741.0327868</v>
      </c>
      <c r="BN4" s="87">
        <v>973848</v>
      </c>
      <c r="BO4" s="88"/>
      <c r="BP4" s="89">
        <v>1287826235</v>
      </c>
      <c r="BQ4" s="90">
        <v>145820931</v>
      </c>
      <c r="BR4" s="90">
        <v>4441534</v>
      </c>
      <c r="BS4" s="89">
        <v>109860479</v>
      </c>
      <c r="BT4" s="89">
        <v>1547949179</v>
      </c>
    </row>
    <row r="5" spans="1:72" x14ac:dyDescent="0.25">
      <c r="A5" s="91" t="s">
        <v>59</v>
      </c>
      <c r="B5" s="80">
        <v>165127043</v>
      </c>
      <c r="C5" s="80">
        <v>137028838</v>
      </c>
      <c r="D5" s="80">
        <v>86336164</v>
      </c>
      <c r="E5" s="80">
        <v>2187473</v>
      </c>
      <c r="F5" s="80">
        <v>24330250</v>
      </c>
      <c r="G5" s="80">
        <v>5666086</v>
      </c>
      <c r="H5" s="80">
        <v>6373758</v>
      </c>
      <c r="I5" s="80">
        <v>774900</v>
      </c>
      <c r="J5" s="80">
        <v>15000</v>
      </c>
      <c r="K5" s="80">
        <v>0</v>
      </c>
      <c r="L5" s="80">
        <v>271922243</v>
      </c>
      <c r="M5" s="80">
        <v>44467259</v>
      </c>
      <c r="N5" s="80">
        <v>873</v>
      </c>
      <c r="O5" s="80">
        <v>197</v>
      </c>
      <c r="P5" s="80">
        <v>2318200</v>
      </c>
      <c r="Q5" s="80">
        <v>1040105</v>
      </c>
      <c r="R5" s="80">
        <v>724400</v>
      </c>
      <c r="S5" s="80">
        <v>355700</v>
      </c>
      <c r="T5" s="80">
        <v>384592</v>
      </c>
      <c r="U5" s="80">
        <v>125000</v>
      </c>
      <c r="V5" s="80">
        <v>2318200</v>
      </c>
      <c r="W5" s="80">
        <v>1195359</v>
      </c>
      <c r="X5" s="80">
        <v>724400</v>
      </c>
      <c r="Y5" s="80">
        <v>355700</v>
      </c>
      <c r="Z5" s="80">
        <v>947500</v>
      </c>
      <c r="AA5" s="80">
        <v>125000</v>
      </c>
      <c r="AB5" s="80">
        <v>-1850041</v>
      </c>
      <c r="AC5" s="80">
        <v>3014152</v>
      </c>
      <c r="AD5" s="80">
        <v>33972</v>
      </c>
      <c r="AE5" s="80">
        <v>4077</v>
      </c>
      <c r="AF5" s="80">
        <v>2152</v>
      </c>
      <c r="AG5" s="80">
        <v>142758</v>
      </c>
      <c r="AH5" s="81">
        <v>0</v>
      </c>
      <c r="AI5" s="80">
        <v>6573.7704918032787</v>
      </c>
      <c r="AJ5" s="92">
        <v>0</v>
      </c>
      <c r="AK5" s="82">
        <v>69908956</v>
      </c>
      <c r="AL5" s="83">
        <v>2691546</v>
      </c>
      <c r="AM5" s="80">
        <v>0</v>
      </c>
      <c r="AN5" s="80">
        <v>34366342</v>
      </c>
      <c r="AO5" s="80">
        <v>24594086</v>
      </c>
      <c r="AP5" s="80">
        <v>131242065</v>
      </c>
      <c r="AQ5" s="80">
        <v>17868603</v>
      </c>
      <c r="AR5" s="80">
        <v>39592221</v>
      </c>
      <c r="AS5" s="80">
        <v>39530756</v>
      </c>
      <c r="AT5" s="80">
        <v>539970</v>
      </c>
      <c r="AU5" s="80">
        <v>0</v>
      </c>
      <c r="AV5" s="80">
        <v>0</v>
      </c>
      <c r="AW5" s="80">
        <v>16656330</v>
      </c>
      <c r="AX5" s="80">
        <v>0</v>
      </c>
      <c r="AY5" s="80">
        <v>8500</v>
      </c>
      <c r="AZ5" s="82">
        <v>3315769</v>
      </c>
      <c r="BA5" s="82">
        <v>1691042.19</v>
      </c>
      <c r="BB5" s="84">
        <v>30466321.239999998</v>
      </c>
      <c r="BC5" s="84">
        <v>877515</v>
      </c>
      <c r="BD5" s="84">
        <v>1720617</v>
      </c>
      <c r="BE5" s="84">
        <v>19318186</v>
      </c>
      <c r="BF5" s="84">
        <v>19318186</v>
      </c>
      <c r="BG5" s="84">
        <v>50131628</v>
      </c>
      <c r="BH5" s="84">
        <v>44497209</v>
      </c>
      <c r="BI5" s="84">
        <v>0</v>
      </c>
      <c r="BJ5" s="84">
        <v>0</v>
      </c>
      <c r="BK5" s="85"/>
      <c r="BL5" s="86">
        <v>604312103.9604919</v>
      </c>
      <c r="BM5" s="86">
        <v>465327649.77049178</v>
      </c>
      <c r="BN5" s="87">
        <v>2187473</v>
      </c>
      <c r="BO5" s="88"/>
      <c r="BP5" s="89">
        <v>388492045</v>
      </c>
      <c r="BQ5" s="90">
        <v>69908956</v>
      </c>
      <c r="BR5" s="90">
        <v>2691546</v>
      </c>
      <c r="BS5" s="89">
        <v>116359787</v>
      </c>
      <c r="BT5" s="89">
        <v>577452334</v>
      </c>
    </row>
    <row r="6" spans="1:72" x14ac:dyDescent="0.25">
      <c r="A6" s="91" t="s">
        <v>60</v>
      </c>
      <c r="B6" s="80">
        <v>1079340642</v>
      </c>
      <c r="C6" s="80">
        <v>298555840</v>
      </c>
      <c r="D6" s="80">
        <v>467710322</v>
      </c>
      <c r="E6" s="80">
        <v>3707100</v>
      </c>
      <c r="F6" s="80">
        <v>113525115</v>
      </c>
      <c r="G6" s="80">
        <v>17992899</v>
      </c>
      <c r="H6" s="80">
        <v>27493186</v>
      </c>
      <c r="I6" s="80">
        <v>1754600</v>
      </c>
      <c r="J6" s="80">
        <v>332100</v>
      </c>
      <c r="K6" s="80">
        <v>36900</v>
      </c>
      <c r="L6" s="80">
        <v>403299104</v>
      </c>
      <c r="M6" s="80">
        <v>218219630</v>
      </c>
      <c r="N6" s="80">
        <v>3969</v>
      </c>
      <c r="O6" s="80">
        <v>610</v>
      </c>
      <c r="P6" s="80">
        <v>14481700</v>
      </c>
      <c r="Q6" s="80">
        <v>4975600</v>
      </c>
      <c r="R6" s="80">
        <v>8834100</v>
      </c>
      <c r="S6" s="80">
        <v>10478510</v>
      </c>
      <c r="T6" s="80">
        <v>3921600</v>
      </c>
      <c r="U6" s="80">
        <v>4029000</v>
      </c>
      <c r="V6" s="80">
        <v>14481700</v>
      </c>
      <c r="W6" s="80">
        <v>7664200</v>
      </c>
      <c r="X6" s="80">
        <v>8834100</v>
      </c>
      <c r="Y6" s="80">
        <v>10478510</v>
      </c>
      <c r="Z6" s="80">
        <v>5668300</v>
      </c>
      <c r="AA6" s="80">
        <v>4029000</v>
      </c>
      <c r="AB6" s="80">
        <v>-3646674</v>
      </c>
      <c r="AC6" s="80">
        <v>-8785303</v>
      </c>
      <c r="AD6" s="80">
        <v>47</v>
      </c>
      <c r="AE6" s="80">
        <v>0</v>
      </c>
      <c r="AF6" s="80">
        <v>0</v>
      </c>
      <c r="AG6" s="80">
        <v>266840</v>
      </c>
      <c r="AH6" s="81">
        <v>1541180.3278688525</v>
      </c>
      <c r="AI6" s="93">
        <v>606163.93442622956</v>
      </c>
      <c r="AJ6" s="92">
        <v>0</v>
      </c>
      <c r="AK6" s="82">
        <v>258759296</v>
      </c>
      <c r="AL6" s="83">
        <v>11188053</v>
      </c>
      <c r="AM6" s="80">
        <v>2999865</v>
      </c>
      <c r="AN6" s="80">
        <v>94968210</v>
      </c>
      <c r="AO6" s="80">
        <v>16795639</v>
      </c>
      <c r="AP6" s="80">
        <v>320613484</v>
      </c>
      <c r="AQ6" s="80">
        <v>116590795</v>
      </c>
      <c r="AR6" s="80">
        <v>77966432</v>
      </c>
      <c r="AS6" s="80">
        <v>59477965</v>
      </c>
      <c r="AT6" s="80">
        <v>2660740</v>
      </c>
      <c r="AU6" s="80">
        <v>549577</v>
      </c>
      <c r="AV6" s="80">
        <v>1346531</v>
      </c>
      <c r="AW6" s="80">
        <v>1144275</v>
      </c>
      <c r="AX6" s="80">
        <v>9604338</v>
      </c>
      <c r="AY6" s="80">
        <v>1550145</v>
      </c>
      <c r="AZ6" s="82">
        <v>12272906.1</v>
      </c>
      <c r="BA6" s="82">
        <v>6259182.1100000003</v>
      </c>
      <c r="BB6" s="84"/>
      <c r="BC6" s="84">
        <v>1750734</v>
      </c>
      <c r="BD6" s="84">
        <v>3432812</v>
      </c>
      <c r="BE6" s="84">
        <v>37109020</v>
      </c>
      <c r="BF6" s="84">
        <v>36733371</v>
      </c>
      <c r="BG6" s="84">
        <v>93213323</v>
      </c>
      <c r="BH6" s="84">
        <v>91109929</v>
      </c>
      <c r="BI6" s="84">
        <v>0</v>
      </c>
      <c r="BJ6" s="84">
        <v>16218619</v>
      </c>
      <c r="BK6" s="85"/>
      <c r="BL6" s="86">
        <v>2498127976.3722954</v>
      </c>
      <c r="BM6" s="86">
        <v>2076108792.2622952</v>
      </c>
      <c r="BN6" s="87">
        <v>5891922</v>
      </c>
      <c r="BO6" s="88"/>
      <c r="BP6" s="89">
        <v>1845606804</v>
      </c>
      <c r="BQ6" s="90">
        <v>258759296</v>
      </c>
      <c r="BR6" s="90">
        <v>11188053</v>
      </c>
      <c r="BS6" s="89">
        <v>287832609</v>
      </c>
      <c r="BT6" s="89">
        <v>2403386762</v>
      </c>
    </row>
    <row r="7" spans="1:72" x14ac:dyDescent="0.25">
      <c r="A7" s="91" t="s">
        <v>61</v>
      </c>
      <c r="B7" s="80">
        <v>166318058</v>
      </c>
      <c r="C7" s="80">
        <v>84667420</v>
      </c>
      <c r="D7" s="80">
        <v>34793300</v>
      </c>
      <c r="E7" s="80">
        <v>0</v>
      </c>
      <c r="F7" s="80">
        <v>27061400</v>
      </c>
      <c r="G7" s="80">
        <v>11509600</v>
      </c>
      <c r="H7" s="80">
        <v>8732900</v>
      </c>
      <c r="I7" s="80">
        <v>2036600</v>
      </c>
      <c r="J7" s="80">
        <v>0</v>
      </c>
      <c r="K7" s="80">
        <v>36900</v>
      </c>
      <c r="L7" s="80">
        <v>154100975</v>
      </c>
      <c r="M7" s="80">
        <v>54114664</v>
      </c>
      <c r="N7" s="80">
        <v>1083</v>
      </c>
      <c r="O7" s="80">
        <v>449</v>
      </c>
      <c r="P7" s="80">
        <v>2979450</v>
      </c>
      <c r="Q7" s="80">
        <v>1522920</v>
      </c>
      <c r="R7" s="80">
        <v>452800</v>
      </c>
      <c r="S7" s="80">
        <v>788542</v>
      </c>
      <c r="T7" s="80">
        <v>96900</v>
      </c>
      <c r="U7" s="80">
        <v>10849600</v>
      </c>
      <c r="V7" s="80">
        <v>2979450</v>
      </c>
      <c r="W7" s="80">
        <v>6303820</v>
      </c>
      <c r="X7" s="80">
        <v>452800</v>
      </c>
      <c r="Y7" s="80">
        <v>788542</v>
      </c>
      <c r="Z7" s="80">
        <v>450750</v>
      </c>
      <c r="AA7" s="80">
        <v>10849600</v>
      </c>
      <c r="AB7" s="80">
        <v>-2057700</v>
      </c>
      <c r="AC7" s="80">
        <v>-7526</v>
      </c>
      <c r="AD7" s="80">
        <v>0</v>
      </c>
      <c r="AE7" s="80">
        <v>0</v>
      </c>
      <c r="AF7" s="80">
        <v>0</v>
      </c>
      <c r="AG7" s="80">
        <v>0</v>
      </c>
      <c r="AH7" s="81">
        <v>0</v>
      </c>
      <c r="AI7" s="93">
        <v>0</v>
      </c>
      <c r="AJ7" s="92">
        <v>0</v>
      </c>
      <c r="AK7" s="82">
        <v>61292488</v>
      </c>
      <c r="AL7" s="83">
        <v>1325983</v>
      </c>
      <c r="AM7" s="80">
        <v>0</v>
      </c>
      <c r="AN7" s="80">
        <v>11599181</v>
      </c>
      <c r="AO7" s="80">
        <v>552491</v>
      </c>
      <c r="AP7" s="80">
        <v>203598</v>
      </c>
      <c r="AQ7" s="80">
        <v>2727638</v>
      </c>
      <c r="AR7" s="80">
        <v>3374942</v>
      </c>
      <c r="AS7" s="80">
        <v>0</v>
      </c>
      <c r="AT7" s="80">
        <v>577564</v>
      </c>
      <c r="AU7" s="80">
        <v>0</v>
      </c>
      <c r="AV7" s="80">
        <v>0</v>
      </c>
      <c r="AW7" s="80">
        <v>15442</v>
      </c>
      <c r="AX7" s="80">
        <v>0</v>
      </c>
      <c r="AY7" s="80">
        <v>57000</v>
      </c>
      <c r="AZ7" s="82">
        <v>2907091.5</v>
      </c>
      <c r="BA7" s="82">
        <v>1482616.67</v>
      </c>
      <c r="BB7" s="84"/>
      <c r="BC7" s="84">
        <v>0</v>
      </c>
      <c r="BD7" s="84">
        <v>0</v>
      </c>
      <c r="BE7" s="84">
        <v>27851938</v>
      </c>
      <c r="BF7" s="84">
        <v>27851938</v>
      </c>
      <c r="BG7" s="84">
        <v>45769943</v>
      </c>
      <c r="BH7" s="84">
        <v>45749702</v>
      </c>
      <c r="BI7" s="84">
        <v>0</v>
      </c>
      <c r="BJ7" s="84">
        <v>0</v>
      </c>
      <c r="BK7" s="85"/>
      <c r="BL7" s="86">
        <v>438360815.67000002</v>
      </c>
      <c r="BM7" s="86">
        <v>300658088</v>
      </c>
      <c r="BN7" s="87">
        <v>833500</v>
      </c>
      <c r="BO7" s="88"/>
      <c r="BP7" s="89" t="s">
        <v>331</v>
      </c>
      <c r="BQ7" s="90">
        <v>61292488</v>
      </c>
      <c r="BR7" s="90">
        <v>1325983</v>
      </c>
      <c r="BS7" s="89">
        <v>14879310</v>
      </c>
      <c r="BT7" s="89">
        <v>77497781</v>
      </c>
    </row>
    <row r="8" spans="1:72" x14ac:dyDescent="0.25">
      <c r="A8" s="91" t="s">
        <v>62</v>
      </c>
      <c r="B8" s="80">
        <v>434142450</v>
      </c>
      <c r="C8" s="80">
        <v>26826150</v>
      </c>
      <c r="D8" s="80">
        <v>185069196</v>
      </c>
      <c r="E8" s="80">
        <v>0</v>
      </c>
      <c r="F8" s="80">
        <v>75403500</v>
      </c>
      <c r="G8" s="80">
        <v>21894600</v>
      </c>
      <c r="H8" s="80">
        <v>4132000</v>
      </c>
      <c r="I8" s="80">
        <v>708900</v>
      </c>
      <c r="J8" s="80">
        <v>73800</v>
      </c>
      <c r="K8" s="80">
        <v>0</v>
      </c>
      <c r="L8" s="80">
        <v>35342525</v>
      </c>
      <c r="M8" s="80">
        <v>0</v>
      </c>
      <c r="N8" s="80">
        <v>13672</v>
      </c>
      <c r="O8" s="80">
        <v>1467</v>
      </c>
      <c r="P8" s="80">
        <v>2163500</v>
      </c>
      <c r="Q8" s="80">
        <v>0</v>
      </c>
      <c r="R8" s="80">
        <v>2085000</v>
      </c>
      <c r="S8" s="80">
        <v>5580550</v>
      </c>
      <c r="T8" s="80">
        <v>64700</v>
      </c>
      <c r="U8" s="80">
        <v>5857500</v>
      </c>
      <c r="V8" s="80">
        <v>2163500</v>
      </c>
      <c r="W8" s="80">
        <v>0</v>
      </c>
      <c r="X8" s="80">
        <v>2085000</v>
      </c>
      <c r="Y8" s="80">
        <v>5580550</v>
      </c>
      <c r="Z8" s="80">
        <v>74050</v>
      </c>
      <c r="AA8" s="80">
        <v>5857500</v>
      </c>
      <c r="AB8" s="80">
        <v>-4809950</v>
      </c>
      <c r="AC8" s="80">
        <v>0</v>
      </c>
      <c r="AD8" s="80">
        <v>157361</v>
      </c>
      <c r="AE8" s="80">
        <v>0</v>
      </c>
      <c r="AF8" s="80">
        <v>0</v>
      </c>
      <c r="AG8" s="80">
        <v>0</v>
      </c>
      <c r="AH8" s="81">
        <v>16215368.852459017</v>
      </c>
      <c r="AI8" s="93">
        <v>20934398.36065574</v>
      </c>
      <c r="AJ8" s="92">
        <v>48067704.918032788</v>
      </c>
      <c r="AK8" s="82">
        <v>117928756</v>
      </c>
      <c r="AL8" s="83">
        <v>986911</v>
      </c>
      <c r="AM8" s="80">
        <v>0</v>
      </c>
      <c r="AN8" s="80">
        <v>84843772</v>
      </c>
      <c r="AO8" s="80">
        <v>4862854</v>
      </c>
      <c r="AP8" s="80">
        <v>51708609</v>
      </c>
      <c r="AQ8" s="80">
        <v>49094044</v>
      </c>
      <c r="AR8" s="80">
        <v>16679331</v>
      </c>
      <c r="AS8" s="80">
        <v>727078</v>
      </c>
      <c r="AT8" s="80">
        <v>0</v>
      </c>
      <c r="AU8" s="80">
        <v>0</v>
      </c>
      <c r="AV8" s="80">
        <v>0</v>
      </c>
      <c r="AW8" s="80">
        <v>0</v>
      </c>
      <c r="AX8" s="80">
        <v>24043</v>
      </c>
      <c r="AY8" s="80">
        <v>364000</v>
      </c>
      <c r="AZ8" s="82">
        <v>5593339.3399999999</v>
      </c>
      <c r="BA8" s="82">
        <v>2852603.06</v>
      </c>
      <c r="BB8" s="84"/>
      <c r="BC8" s="84">
        <v>7098052</v>
      </c>
      <c r="BD8" s="84">
        <v>13917748</v>
      </c>
      <c r="BE8" s="84">
        <v>44619787</v>
      </c>
      <c r="BF8" s="84">
        <v>44619787</v>
      </c>
      <c r="BG8" s="84">
        <v>83686847</v>
      </c>
      <c r="BH8" s="84">
        <v>76381832</v>
      </c>
      <c r="BI8" s="84">
        <v>0</v>
      </c>
      <c r="BJ8" s="84">
        <v>0</v>
      </c>
      <c r="BK8" s="85"/>
      <c r="BL8" s="86">
        <v>1119923879.1911476</v>
      </c>
      <c r="BM8" s="86">
        <v>870055938.13114762</v>
      </c>
      <c r="BN8" s="87">
        <v>2466300</v>
      </c>
      <c r="BO8" s="88"/>
      <c r="BP8" s="89">
        <v>646037796</v>
      </c>
      <c r="BQ8" s="90">
        <v>117928756</v>
      </c>
      <c r="BR8" s="90">
        <v>986911</v>
      </c>
      <c r="BS8" s="89">
        <v>139527748</v>
      </c>
      <c r="BT8" s="89">
        <v>904481211</v>
      </c>
    </row>
    <row r="9" spans="1:72" x14ac:dyDescent="0.25">
      <c r="A9" s="91" t="s">
        <v>63</v>
      </c>
      <c r="B9" s="80">
        <v>6300115133</v>
      </c>
      <c r="C9" s="80">
        <v>269811112</v>
      </c>
      <c r="D9" s="80">
        <v>3813694657</v>
      </c>
      <c r="E9" s="80">
        <v>75114495</v>
      </c>
      <c r="F9" s="80">
        <v>260670160</v>
      </c>
      <c r="G9" s="80">
        <v>22488180</v>
      </c>
      <c r="H9" s="80">
        <v>15404950</v>
      </c>
      <c r="I9" s="80">
        <v>930000</v>
      </c>
      <c r="J9" s="80">
        <v>553500</v>
      </c>
      <c r="K9" s="80">
        <v>0</v>
      </c>
      <c r="L9" s="80">
        <v>766929038</v>
      </c>
      <c r="M9" s="80">
        <v>0</v>
      </c>
      <c r="N9" s="80">
        <v>7362</v>
      </c>
      <c r="O9" s="80">
        <v>663</v>
      </c>
      <c r="P9" s="80">
        <v>124781088</v>
      </c>
      <c r="Q9" s="80">
        <v>5549080</v>
      </c>
      <c r="R9" s="80">
        <v>60071210</v>
      </c>
      <c r="S9" s="80">
        <v>45457581</v>
      </c>
      <c r="T9" s="80">
        <v>4097613</v>
      </c>
      <c r="U9" s="80">
        <v>12738590</v>
      </c>
      <c r="V9" s="80">
        <v>124781088</v>
      </c>
      <c r="W9" s="80">
        <v>6534140</v>
      </c>
      <c r="X9" s="80">
        <v>60071210</v>
      </c>
      <c r="Y9" s="80">
        <v>45457581</v>
      </c>
      <c r="Z9" s="80">
        <v>16790400</v>
      </c>
      <c r="AA9" s="80">
        <v>12738590</v>
      </c>
      <c r="AB9" s="80">
        <v>4858402</v>
      </c>
      <c r="AC9" s="80">
        <v>-11581636</v>
      </c>
      <c r="AD9" s="80">
        <v>0</v>
      </c>
      <c r="AE9" s="80">
        <v>0</v>
      </c>
      <c r="AF9" s="80">
        <v>0</v>
      </c>
      <c r="AG9" s="80">
        <v>0</v>
      </c>
      <c r="AH9" s="81">
        <v>0</v>
      </c>
      <c r="AI9" s="93">
        <v>284336.06557377049</v>
      </c>
      <c r="AJ9" s="92">
        <v>0</v>
      </c>
      <c r="AK9" s="82">
        <v>987947464</v>
      </c>
      <c r="AL9" s="83">
        <v>17094040</v>
      </c>
      <c r="AM9" s="80">
        <v>146934</v>
      </c>
      <c r="AN9" s="80">
        <v>852032193</v>
      </c>
      <c r="AO9" s="80">
        <v>39128744</v>
      </c>
      <c r="AP9" s="80">
        <v>1145974397</v>
      </c>
      <c r="AQ9" s="80">
        <v>679599298</v>
      </c>
      <c r="AR9" s="80">
        <v>468573164</v>
      </c>
      <c r="AS9" s="80">
        <v>1367111393</v>
      </c>
      <c r="AT9" s="80">
        <v>558004784</v>
      </c>
      <c r="AU9" s="80"/>
      <c r="AV9" s="80">
        <v>75000</v>
      </c>
      <c r="AW9" s="80">
        <v>6776905</v>
      </c>
      <c r="AX9" s="80">
        <v>1495572</v>
      </c>
      <c r="AY9" s="80">
        <v>18019015</v>
      </c>
      <c r="AZ9" s="82">
        <v>46858167.600000001</v>
      </c>
      <c r="BA9" s="82">
        <v>23897665.48</v>
      </c>
      <c r="BB9" s="84">
        <v>40621761.659999996</v>
      </c>
      <c r="BC9" s="84">
        <v>1067132</v>
      </c>
      <c r="BD9" s="84">
        <v>2092415</v>
      </c>
      <c r="BE9" s="84">
        <v>128703047</v>
      </c>
      <c r="BF9" s="84">
        <v>128703047</v>
      </c>
      <c r="BG9" s="84">
        <v>970994579</v>
      </c>
      <c r="BH9" s="84">
        <v>595087633</v>
      </c>
      <c r="BI9" s="84">
        <v>0</v>
      </c>
      <c r="BJ9" s="84">
        <v>0</v>
      </c>
      <c r="BK9" s="85"/>
      <c r="BL9" s="86">
        <v>13708462454.545574</v>
      </c>
      <c r="BM9" s="86">
        <v>11954665473.065575</v>
      </c>
      <c r="BN9" s="87">
        <v>4524710</v>
      </c>
      <c r="BO9" s="88"/>
      <c r="BP9" s="89">
        <v>10383620902</v>
      </c>
      <c r="BQ9" s="90">
        <v>987947464</v>
      </c>
      <c r="BR9" s="90">
        <v>17094040</v>
      </c>
      <c r="BS9" s="89">
        <v>2937871628</v>
      </c>
      <c r="BT9" s="89">
        <v>14326534034</v>
      </c>
    </row>
    <row r="10" spans="1:72" x14ac:dyDescent="0.25">
      <c r="A10" s="91" t="s">
        <v>64</v>
      </c>
      <c r="B10" s="80">
        <v>574530614</v>
      </c>
      <c r="C10" s="80">
        <v>320801719</v>
      </c>
      <c r="D10" s="80">
        <v>171119245</v>
      </c>
      <c r="E10" s="80">
        <v>2495000</v>
      </c>
      <c r="F10" s="80">
        <v>49647200</v>
      </c>
      <c r="G10" s="80">
        <v>8326800</v>
      </c>
      <c r="H10" s="80">
        <v>11723405</v>
      </c>
      <c r="I10" s="80">
        <v>839200</v>
      </c>
      <c r="J10" s="80">
        <v>36900</v>
      </c>
      <c r="K10" s="80">
        <v>0</v>
      </c>
      <c r="L10" s="80">
        <v>1024655661</v>
      </c>
      <c r="M10" s="80">
        <v>193396240</v>
      </c>
      <c r="N10" s="80">
        <v>1684</v>
      </c>
      <c r="O10" s="80">
        <v>256</v>
      </c>
      <c r="P10" s="80">
        <v>5704094</v>
      </c>
      <c r="Q10" s="80">
        <v>3285050</v>
      </c>
      <c r="R10" s="80">
        <v>1953000</v>
      </c>
      <c r="S10" s="80">
        <v>4278198</v>
      </c>
      <c r="T10" s="80">
        <v>1556090</v>
      </c>
      <c r="U10" s="80">
        <v>2386632</v>
      </c>
      <c r="V10" s="80">
        <v>5704094</v>
      </c>
      <c r="W10" s="80">
        <v>2238000</v>
      </c>
      <c r="X10" s="80">
        <v>1953000</v>
      </c>
      <c r="Y10" s="80">
        <v>4278198</v>
      </c>
      <c r="Z10" s="80">
        <v>11179600</v>
      </c>
      <c r="AA10" s="80">
        <v>2386632</v>
      </c>
      <c r="AB10" s="80">
        <v>-3673882</v>
      </c>
      <c r="AC10" s="80">
        <v>-10771721</v>
      </c>
      <c r="AD10" s="80">
        <v>0</v>
      </c>
      <c r="AE10" s="80">
        <v>0</v>
      </c>
      <c r="AF10" s="80">
        <v>0</v>
      </c>
      <c r="AG10" s="80">
        <v>175647</v>
      </c>
      <c r="AH10" s="81">
        <v>0</v>
      </c>
      <c r="AI10" s="80">
        <v>454270.49180327874</v>
      </c>
      <c r="AJ10" s="92">
        <v>0</v>
      </c>
      <c r="AK10" s="82">
        <v>148016838</v>
      </c>
      <c r="AL10" s="83">
        <v>2959007</v>
      </c>
      <c r="AM10" s="80">
        <v>0</v>
      </c>
      <c r="AN10" s="80">
        <v>41714117</v>
      </c>
      <c r="AO10" s="80">
        <v>14382713</v>
      </c>
      <c r="AP10" s="80">
        <v>153095627</v>
      </c>
      <c r="AQ10" s="80">
        <v>39642739</v>
      </c>
      <c r="AR10" s="80">
        <v>37715792</v>
      </c>
      <c r="AS10" s="80">
        <v>1989252</v>
      </c>
      <c r="AT10" s="80">
        <v>137242179</v>
      </c>
      <c r="AU10" s="80">
        <v>0</v>
      </c>
      <c r="AV10" s="80">
        <v>68490</v>
      </c>
      <c r="AW10" s="80">
        <v>1579100</v>
      </c>
      <c r="AX10" s="80">
        <v>9021</v>
      </c>
      <c r="AY10" s="80">
        <v>16000</v>
      </c>
      <c r="AZ10" s="82">
        <v>7020411.5700000003</v>
      </c>
      <c r="BA10" s="82">
        <v>3580409.9</v>
      </c>
      <c r="BB10" s="84"/>
      <c r="BC10" s="84">
        <v>2060626</v>
      </c>
      <c r="BD10" s="84">
        <v>4040443</v>
      </c>
      <c r="BE10" s="84">
        <v>22264039</v>
      </c>
      <c r="BF10" s="84">
        <v>22264039</v>
      </c>
      <c r="BG10" s="84">
        <v>45882729</v>
      </c>
      <c r="BH10" s="84">
        <v>42617214</v>
      </c>
      <c r="BI10" s="84">
        <v>0</v>
      </c>
      <c r="BJ10" s="84">
        <v>0</v>
      </c>
      <c r="BK10" s="85"/>
      <c r="BL10" s="86">
        <v>1384143551.3918033</v>
      </c>
      <c r="BM10" s="86">
        <v>1162645417.4918032</v>
      </c>
      <c r="BN10" s="87">
        <v>1478430</v>
      </c>
      <c r="BO10" s="88"/>
      <c r="BP10" s="89">
        <v>1066451578</v>
      </c>
      <c r="BQ10" s="90">
        <v>148016838</v>
      </c>
      <c r="BR10" s="90">
        <v>2959007</v>
      </c>
      <c r="BS10" s="89">
        <v>97728821</v>
      </c>
      <c r="BT10" s="89">
        <v>1315156244</v>
      </c>
    </row>
    <row r="11" spans="1:72" x14ac:dyDescent="0.25">
      <c r="A11" s="91" t="s">
        <v>65</v>
      </c>
      <c r="B11" s="80">
        <v>1161709405</v>
      </c>
      <c r="C11" s="80">
        <v>91974355</v>
      </c>
      <c r="D11" s="80">
        <v>622982685</v>
      </c>
      <c r="E11" s="80">
        <v>1000000</v>
      </c>
      <c r="F11" s="80">
        <v>146158860</v>
      </c>
      <c r="G11" s="80">
        <v>44295400</v>
      </c>
      <c r="H11" s="80">
        <v>8851400</v>
      </c>
      <c r="I11" s="80">
        <v>1964300</v>
      </c>
      <c r="J11" s="80">
        <v>506300</v>
      </c>
      <c r="K11" s="80">
        <v>73800</v>
      </c>
      <c r="L11" s="80">
        <v>66929615</v>
      </c>
      <c r="M11" s="80">
        <v>78060180</v>
      </c>
      <c r="N11" s="80">
        <v>4511</v>
      </c>
      <c r="O11" s="80">
        <v>1389</v>
      </c>
      <c r="P11" s="80">
        <v>3801240</v>
      </c>
      <c r="Q11" s="80">
        <v>1632700</v>
      </c>
      <c r="R11" s="80">
        <v>6106500</v>
      </c>
      <c r="S11" s="80">
        <v>4699950</v>
      </c>
      <c r="T11" s="80">
        <v>1417607</v>
      </c>
      <c r="U11" s="80">
        <v>1591250</v>
      </c>
      <c r="V11" s="80">
        <v>3801240</v>
      </c>
      <c r="W11" s="80">
        <v>1970600</v>
      </c>
      <c r="X11" s="80">
        <v>6106500</v>
      </c>
      <c r="Y11" s="80">
        <v>4699950</v>
      </c>
      <c r="Z11" s="80">
        <v>1504707</v>
      </c>
      <c r="AA11" s="80">
        <v>1591250</v>
      </c>
      <c r="AB11" s="80">
        <v>-6861700</v>
      </c>
      <c r="AC11" s="80">
        <v>-179323</v>
      </c>
      <c r="AD11" s="80">
        <v>52470</v>
      </c>
      <c r="AE11" s="80">
        <v>128</v>
      </c>
      <c r="AF11" s="80">
        <v>0</v>
      </c>
      <c r="AG11" s="80">
        <v>457557</v>
      </c>
      <c r="AH11" s="81">
        <v>107000</v>
      </c>
      <c r="AI11" s="93">
        <v>2599525.409836066</v>
      </c>
      <c r="AJ11" s="92">
        <v>301000.00000000006</v>
      </c>
      <c r="AK11" s="82">
        <v>319309325</v>
      </c>
      <c r="AL11" s="83">
        <v>7832943</v>
      </c>
      <c r="AM11" s="80">
        <v>8700</v>
      </c>
      <c r="AN11" s="80">
        <v>147490161</v>
      </c>
      <c r="AO11" s="80">
        <v>13359246</v>
      </c>
      <c r="AP11" s="80">
        <v>343483365</v>
      </c>
      <c r="AQ11" s="80">
        <v>109160173</v>
      </c>
      <c r="AR11" s="80">
        <v>211647443</v>
      </c>
      <c r="AS11" s="80">
        <v>22558968</v>
      </c>
      <c r="AT11" s="80">
        <v>1293225045</v>
      </c>
      <c r="AU11" s="80">
        <v>0</v>
      </c>
      <c r="AV11" s="80">
        <v>0</v>
      </c>
      <c r="AW11" s="80">
        <v>0</v>
      </c>
      <c r="AX11" s="80">
        <v>26145</v>
      </c>
      <c r="AY11" s="80">
        <v>5000</v>
      </c>
      <c r="AZ11" s="82">
        <v>15144782.91</v>
      </c>
      <c r="BA11" s="82">
        <v>7723839.2800000003</v>
      </c>
      <c r="BB11" s="84">
        <v>22797927.460000001</v>
      </c>
      <c r="BC11" s="84">
        <v>5800802</v>
      </c>
      <c r="BD11" s="84">
        <v>11374122</v>
      </c>
      <c r="BE11" s="84">
        <v>75473049</v>
      </c>
      <c r="BF11" s="84">
        <v>75473049</v>
      </c>
      <c r="BG11" s="84">
        <v>125482355</v>
      </c>
      <c r="BH11" s="84">
        <v>121951093</v>
      </c>
      <c r="BI11" s="84">
        <v>0</v>
      </c>
      <c r="BJ11" s="84">
        <v>0</v>
      </c>
      <c r="BK11" s="85"/>
      <c r="BL11" s="86">
        <v>2687774601.689836</v>
      </c>
      <c r="BM11" s="86">
        <v>2149683550.4098358</v>
      </c>
      <c r="BN11" s="87">
        <v>6954243</v>
      </c>
      <c r="BO11" s="88"/>
      <c r="BP11" s="89">
        <v>1876666445</v>
      </c>
      <c r="BQ11" s="90">
        <v>319309325</v>
      </c>
      <c r="BR11" s="90">
        <v>7832943</v>
      </c>
      <c r="BS11" s="89">
        <v>292568548</v>
      </c>
      <c r="BT11" s="89">
        <v>2496377261</v>
      </c>
    </row>
    <row r="12" spans="1:72" x14ac:dyDescent="0.25">
      <c r="A12" s="91" t="s">
        <v>66</v>
      </c>
      <c r="B12" s="80">
        <v>979328950</v>
      </c>
      <c r="C12" s="80">
        <v>164140300</v>
      </c>
      <c r="D12" s="80">
        <v>413301450</v>
      </c>
      <c r="E12" s="80">
        <v>0</v>
      </c>
      <c r="F12" s="80">
        <v>94330300</v>
      </c>
      <c r="G12" s="80">
        <v>10858400</v>
      </c>
      <c r="H12" s="80">
        <v>11630000</v>
      </c>
      <c r="I12" s="80">
        <v>1239700</v>
      </c>
      <c r="J12" s="80">
        <v>147600</v>
      </c>
      <c r="K12" s="80">
        <v>0</v>
      </c>
      <c r="L12" s="80">
        <v>263507972</v>
      </c>
      <c r="M12" s="80">
        <v>139175700</v>
      </c>
      <c r="N12" s="80">
        <v>2961</v>
      </c>
      <c r="O12" s="80">
        <v>354</v>
      </c>
      <c r="P12" s="80">
        <v>6572250</v>
      </c>
      <c r="Q12" s="80">
        <v>1568000</v>
      </c>
      <c r="R12" s="80">
        <v>1340000</v>
      </c>
      <c r="S12" s="80">
        <v>6728101</v>
      </c>
      <c r="T12" s="80">
        <v>356500</v>
      </c>
      <c r="U12" s="80">
        <v>6324000</v>
      </c>
      <c r="V12" s="80">
        <v>6572250</v>
      </c>
      <c r="W12" s="80">
        <v>1578000</v>
      </c>
      <c r="X12" s="80">
        <v>1340000</v>
      </c>
      <c r="Y12" s="80">
        <v>6728101</v>
      </c>
      <c r="Z12" s="80">
        <v>2070263</v>
      </c>
      <c r="AA12" s="80">
        <v>6324000</v>
      </c>
      <c r="AB12" s="80">
        <v>-1886500</v>
      </c>
      <c r="AC12" s="80">
        <v>-6511229</v>
      </c>
      <c r="AD12" s="80">
        <v>15032</v>
      </c>
      <c r="AE12" s="80">
        <v>0</v>
      </c>
      <c r="AF12" s="80">
        <v>0</v>
      </c>
      <c r="AG12" s="80">
        <v>99225</v>
      </c>
      <c r="AH12" s="81">
        <v>0</v>
      </c>
      <c r="AI12" s="93">
        <v>0</v>
      </c>
      <c r="AJ12" s="92">
        <v>0</v>
      </c>
      <c r="AK12" s="82">
        <v>166070954</v>
      </c>
      <c r="AL12" s="83">
        <v>5217954</v>
      </c>
      <c r="AM12" s="80">
        <v>2300</v>
      </c>
      <c r="AN12" s="80">
        <v>81110802</v>
      </c>
      <c r="AO12" s="80">
        <v>8723016</v>
      </c>
      <c r="AP12" s="80">
        <v>219209223</v>
      </c>
      <c r="AQ12" s="80">
        <v>90348542</v>
      </c>
      <c r="AR12" s="80">
        <v>117912345</v>
      </c>
      <c r="AS12" s="80">
        <v>127435306</v>
      </c>
      <c r="AT12" s="80">
        <v>876875</v>
      </c>
      <c r="AU12" s="80">
        <v>0</v>
      </c>
      <c r="AV12" s="80">
        <v>727623</v>
      </c>
      <c r="AW12" s="80">
        <v>2094281</v>
      </c>
      <c r="AX12" s="80">
        <v>211300</v>
      </c>
      <c r="AY12" s="80">
        <v>7420380</v>
      </c>
      <c r="AZ12" s="82">
        <v>7876714.9900000002</v>
      </c>
      <c r="BA12" s="82">
        <v>4017124.64</v>
      </c>
      <c r="BB12" s="84"/>
      <c r="BC12" s="84">
        <v>2965755</v>
      </c>
      <c r="BD12" s="84">
        <v>5815205</v>
      </c>
      <c r="BE12" s="84">
        <v>48075488</v>
      </c>
      <c r="BF12" s="84">
        <v>48075488</v>
      </c>
      <c r="BG12" s="84">
        <v>56876573</v>
      </c>
      <c r="BH12" s="84">
        <v>50942961</v>
      </c>
      <c r="BI12" s="84">
        <v>629</v>
      </c>
      <c r="BJ12" s="84">
        <v>0</v>
      </c>
      <c r="BK12" s="85"/>
      <c r="BL12" s="86">
        <v>2014243925.6400001</v>
      </c>
      <c r="BM12" s="86">
        <v>1736953060</v>
      </c>
      <c r="BN12" s="87">
        <v>2521000</v>
      </c>
      <c r="BO12" s="88"/>
      <c r="BP12" s="89">
        <v>1556770700</v>
      </c>
      <c r="BQ12" s="90">
        <v>166070954</v>
      </c>
      <c r="BR12" s="90">
        <v>5217954</v>
      </c>
      <c r="BS12" s="89">
        <v>307617666</v>
      </c>
      <c r="BT12" s="89">
        <v>2035677274</v>
      </c>
    </row>
    <row r="13" spans="1:72" x14ac:dyDescent="0.25">
      <c r="A13" s="91" t="s">
        <v>67</v>
      </c>
      <c r="B13" s="80">
        <v>139348800</v>
      </c>
      <c r="C13" s="80">
        <v>103710425</v>
      </c>
      <c r="D13" s="80">
        <v>23144490</v>
      </c>
      <c r="E13" s="80">
        <v>0</v>
      </c>
      <c r="F13" s="80">
        <v>18936150</v>
      </c>
      <c r="G13" s="80">
        <v>4220890</v>
      </c>
      <c r="H13" s="80">
        <v>8207200</v>
      </c>
      <c r="I13" s="80">
        <v>1030250</v>
      </c>
      <c r="J13" s="80">
        <v>0</v>
      </c>
      <c r="K13" s="80">
        <v>0</v>
      </c>
      <c r="L13" s="80">
        <v>92918455</v>
      </c>
      <c r="M13" s="80">
        <v>59073850</v>
      </c>
      <c r="N13" s="80">
        <v>798</v>
      </c>
      <c r="O13" s="80">
        <v>163</v>
      </c>
      <c r="P13" s="80">
        <v>1252600</v>
      </c>
      <c r="Q13" s="80">
        <v>319740</v>
      </c>
      <c r="R13" s="80">
        <v>0</v>
      </c>
      <c r="S13" s="80">
        <v>1610761</v>
      </c>
      <c r="T13" s="80">
        <v>483850</v>
      </c>
      <c r="U13" s="80">
        <v>306900</v>
      </c>
      <c r="V13" s="80">
        <v>1252600</v>
      </c>
      <c r="W13" s="80">
        <v>319400</v>
      </c>
      <c r="X13" s="80">
        <v>0</v>
      </c>
      <c r="Y13" s="80">
        <v>1610761</v>
      </c>
      <c r="Z13" s="80">
        <v>577340</v>
      </c>
      <c r="AA13" s="80">
        <v>306900</v>
      </c>
      <c r="AB13" s="80">
        <v>-180000</v>
      </c>
      <c r="AC13" s="80">
        <v>0</v>
      </c>
      <c r="AD13" s="80">
        <v>0</v>
      </c>
      <c r="AE13" s="80">
        <v>0</v>
      </c>
      <c r="AF13" s="80">
        <v>0</v>
      </c>
      <c r="AG13" s="80">
        <v>117227</v>
      </c>
      <c r="AH13" s="81">
        <v>0</v>
      </c>
      <c r="AI13" s="80">
        <v>0</v>
      </c>
      <c r="AJ13" s="92">
        <v>0</v>
      </c>
      <c r="AK13" s="82">
        <v>50471088</v>
      </c>
      <c r="AL13" s="83">
        <v>851042</v>
      </c>
      <c r="AM13" s="80">
        <v>0</v>
      </c>
      <c r="AN13" s="80">
        <v>10233351</v>
      </c>
      <c r="AO13" s="80">
        <v>220168</v>
      </c>
      <c r="AP13" s="80">
        <v>36940949</v>
      </c>
      <c r="AQ13" s="80">
        <v>2053421</v>
      </c>
      <c r="AR13" s="80">
        <v>13820811</v>
      </c>
      <c r="AS13" s="80">
        <v>3235410</v>
      </c>
      <c r="AT13" s="80">
        <v>241361</v>
      </c>
      <c r="AU13" s="80">
        <v>0</v>
      </c>
      <c r="AV13" s="80">
        <v>0</v>
      </c>
      <c r="AW13" s="80">
        <v>474358</v>
      </c>
      <c r="AX13" s="80">
        <v>0</v>
      </c>
      <c r="AY13" s="80">
        <v>0</v>
      </c>
      <c r="AZ13" s="82">
        <v>2393834.48</v>
      </c>
      <c r="BA13" s="82">
        <v>1220855.58</v>
      </c>
      <c r="BB13" s="84">
        <v>20000000</v>
      </c>
      <c r="BC13" s="84">
        <v>1337750</v>
      </c>
      <c r="BD13" s="84">
        <v>2623039</v>
      </c>
      <c r="BE13" s="84">
        <v>53964155</v>
      </c>
      <c r="BF13" s="84">
        <v>53964155</v>
      </c>
      <c r="BG13" s="84">
        <v>52831028</v>
      </c>
      <c r="BH13" s="84">
        <v>48578587</v>
      </c>
      <c r="BI13" s="84">
        <v>0</v>
      </c>
      <c r="BJ13" s="84">
        <v>0</v>
      </c>
      <c r="BK13" s="85"/>
      <c r="BL13" s="86">
        <v>435134132.57999998</v>
      </c>
      <c r="BM13" s="86">
        <v>278710655</v>
      </c>
      <c r="BN13" s="87">
        <v>74040</v>
      </c>
      <c r="BO13" s="88"/>
      <c r="BP13" s="89">
        <v>266203715</v>
      </c>
      <c r="BQ13" s="90">
        <v>50471088</v>
      </c>
      <c r="BR13" s="90">
        <v>851042</v>
      </c>
      <c r="BS13" s="89">
        <v>15742350</v>
      </c>
      <c r="BT13" s="89">
        <v>333268195</v>
      </c>
    </row>
    <row r="14" spans="1:72" x14ac:dyDescent="0.25">
      <c r="A14" s="91" t="s">
        <v>68</v>
      </c>
      <c r="B14" s="94">
        <v>137357593</v>
      </c>
      <c r="C14" s="94">
        <v>79574650</v>
      </c>
      <c r="D14" s="94">
        <v>70984520</v>
      </c>
      <c r="E14" s="94">
        <v>0</v>
      </c>
      <c r="F14" s="94">
        <v>20182940</v>
      </c>
      <c r="G14" s="94">
        <v>35184819</v>
      </c>
      <c r="H14" s="94">
        <v>10430080</v>
      </c>
      <c r="I14" s="94">
        <v>12261142</v>
      </c>
      <c r="J14" s="94">
        <v>147600</v>
      </c>
      <c r="K14" s="94">
        <v>220900</v>
      </c>
      <c r="L14" s="94">
        <v>66705364</v>
      </c>
      <c r="M14" s="94">
        <v>49572062</v>
      </c>
      <c r="N14" s="94">
        <v>943</v>
      </c>
      <c r="O14" s="94">
        <v>1564</v>
      </c>
      <c r="P14" s="94">
        <v>1485800</v>
      </c>
      <c r="Q14" s="94">
        <v>181900</v>
      </c>
      <c r="R14" s="94">
        <v>2727800</v>
      </c>
      <c r="S14" s="94">
        <v>1567080</v>
      </c>
      <c r="T14" s="94">
        <v>1594264</v>
      </c>
      <c r="U14" s="94">
        <v>110000</v>
      </c>
      <c r="V14" s="94">
        <v>1485800</v>
      </c>
      <c r="W14" s="94">
        <v>234700</v>
      </c>
      <c r="X14" s="94">
        <v>2727800</v>
      </c>
      <c r="Y14" s="94">
        <v>1567080</v>
      </c>
      <c r="Z14" s="94">
        <v>1275590</v>
      </c>
      <c r="AA14" s="94">
        <v>110000</v>
      </c>
      <c r="AB14" s="94">
        <v>-2442516</v>
      </c>
      <c r="AC14" s="94">
        <v>-122882</v>
      </c>
      <c r="AD14" s="94">
        <v>256525</v>
      </c>
      <c r="AE14" s="94">
        <v>0</v>
      </c>
      <c r="AF14" s="94">
        <v>0</v>
      </c>
      <c r="AG14" s="94">
        <v>276592</v>
      </c>
      <c r="AH14" s="81">
        <v>1328319.6721311475</v>
      </c>
      <c r="AI14" s="94">
        <v>2012938.5245901642</v>
      </c>
      <c r="AJ14" s="92">
        <v>90901218</v>
      </c>
      <c r="AK14" s="82">
        <v>59856048</v>
      </c>
      <c r="AL14" s="83">
        <v>1056206</v>
      </c>
      <c r="AM14" s="94">
        <v>0</v>
      </c>
      <c r="AN14" s="94">
        <v>36169711</v>
      </c>
      <c r="AO14" s="94">
        <v>287459</v>
      </c>
      <c r="AP14" s="94">
        <v>4307939</v>
      </c>
      <c r="AQ14" s="94">
        <v>10601074</v>
      </c>
      <c r="AR14" s="94">
        <v>8207768</v>
      </c>
      <c r="AS14" s="94">
        <v>0</v>
      </c>
      <c r="AT14" s="94">
        <v>309891</v>
      </c>
      <c r="AU14" s="94">
        <v>0</v>
      </c>
      <c r="AV14" s="94">
        <v>0</v>
      </c>
      <c r="AW14" s="94">
        <v>0</v>
      </c>
      <c r="AX14" s="94">
        <v>0</v>
      </c>
      <c r="AY14" s="94">
        <v>0</v>
      </c>
      <c r="AZ14" s="82">
        <v>2838961.41</v>
      </c>
      <c r="BA14" s="82">
        <v>1447870.32</v>
      </c>
      <c r="BB14" s="84"/>
      <c r="BC14" s="84">
        <v>2230606</v>
      </c>
      <c r="BD14" s="84">
        <v>4373737</v>
      </c>
      <c r="BE14" s="84">
        <v>14466395</v>
      </c>
      <c r="BF14" s="84">
        <v>14466395</v>
      </c>
      <c r="BG14" s="84">
        <v>44049402</v>
      </c>
      <c r="BH14" s="84">
        <v>38492997</v>
      </c>
      <c r="BI14" s="84">
        <v>0</v>
      </c>
      <c r="BJ14" s="84">
        <v>0</v>
      </c>
      <c r="BK14" s="95"/>
      <c r="BL14" s="86">
        <v>546767605.51672125</v>
      </c>
      <c r="BM14" s="86">
        <v>429217483.19672126</v>
      </c>
      <c r="BN14" s="87">
        <v>1181379</v>
      </c>
      <c r="BO14" s="88"/>
      <c r="BP14" s="89">
        <v>287916763</v>
      </c>
      <c r="BQ14" s="90">
        <v>59856048</v>
      </c>
      <c r="BR14" s="90">
        <v>1056206</v>
      </c>
      <c r="BS14" s="89">
        <v>47058244</v>
      </c>
      <c r="BT14" s="89">
        <v>395887261</v>
      </c>
    </row>
    <row r="15" spans="1:72" x14ac:dyDescent="0.25">
      <c r="A15" s="91" t="s">
        <v>69</v>
      </c>
      <c r="B15" s="80">
        <v>536405342</v>
      </c>
      <c r="C15" s="80">
        <v>218005923</v>
      </c>
      <c r="D15" s="80">
        <v>80645486</v>
      </c>
      <c r="E15" s="80">
        <v>0</v>
      </c>
      <c r="F15" s="80">
        <v>50984620</v>
      </c>
      <c r="G15" s="80">
        <v>11919535</v>
      </c>
      <c r="H15" s="80">
        <v>20172134</v>
      </c>
      <c r="I15" s="80">
        <v>2493203</v>
      </c>
      <c r="J15" s="80">
        <v>36900</v>
      </c>
      <c r="K15" s="80">
        <v>0</v>
      </c>
      <c r="L15" s="80">
        <v>381208652</v>
      </c>
      <c r="M15" s="80">
        <v>124550500</v>
      </c>
      <c r="N15" s="80">
        <v>2079</v>
      </c>
      <c r="O15" s="80">
        <v>479</v>
      </c>
      <c r="P15" s="80">
        <v>6790450</v>
      </c>
      <c r="Q15" s="80">
        <v>4194550</v>
      </c>
      <c r="R15" s="80">
        <v>2768500</v>
      </c>
      <c r="S15" s="80">
        <v>4000150</v>
      </c>
      <c r="T15" s="80">
        <v>531700</v>
      </c>
      <c r="U15" s="80">
        <v>1353920</v>
      </c>
      <c r="V15" s="80">
        <v>6790450</v>
      </c>
      <c r="W15" s="80">
        <v>4337100</v>
      </c>
      <c r="X15" s="80">
        <v>2768500</v>
      </c>
      <c r="Y15" s="80">
        <v>4000050</v>
      </c>
      <c r="Z15" s="80">
        <v>390750</v>
      </c>
      <c r="AA15" s="80">
        <v>1353920</v>
      </c>
      <c r="AB15" s="80">
        <v>-1010685</v>
      </c>
      <c r="AC15" s="80">
        <v>145231</v>
      </c>
      <c r="AD15" s="80">
        <v>147780</v>
      </c>
      <c r="AE15" s="80">
        <v>0</v>
      </c>
      <c r="AF15" s="80">
        <v>0</v>
      </c>
      <c r="AG15" s="80">
        <v>353559</v>
      </c>
      <c r="AH15" s="81">
        <v>4374836.0655737706</v>
      </c>
      <c r="AI15" s="80">
        <v>1165584.4262295081</v>
      </c>
      <c r="AJ15" s="92">
        <v>0</v>
      </c>
      <c r="AK15" s="82">
        <v>119669030</v>
      </c>
      <c r="AL15" s="83">
        <v>17280616</v>
      </c>
      <c r="AM15" s="80">
        <v>664000</v>
      </c>
      <c r="AN15" s="80">
        <v>21300969</v>
      </c>
      <c r="AO15" s="80">
        <v>145115</v>
      </c>
      <c r="AP15" s="80">
        <v>14343859</v>
      </c>
      <c r="AQ15" s="80">
        <v>20357383</v>
      </c>
      <c r="AR15" s="80">
        <v>19667847</v>
      </c>
      <c r="AS15" s="80">
        <v>0</v>
      </c>
      <c r="AT15" s="80">
        <v>2852029</v>
      </c>
      <c r="AU15" s="80">
        <v>0</v>
      </c>
      <c r="AV15" s="80">
        <v>0</v>
      </c>
      <c r="AW15" s="80">
        <v>907415</v>
      </c>
      <c r="AX15" s="80">
        <v>101600</v>
      </c>
      <c r="AY15" s="80">
        <v>142840</v>
      </c>
      <c r="AZ15" s="82">
        <v>5675880.21</v>
      </c>
      <c r="BA15" s="82">
        <v>2894698.91</v>
      </c>
      <c r="BB15" s="84">
        <v>23419689.120000001</v>
      </c>
      <c r="BC15" s="84">
        <v>1821917</v>
      </c>
      <c r="BD15" s="84">
        <v>3572387</v>
      </c>
      <c r="BE15" s="84">
        <v>32580080</v>
      </c>
      <c r="BF15" s="84">
        <v>32580080</v>
      </c>
      <c r="BG15" s="84">
        <v>80187795</v>
      </c>
      <c r="BH15" s="84">
        <v>76730916</v>
      </c>
      <c r="BI15" s="84">
        <v>0</v>
      </c>
      <c r="BJ15" s="84">
        <v>0</v>
      </c>
      <c r="BK15" s="85"/>
      <c r="BL15" s="86">
        <v>1133377896.4018033</v>
      </c>
      <c r="BM15" s="86">
        <v>882400638.49180329</v>
      </c>
      <c r="BN15" s="87">
        <v>2109213</v>
      </c>
      <c r="BO15" s="88"/>
      <c r="BP15" s="89">
        <v>835056751</v>
      </c>
      <c r="BQ15" s="90">
        <v>119669030</v>
      </c>
      <c r="BR15" s="90">
        <v>17280616</v>
      </c>
      <c r="BS15" s="89">
        <v>41803467</v>
      </c>
      <c r="BT15" s="89">
        <v>1013809864</v>
      </c>
    </row>
    <row r="16" spans="1:72" x14ac:dyDescent="0.25">
      <c r="A16" s="91" t="s">
        <v>70</v>
      </c>
      <c r="B16" s="80">
        <v>3540290877</v>
      </c>
      <c r="C16" s="80">
        <v>241422861</v>
      </c>
      <c r="D16" s="80">
        <v>978330976</v>
      </c>
      <c r="E16" s="80">
        <v>23841565</v>
      </c>
      <c r="F16" s="80">
        <v>199635423</v>
      </c>
      <c r="G16" s="80">
        <v>37612612</v>
      </c>
      <c r="H16" s="80">
        <v>17364235</v>
      </c>
      <c r="I16" s="80">
        <v>3051412</v>
      </c>
      <c r="J16" s="80">
        <v>332100</v>
      </c>
      <c r="K16" s="80">
        <v>0</v>
      </c>
      <c r="L16" s="80">
        <v>354365186</v>
      </c>
      <c r="M16" s="80">
        <v>164326230</v>
      </c>
      <c r="N16" s="80">
        <v>6004</v>
      </c>
      <c r="O16" s="80">
        <v>1160</v>
      </c>
      <c r="P16" s="80">
        <v>42278632</v>
      </c>
      <c r="Q16" s="80">
        <v>5371003</v>
      </c>
      <c r="R16" s="80">
        <v>41113795</v>
      </c>
      <c r="S16" s="80">
        <v>7356969</v>
      </c>
      <c r="T16" s="80">
        <v>4045942</v>
      </c>
      <c r="U16" s="80">
        <v>5274025</v>
      </c>
      <c r="V16" s="80">
        <v>42278634</v>
      </c>
      <c r="W16" s="80">
        <v>5403735</v>
      </c>
      <c r="X16" s="80">
        <v>41113795</v>
      </c>
      <c r="Y16" s="80">
        <v>7356969</v>
      </c>
      <c r="Z16" s="80">
        <v>4810520</v>
      </c>
      <c r="AA16" s="80">
        <v>5274025</v>
      </c>
      <c r="AB16" s="80">
        <v>2079729</v>
      </c>
      <c r="AC16" s="80">
        <v>-23474245</v>
      </c>
      <c r="AD16" s="80">
        <v>26501</v>
      </c>
      <c r="AE16" s="80">
        <v>556</v>
      </c>
      <c r="AF16" s="80">
        <v>13701730</v>
      </c>
      <c r="AG16" s="80">
        <v>89505</v>
      </c>
      <c r="AH16" s="81">
        <v>0</v>
      </c>
      <c r="AI16" s="80">
        <v>659729.50819672132</v>
      </c>
      <c r="AJ16" s="92">
        <v>0</v>
      </c>
      <c r="AK16" s="82">
        <v>493489476</v>
      </c>
      <c r="AL16" s="83">
        <v>17799054</v>
      </c>
      <c r="AM16" s="80">
        <v>6000</v>
      </c>
      <c r="AN16" s="80">
        <v>218564618</v>
      </c>
      <c r="AO16" s="80">
        <v>4510495</v>
      </c>
      <c r="AP16" s="80">
        <v>160049177</v>
      </c>
      <c r="AQ16" s="80">
        <v>390462745</v>
      </c>
      <c r="AR16" s="80">
        <v>1381353456</v>
      </c>
      <c r="AS16" s="80">
        <v>4190222768</v>
      </c>
      <c r="AT16" s="80">
        <v>11639153</v>
      </c>
      <c r="AU16" s="80">
        <v>0</v>
      </c>
      <c r="AV16" s="80">
        <v>0</v>
      </c>
      <c r="AW16" s="80">
        <v>1280635</v>
      </c>
      <c r="AX16" s="80">
        <v>2207202</v>
      </c>
      <c r="AY16" s="80">
        <v>209800</v>
      </c>
      <c r="AZ16" s="82">
        <v>23406115.620000001</v>
      </c>
      <c r="BA16" s="82">
        <v>11937118.970000001</v>
      </c>
      <c r="BB16" s="84"/>
      <c r="BC16" s="84">
        <v>2783502</v>
      </c>
      <c r="BD16" s="84">
        <v>5457846</v>
      </c>
      <c r="BE16" s="84">
        <v>35017290</v>
      </c>
      <c r="BF16" s="84">
        <v>34413693</v>
      </c>
      <c r="BG16" s="84">
        <v>84208757</v>
      </c>
      <c r="BH16" s="84">
        <v>80790998</v>
      </c>
      <c r="BI16" s="84">
        <v>225095070</v>
      </c>
      <c r="BJ16" s="84">
        <v>0</v>
      </c>
      <c r="BK16" s="85"/>
      <c r="BL16" s="86">
        <v>6240551213.4781971</v>
      </c>
      <c r="BM16" s="86">
        <v>5374242301.5081968</v>
      </c>
      <c r="BN16" s="87">
        <v>2842528</v>
      </c>
      <c r="BO16" s="88"/>
      <c r="BP16" s="89">
        <v>4760044714</v>
      </c>
      <c r="BQ16" s="90">
        <v>493489476</v>
      </c>
      <c r="BR16" s="90">
        <v>17799054</v>
      </c>
      <c r="BS16" s="89">
        <v>4803760626</v>
      </c>
      <c r="BT16" s="89">
        <v>10075093870</v>
      </c>
    </row>
    <row r="17" spans="1:72" x14ac:dyDescent="0.25">
      <c r="A17" s="91" t="s">
        <v>71</v>
      </c>
      <c r="B17" s="80">
        <v>179409239</v>
      </c>
      <c r="C17" s="80">
        <v>117844445</v>
      </c>
      <c r="D17" s="80">
        <v>62160089</v>
      </c>
      <c r="E17" s="80">
        <v>0</v>
      </c>
      <c r="F17" s="80">
        <v>22844550</v>
      </c>
      <c r="G17" s="80">
        <v>9538200</v>
      </c>
      <c r="H17" s="80">
        <v>12252110</v>
      </c>
      <c r="I17" s="80">
        <v>3488100</v>
      </c>
      <c r="J17" s="80">
        <v>36900</v>
      </c>
      <c r="K17" s="80">
        <v>0</v>
      </c>
      <c r="L17" s="80">
        <v>235272417</v>
      </c>
      <c r="M17" s="80">
        <v>74280787</v>
      </c>
      <c r="N17" s="80">
        <v>1047</v>
      </c>
      <c r="O17" s="80">
        <v>417</v>
      </c>
      <c r="P17" s="80">
        <v>885100</v>
      </c>
      <c r="Q17" s="80">
        <v>263200</v>
      </c>
      <c r="R17" s="80">
        <v>0</v>
      </c>
      <c r="S17" s="80">
        <v>388900</v>
      </c>
      <c r="T17" s="80">
        <v>395140</v>
      </c>
      <c r="U17" s="80">
        <v>590800</v>
      </c>
      <c r="V17" s="80">
        <v>885100</v>
      </c>
      <c r="W17" s="80">
        <v>340100</v>
      </c>
      <c r="X17" s="80">
        <v>0</v>
      </c>
      <c r="Y17" s="80">
        <v>388900</v>
      </c>
      <c r="Z17" s="80">
        <v>1139300</v>
      </c>
      <c r="AA17" s="80">
        <v>590800</v>
      </c>
      <c r="AB17" s="80">
        <v>-933900</v>
      </c>
      <c r="AC17" s="80">
        <v>-36200</v>
      </c>
      <c r="AD17" s="80">
        <v>149720</v>
      </c>
      <c r="AE17" s="80">
        <v>72585</v>
      </c>
      <c r="AF17" s="80">
        <v>19407720</v>
      </c>
      <c r="AG17" s="80">
        <v>253741</v>
      </c>
      <c r="AH17" s="81">
        <v>1006131.1475409836</v>
      </c>
      <c r="AI17" s="80">
        <v>369079.50819672126</v>
      </c>
      <c r="AJ17" s="92">
        <v>0</v>
      </c>
      <c r="AK17" s="82">
        <v>75810133</v>
      </c>
      <c r="AL17" s="83">
        <v>2086085</v>
      </c>
      <c r="AM17" s="80">
        <v>0</v>
      </c>
      <c r="AN17" s="80">
        <v>13793561</v>
      </c>
      <c r="AO17" s="80">
        <v>1139144</v>
      </c>
      <c r="AP17" s="80">
        <v>40543974</v>
      </c>
      <c r="AQ17" s="80">
        <v>7601287</v>
      </c>
      <c r="AR17" s="80">
        <v>14631384</v>
      </c>
      <c r="AS17" s="80">
        <v>752895</v>
      </c>
      <c r="AT17" s="80">
        <v>1395405</v>
      </c>
      <c r="AU17" s="80">
        <v>0</v>
      </c>
      <c r="AV17" s="80">
        <v>0</v>
      </c>
      <c r="AW17" s="80">
        <v>0</v>
      </c>
      <c r="AX17" s="80">
        <v>134710</v>
      </c>
      <c r="AY17" s="80">
        <v>10000</v>
      </c>
      <c r="AZ17" s="82">
        <v>3595660.75</v>
      </c>
      <c r="BA17" s="82">
        <v>1833786.98</v>
      </c>
      <c r="BB17" s="84"/>
      <c r="BC17" s="84">
        <v>0</v>
      </c>
      <c r="BD17" s="84">
        <v>0</v>
      </c>
      <c r="BE17" s="84">
        <v>2576884</v>
      </c>
      <c r="BF17" s="84">
        <v>2576884</v>
      </c>
      <c r="BG17" s="84">
        <v>22078362</v>
      </c>
      <c r="BH17" s="84">
        <v>22078362</v>
      </c>
      <c r="BI17" s="84">
        <v>0</v>
      </c>
      <c r="BJ17" s="84">
        <v>0</v>
      </c>
      <c r="BK17" s="85"/>
      <c r="BL17" s="86">
        <v>487708226.63573772</v>
      </c>
      <c r="BM17" s="86">
        <v>383322975.6557377</v>
      </c>
      <c r="BN17" s="87">
        <v>1184600</v>
      </c>
      <c r="BO17" s="88"/>
      <c r="BP17" s="89">
        <v>359413773</v>
      </c>
      <c r="BQ17" s="90">
        <v>75810133</v>
      </c>
      <c r="BR17" s="90">
        <v>2086085</v>
      </c>
      <c r="BS17" s="89">
        <v>23286887</v>
      </c>
      <c r="BT17" s="89">
        <v>460596878</v>
      </c>
    </row>
    <row r="18" spans="1:72" x14ac:dyDescent="0.25">
      <c r="A18" s="91" t="s">
        <v>72</v>
      </c>
      <c r="B18" s="80">
        <v>223473794</v>
      </c>
      <c r="C18" s="80">
        <v>108797580</v>
      </c>
      <c r="D18" s="80">
        <v>81258333</v>
      </c>
      <c r="E18" s="80">
        <v>9851483</v>
      </c>
      <c r="F18" s="80">
        <v>37012889</v>
      </c>
      <c r="G18" s="80">
        <v>10161550</v>
      </c>
      <c r="H18" s="80">
        <v>10657560</v>
      </c>
      <c r="I18" s="80">
        <v>1945485</v>
      </c>
      <c r="J18" s="80">
        <v>90900</v>
      </c>
      <c r="K18" s="80">
        <v>36000</v>
      </c>
      <c r="L18" s="80">
        <v>237225334</v>
      </c>
      <c r="M18" s="80">
        <v>59575035</v>
      </c>
      <c r="N18" s="80">
        <v>1364</v>
      </c>
      <c r="O18" s="80">
        <v>370</v>
      </c>
      <c r="P18" s="80">
        <v>3376370</v>
      </c>
      <c r="Q18" s="80">
        <v>1899105</v>
      </c>
      <c r="R18" s="80">
        <v>1530260</v>
      </c>
      <c r="S18" s="80">
        <v>3982949</v>
      </c>
      <c r="T18" s="80">
        <v>380719</v>
      </c>
      <c r="U18" s="80">
        <v>1899498</v>
      </c>
      <c r="V18" s="80">
        <v>3376370</v>
      </c>
      <c r="W18" s="80">
        <v>1851260</v>
      </c>
      <c r="X18" s="80">
        <v>1530260</v>
      </c>
      <c r="Y18" s="80">
        <v>3982949</v>
      </c>
      <c r="Z18" s="80">
        <v>1307057</v>
      </c>
      <c r="AA18" s="80">
        <v>1899498</v>
      </c>
      <c r="AB18" s="80">
        <v>-1381422</v>
      </c>
      <c r="AC18" s="80">
        <v>0</v>
      </c>
      <c r="AD18" s="80">
        <v>24812</v>
      </c>
      <c r="AE18" s="80">
        <v>46606</v>
      </c>
      <c r="AF18" s="80">
        <v>29253358</v>
      </c>
      <c r="AG18" s="80">
        <v>200191</v>
      </c>
      <c r="AH18" s="81">
        <v>86008.196721311484</v>
      </c>
      <c r="AI18" s="80">
        <v>2388409.8360655741</v>
      </c>
      <c r="AJ18" s="92">
        <v>0</v>
      </c>
      <c r="AK18" s="82">
        <v>87892681</v>
      </c>
      <c r="AL18" s="83">
        <v>2502879</v>
      </c>
      <c r="AM18" s="80">
        <v>0</v>
      </c>
      <c r="AN18" s="80">
        <v>18495063</v>
      </c>
      <c r="AO18" s="80">
        <v>6753731</v>
      </c>
      <c r="AP18" s="80">
        <v>120748967</v>
      </c>
      <c r="AQ18" s="80">
        <v>28803906</v>
      </c>
      <c r="AR18" s="80">
        <v>27060984</v>
      </c>
      <c r="AS18" s="80">
        <v>16771834</v>
      </c>
      <c r="AT18" s="80">
        <v>1374887</v>
      </c>
      <c r="AU18" s="80">
        <v>0</v>
      </c>
      <c r="AV18" s="80">
        <v>3038663</v>
      </c>
      <c r="AW18" s="80">
        <v>0</v>
      </c>
      <c r="AX18" s="80">
        <v>14679</v>
      </c>
      <c r="AY18" s="80">
        <v>937000</v>
      </c>
      <c r="AZ18" s="82">
        <v>4168733.79</v>
      </c>
      <c r="BA18" s="82">
        <v>2126054.23</v>
      </c>
      <c r="BB18" s="84"/>
      <c r="BC18" s="84">
        <v>1354932</v>
      </c>
      <c r="BD18" s="84">
        <v>2656729</v>
      </c>
      <c r="BE18" s="84">
        <v>14883484</v>
      </c>
      <c r="BF18" s="84">
        <v>11938765</v>
      </c>
      <c r="BG18" s="84">
        <v>27042921</v>
      </c>
      <c r="BH18" s="84">
        <v>25032716</v>
      </c>
      <c r="BI18" s="84">
        <v>0</v>
      </c>
      <c r="BJ18" s="84">
        <v>13503663</v>
      </c>
      <c r="BK18" s="85"/>
      <c r="BL18" s="86">
        <v>614408515.26278687</v>
      </c>
      <c r="BM18" s="86">
        <v>470056825.03278691</v>
      </c>
      <c r="BN18" s="87">
        <v>389000</v>
      </c>
      <c r="BO18" s="88"/>
      <c r="BP18" s="89">
        <v>413529707</v>
      </c>
      <c r="BQ18" s="90">
        <v>87892681</v>
      </c>
      <c r="BR18" s="90">
        <v>2502879</v>
      </c>
      <c r="BS18" s="89">
        <v>70824534</v>
      </c>
      <c r="BT18" s="89">
        <v>574749801</v>
      </c>
    </row>
    <row r="19" spans="1:72" x14ac:dyDescent="0.25">
      <c r="A19" s="91" t="s">
        <v>73</v>
      </c>
      <c r="B19" s="80">
        <v>1274763609</v>
      </c>
      <c r="C19" s="80">
        <v>238640093</v>
      </c>
      <c r="D19" s="80">
        <v>320919499</v>
      </c>
      <c r="E19" s="80">
        <v>0</v>
      </c>
      <c r="F19" s="80">
        <v>100623073</v>
      </c>
      <c r="G19" s="80">
        <v>9979975</v>
      </c>
      <c r="H19" s="80">
        <v>16557200</v>
      </c>
      <c r="I19" s="80">
        <v>1267400</v>
      </c>
      <c r="J19" s="80">
        <v>184500</v>
      </c>
      <c r="K19" s="80">
        <v>0</v>
      </c>
      <c r="L19" s="80">
        <v>512584971</v>
      </c>
      <c r="M19" s="80">
        <v>147477900</v>
      </c>
      <c r="N19" s="80">
        <v>3338</v>
      </c>
      <c r="O19" s="80">
        <v>362</v>
      </c>
      <c r="P19" s="80">
        <v>14014324</v>
      </c>
      <c r="Q19" s="80">
        <v>1434360</v>
      </c>
      <c r="R19" s="80">
        <v>1670000</v>
      </c>
      <c r="S19" s="80">
        <v>4165507</v>
      </c>
      <c r="T19" s="80">
        <v>25000</v>
      </c>
      <c r="U19" s="80">
        <v>1249684</v>
      </c>
      <c r="V19" s="80">
        <v>14014324</v>
      </c>
      <c r="W19" s="80">
        <v>1796500</v>
      </c>
      <c r="X19" s="80">
        <v>1670000</v>
      </c>
      <c r="Y19" s="80">
        <v>4165507</v>
      </c>
      <c r="Z19" s="80">
        <v>25000</v>
      </c>
      <c r="AA19" s="80">
        <v>1249684</v>
      </c>
      <c r="AB19" s="80">
        <v>-4761460</v>
      </c>
      <c r="AC19" s="80">
        <v>-1105581</v>
      </c>
      <c r="AD19" s="80">
        <v>67186</v>
      </c>
      <c r="AE19" s="80">
        <v>4681</v>
      </c>
      <c r="AF19" s="80">
        <v>2340500</v>
      </c>
      <c r="AG19" s="80">
        <v>203273</v>
      </c>
      <c r="AH19" s="81">
        <v>0</v>
      </c>
      <c r="AI19" s="80">
        <v>26459.016393442624</v>
      </c>
      <c r="AJ19" s="92">
        <v>0</v>
      </c>
      <c r="AK19" s="82">
        <v>239684624</v>
      </c>
      <c r="AL19" s="83">
        <v>11311211</v>
      </c>
      <c r="AM19" s="80">
        <v>0</v>
      </c>
      <c r="AN19" s="80">
        <v>68502347</v>
      </c>
      <c r="AO19" s="80">
        <v>4815474</v>
      </c>
      <c r="AP19" s="80">
        <v>142015453</v>
      </c>
      <c r="AQ19" s="80">
        <v>70580704</v>
      </c>
      <c r="AR19" s="80">
        <v>73683958</v>
      </c>
      <c r="AS19" s="80">
        <v>93748185</v>
      </c>
      <c r="AT19" s="80">
        <v>4931501</v>
      </c>
      <c r="AU19" s="80">
        <v>0</v>
      </c>
      <c r="AV19" s="80">
        <v>0</v>
      </c>
      <c r="AW19" s="80">
        <v>1250703</v>
      </c>
      <c r="AX19" s="80">
        <v>1710691</v>
      </c>
      <c r="AY19" s="80">
        <v>3053900</v>
      </c>
      <c r="AZ19" s="82">
        <v>11368197.9</v>
      </c>
      <c r="BA19" s="82">
        <v>5797780.9299999997</v>
      </c>
      <c r="BB19" s="84">
        <v>9689119.1699999999</v>
      </c>
      <c r="BC19" s="84">
        <v>745581</v>
      </c>
      <c r="BD19" s="84">
        <v>1461923</v>
      </c>
      <c r="BE19" s="84">
        <v>3216002</v>
      </c>
      <c r="BF19" s="84">
        <v>3216002</v>
      </c>
      <c r="BG19" s="84">
        <v>55863909</v>
      </c>
      <c r="BH19" s="84">
        <v>55604477</v>
      </c>
      <c r="BI19" s="84">
        <v>0</v>
      </c>
      <c r="BJ19" s="84">
        <v>8627400</v>
      </c>
      <c r="BK19" s="85"/>
      <c r="BL19" s="86">
        <v>2303235260.9463935</v>
      </c>
      <c r="BM19" s="86">
        <v>1978248185.0163934</v>
      </c>
      <c r="BN19" s="87">
        <v>2980051</v>
      </c>
      <c r="BO19" s="88"/>
      <c r="BP19" s="89">
        <v>1834323201</v>
      </c>
      <c r="BQ19" s="90">
        <v>239684624</v>
      </c>
      <c r="BR19" s="90">
        <v>11311211</v>
      </c>
      <c r="BS19" s="89">
        <v>237646710</v>
      </c>
      <c r="BT19" s="89">
        <v>2322965746</v>
      </c>
    </row>
    <row r="20" spans="1:72" x14ac:dyDescent="0.25">
      <c r="A20" s="91" t="s">
        <v>74</v>
      </c>
      <c r="B20" s="80">
        <v>4099208390</v>
      </c>
      <c r="C20" s="80">
        <v>171708350</v>
      </c>
      <c r="D20" s="80">
        <v>1079766639</v>
      </c>
      <c r="E20" s="80">
        <v>0</v>
      </c>
      <c r="F20" s="80">
        <v>251333865</v>
      </c>
      <c r="G20" s="80">
        <v>25213445</v>
      </c>
      <c r="H20" s="80">
        <v>13895200</v>
      </c>
      <c r="I20" s="80">
        <v>1143900</v>
      </c>
      <c r="J20" s="80">
        <v>793500</v>
      </c>
      <c r="K20" s="80">
        <v>147600</v>
      </c>
      <c r="L20" s="80">
        <v>217644529</v>
      </c>
      <c r="M20" s="80">
        <v>389352879</v>
      </c>
      <c r="N20" s="80">
        <v>7274</v>
      </c>
      <c r="O20" s="80">
        <v>747</v>
      </c>
      <c r="P20" s="80">
        <v>53368957</v>
      </c>
      <c r="Q20" s="80">
        <v>3444900</v>
      </c>
      <c r="R20" s="80">
        <v>15407250</v>
      </c>
      <c r="S20" s="80">
        <v>46902859</v>
      </c>
      <c r="T20" s="80">
        <v>2808200</v>
      </c>
      <c r="U20" s="80">
        <v>28126840</v>
      </c>
      <c r="V20" s="80">
        <v>53368957</v>
      </c>
      <c r="W20" s="80">
        <v>3444900</v>
      </c>
      <c r="X20" s="80">
        <v>15407250</v>
      </c>
      <c r="Y20" s="80">
        <v>46902859</v>
      </c>
      <c r="Z20" s="80">
        <v>2808200</v>
      </c>
      <c r="AA20" s="80">
        <v>28126840</v>
      </c>
      <c r="AB20" s="80">
        <v>-10902171</v>
      </c>
      <c r="AC20" s="80">
        <v>-153321</v>
      </c>
      <c r="AD20" s="80">
        <v>0</v>
      </c>
      <c r="AE20" s="80">
        <v>0</v>
      </c>
      <c r="AF20" s="80">
        <v>0</v>
      </c>
      <c r="AG20" s="80">
        <v>0</v>
      </c>
      <c r="AH20" s="81">
        <v>0</v>
      </c>
      <c r="AI20" s="80">
        <v>0</v>
      </c>
      <c r="AJ20" s="92">
        <v>0</v>
      </c>
      <c r="AK20" s="82">
        <v>554847097</v>
      </c>
      <c r="AL20" s="83">
        <v>9212023</v>
      </c>
      <c r="AM20" s="80">
        <v>1092008</v>
      </c>
      <c r="AN20" s="80">
        <v>165755401</v>
      </c>
      <c r="AO20" s="80">
        <v>15969016</v>
      </c>
      <c r="AP20" s="80">
        <v>236148184</v>
      </c>
      <c r="AQ20" s="80">
        <v>135224798</v>
      </c>
      <c r="AR20" s="80">
        <v>86444744</v>
      </c>
      <c r="AS20" s="80">
        <v>12561904</v>
      </c>
      <c r="AT20" s="80">
        <v>492883</v>
      </c>
      <c r="AU20" s="80">
        <v>0</v>
      </c>
      <c r="AV20" s="80">
        <v>0</v>
      </c>
      <c r="AW20" s="80">
        <v>201526</v>
      </c>
      <c r="AX20" s="80">
        <v>2083909</v>
      </c>
      <c r="AY20" s="80">
        <v>0</v>
      </c>
      <c r="AZ20" s="82">
        <v>26316296.370000001</v>
      </c>
      <c r="BA20" s="82">
        <v>13421311.15</v>
      </c>
      <c r="BB20" s="84">
        <v>30984455.960000001</v>
      </c>
      <c r="BC20" s="84">
        <v>2172309</v>
      </c>
      <c r="BD20" s="84">
        <v>4259430</v>
      </c>
      <c r="BE20" s="84">
        <v>89870105</v>
      </c>
      <c r="BF20" s="84">
        <v>89870105</v>
      </c>
      <c r="BG20" s="84">
        <v>138588407</v>
      </c>
      <c r="BH20" s="84">
        <v>132941223</v>
      </c>
      <c r="BI20" s="84">
        <v>0</v>
      </c>
      <c r="BJ20" s="84">
        <v>0</v>
      </c>
      <c r="BK20" s="85"/>
      <c r="BL20" s="86">
        <v>6470096662.1499996</v>
      </c>
      <c r="BM20" s="86">
        <v>5667632594</v>
      </c>
      <c r="BN20" s="87">
        <v>8101022</v>
      </c>
      <c r="BO20" s="88"/>
      <c r="BP20" s="89">
        <v>5350683379</v>
      </c>
      <c r="BQ20" s="90">
        <v>554847097</v>
      </c>
      <c r="BR20" s="90">
        <v>9212023</v>
      </c>
      <c r="BS20" s="89">
        <v>329511119</v>
      </c>
      <c r="BT20" s="89">
        <v>6244253618</v>
      </c>
    </row>
    <row r="21" spans="1:72" x14ac:dyDescent="0.25">
      <c r="A21" s="91" t="s">
        <v>75</v>
      </c>
      <c r="B21" s="80">
        <v>75361211</v>
      </c>
      <c r="C21" s="80">
        <v>64889253</v>
      </c>
      <c r="D21" s="80">
        <v>16303652</v>
      </c>
      <c r="E21" s="80">
        <v>0</v>
      </c>
      <c r="F21" s="80">
        <v>13410765</v>
      </c>
      <c r="G21" s="80">
        <v>4782249</v>
      </c>
      <c r="H21" s="80">
        <v>6425124</v>
      </c>
      <c r="I21" s="80">
        <v>1031100</v>
      </c>
      <c r="J21" s="80">
        <v>0</v>
      </c>
      <c r="K21" s="80">
        <v>0</v>
      </c>
      <c r="L21" s="80">
        <v>143727453</v>
      </c>
      <c r="M21" s="80">
        <v>28580476</v>
      </c>
      <c r="N21" s="80">
        <v>602</v>
      </c>
      <c r="O21" s="80">
        <v>190</v>
      </c>
      <c r="P21" s="80">
        <v>2887087</v>
      </c>
      <c r="Q21" s="80">
        <v>1680681</v>
      </c>
      <c r="R21" s="80">
        <v>83500</v>
      </c>
      <c r="S21" s="80">
        <v>663162</v>
      </c>
      <c r="T21" s="80">
        <v>133963</v>
      </c>
      <c r="U21" s="80">
        <v>1000</v>
      </c>
      <c r="V21" s="80">
        <v>2887087</v>
      </c>
      <c r="W21" s="80">
        <v>4061650</v>
      </c>
      <c r="X21" s="80">
        <v>83500</v>
      </c>
      <c r="Y21" s="80">
        <v>663162</v>
      </c>
      <c r="Z21" s="80">
        <v>227800</v>
      </c>
      <c r="AA21" s="80">
        <v>1000</v>
      </c>
      <c r="AB21" s="80">
        <v>-2095865</v>
      </c>
      <c r="AC21" s="80">
        <v>0</v>
      </c>
      <c r="AD21" s="80">
        <v>26842</v>
      </c>
      <c r="AE21" s="80">
        <v>69099</v>
      </c>
      <c r="AF21" s="80">
        <v>15496158</v>
      </c>
      <c r="AG21" s="80">
        <v>43163</v>
      </c>
      <c r="AH21" s="81">
        <v>0</v>
      </c>
      <c r="AI21" s="80">
        <v>11680.327868852459</v>
      </c>
      <c r="AJ21" s="92">
        <v>0</v>
      </c>
      <c r="AK21" s="82">
        <v>41834116</v>
      </c>
      <c r="AL21" s="83">
        <v>1132821</v>
      </c>
      <c r="AM21" s="80">
        <v>112500</v>
      </c>
      <c r="AN21" s="80">
        <v>8100894</v>
      </c>
      <c r="AO21" s="80">
        <v>19626</v>
      </c>
      <c r="AP21" s="80">
        <v>564783</v>
      </c>
      <c r="AQ21" s="80">
        <v>2498612</v>
      </c>
      <c r="AR21" s="80">
        <v>570624</v>
      </c>
      <c r="AS21" s="80">
        <v>0</v>
      </c>
      <c r="AT21" s="80">
        <v>1443962</v>
      </c>
      <c r="AU21" s="80">
        <v>0</v>
      </c>
      <c r="AV21" s="80">
        <v>0</v>
      </c>
      <c r="AW21" s="80">
        <v>0</v>
      </c>
      <c r="AX21" s="80">
        <v>400</v>
      </c>
      <c r="AY21" s="80">
        <v>0</v>
      </c>
      <c r="AZ21" s="82">
        <v>1984184.47</v>
      </c>
      <c r="BA21" s="82">
        <v>1011934.08</v>
      </c>
      <c r="BB21" s="84">
        <v>12953367.880000001</v>
      </c>
      <c r="BC21" s="84">
        <v>754785</v>
      </c>
      <c r="BD21" s="84">
        <v>1479972</v>
      </c>
      <c r="BE21" s="84">
        <v>12245391</v>
      </c>
      <c r="BF21" s="84">
        <v>12245391</v>
      </c>
      <c r="BG21" s="84">
        <v>22521948</v>
      </c>
      <c r="BH21" s="84">
        <v>18785542</v>
      </c>
      <c r="BI21" s="84">
        <v>0</v>
      </c>
      <c r="BJ21" s="84">
        <v>0</v>
      </c>
      <c r="BK21" s="85"/>
      <c r="BL21" s="86">
        <v>242949517.40786886</v>
      </c>
      <c r="BM21" s="86">
        <v>167184928.32786885</v>
      </c>
      <c r="BN21" s="87">
        <v>392450</v>
      </c>
      <c r="BO21" s="88"/>
      <c r="BP21" s="89">
        <v>156554116</v>
      </c>
      <c r="BQ21" s="90">
        <v>41834116</v>
      </c>
      <c r="BR21" s="90">
        <v>1132821</v>
      </c>
      <c r="BS21" s="89">
        <v>10619132</v>
      </c>
      <c r="BT21" s="89">
        <v>210140185</v>
      </c>
    </row>
    <row r="22" spans="1:72" x14ac:dyDescent="0.25">
      <c r="A22" s="91" t="s">
        <v>76</v>
      </c>
      <c r="B22" s="80">
        <v>225677140</v>
      </c>
      <c r="C22" s="80">
        <v>60110950</v>
      </c>
      <c r="D22" s="80">
        <v>192903813</v>
      </c>
      <c r="E22" s="80">
        <v>1351989065</v>
      </c>
      <c r="F22" s="80">
        <v>23857800</v>
      </c>
      <c r="G22" s="80">
        <v>2845400</v>
      </c>
      <c r="H22" s="80">
        <v>5533300</v>
      </c>
      <c r="I22" s="80">
        <v>405900</v>
      </c>
      <c r="J22" s="80">
        <v>108800</v>
      </c>
      <c r="K22" s="80">
        <v>36900</v>
      </c>
      <c r="L22" s="80">
        <v>125962790</v>
      </c>
      <c r="M22" s="80">
        <v>42983300</v>
      </c>
      <c r="N22" s="80">
        <v>838</v>
      </c>
      <c r="O22" s="80">
        <v>107</v>
      </c>
      <c r="P22" s="80">
        <v>1378500</v>
      </c>
      <c r="Q22" s="80">
        <v>778700</v>
      </c>
      <c r="R22" s="80">
        <v>1305500</v>
      </c>
      <c r="S22" s="80">
        <v>1988000</v>
      </c>
      <c r="T22" s="80">
        <v>143400</v>
      </c>
      <c r="U22" s="80">
        <v>1452107</v>
      </c>
      <c r="V22" s="80">
        <v>1378500</v>
      </c>
      <c r="W22" s="80">
        <v>917400</v>
      </c>
      <c r="X22" s="80">
        <v>1305500</v>
      </c>
      <c r="Y22" s="80">
        <v>1988000</v>
      </c>
      <c r="Z22" s="80">
        <v>178700</v>
      </c>
      <c r="AA22" s="80">
        <v>1452107</v>
      </c>
      <c r="AB22" s="80">
        <v>-983400</v>
      </c>
      <c r="AC22" s="80">
        <v>-6538</v>
      </c>
      <c r="AD22" s="80">
        <v>22401</v>
      </c>
      <c r="AE22" s="80">
        <v>0</v>
      </c>
      <c r="AF22" s="80">
        <v>67651</v>
      </c>
      <c r="AG22" s="80"/>
      <c r="AH22" s="81">
        <v>0</v>
      </c>
      <c r="AI22" s="80">
        <v>296967.21311475412</v>
      </c>
      <c r="AJ22" s="92">
        <v>0</v>
      </c>
      <c r="AK22" s="82">
        <v>65274820</v>
      </c>
      <c r="AL22" s="83">
        <v>1978311</v>
      </c>
      <c r="AM22" s="80">
        <v>0</v>
      </c>
      <c r="AN22" s="80">
        <v>32899222</v>
      </c>
      <c r="AO22" s="80">
        <v>2095552</v>
      </c>
      <c r="AP22" s="80">
        <v>86547260</v>
      </c>
      <c r="AQ22" s="80">
        <v>21892961</v>
      </c>
      <c r="AR22" s="80">
        <v>9582198</v>
      </c>
      <c r="AS22" s="80">
        <v>8462928</v>
      </c>
      <c r="AT22" s="80">
        <v>640387622</v>
      </c>
      <c r="AU22" s="80">
        <v>23979</v>
      </c>
      <c r="AV22" s="80">
        <v>0</v>
      </c>
      <c r="AW22" s="80">
        <v>0</v>
      </c>
      <c r="AX22" s="80">
        <v>12112835</v>
      </c>
      <c r="AY22" s="80">
        <v>0</v>
      </c>
      <c r="AZ22" s="82">
        <v>3095972.78</v>
      </c>
      <c r="BA22" s="82">
        <v>1578946.12</v>
      </c>
      <c r="BB22" s="84">
        <v>23601036.27</v>
      </c>
      <c r="BC22" s="84">
        <v>1956306</v>
      </c>
      <c r="BD22" s="84">
        <v>3835894</v>
      </c>
      <c r="BE22" s="84">
        <v>53620498</v>
      </c>
      <c r="BF22" s="84">
        <v>53620498</v>
      </c>
      <c r="BG22" s="84">
        <v>48049991</v>
      </c>
      <c r="BH22" s="84">
        <v>46159645</v>
      </c>
      <c r="BI22" s="84">
        <v>0</v>
      </c>
      <c r="BJ22" s="84">
        <v>0</v>
      </c>
      <c r="BK22" s="85"/>
      <c r="BL22" s="86">
        <v>706445131.33311474</v>
      </c>
      <c r="BM22" s="86">
        <v>535876605.21311474</v>
      </c>
      <c r="BN22" s="87">
        <v>746400</v>
      </c>
      <c r="BO22" s="88"/>
      <c r="BP22" s="89">
        <v>478691903</v>
      </c>
      <c r="BQ22" s="90">
        <v>65274820</v>
      </c>
      <c r="BR22" s="90">
        <v>1978311</v>
      </c>
      <c r="BS22" s="89">
        <v>65350663</v>
      </c>
      <c r="BT22" s="89">
        <v>611295697</v>
      </c>
    </row>
    <row r="23" spans="1:72" x14ac:dyDescent="0.25">
      <c r="A23" s="91" t="s">
        <v>77</v>
      </c>
      <c r="B23" s="94">
        <v>385732821</v>
      </c>
      <c r="C23" s="94">
        <v>132913186</v>
      </c>
      <c r="D23" s="94">
        <v>150731352</v>
      </c>
      <c r="E23" s="94">
        <v>0</v>
      </c>
      <c r="F23" s="94">
        <v>49124900</v>
      </c>
      <c r="G23" s="94">
        <v>33579300</v>
      </c>
      <c r="H23" s="94">
        <v>19701750</v>
      </c>
      <c r="I23" s="94">
        <v>7940850</v>
      </c>
      <c r="J23" s="94">
        <v>214500</v>
      </c>
      <c r="K23" s="94">
        <v>103800</v>
      </c>
      <c r="L23" s="94">
        <v>72389997</v>
      </c>
      <c r="M23" s="94">
        <v>71007850</v>
      </c>
      <c r="N23" s="94">
        <v>2221</v>
      </c>
      <c r="O23" s="94">
        <v>1420</v>
      </c>
      <c r="P23" s="94">
        <v>7971600</v>
      </c>
      <c r="Q23" s="94">
        <v>606300</v>
      </c>
      <c r="R23" s="94">
        <v>2706800</v>
      </c>
      <c r="S23" s="94">
        <v>3506230</v>
      </c>
      <c r="T23" s="94">
        <v>465000</v>
      </c>
      <c r="U23" s="94">
        <v>564000</v>
      </c>
      <c r="V23" s="94">
        <v>7971600</v>
      </c>
      <c r="W23" s="94">
        <v>788500</v>
      </c>
      <c r="X23" s="94">
        <v>2706800</v>
      </c>
      <c r="Y23" s="94">
        <v>3506230</v>
      </c>
      <c r="Z23" s="94">
        <v>369200</v>
      </c>
      <c r="AA23" s="94">
        <v>564000</v>
      </c>
      <c r="AB23" s="94">
        <v>-6819020</v>
      </c>
      <c r="AC23" s="94">
        <v>-40086</v>
      </c>
      <c r="AD23" s="94">
        <v>143450</v>
      </c>
      <c r="AE23" s="94">
        <v>0</v>
      </c>
      <c r="AF23" s="94">
        <v>0</v>
      </c>
      <c r="AG23" s="94">
        <v>219313</v>
      </c>
      <c r="AH23" s="81">
        <v>0</v>
      </c>
      <c r="AI23" s="94">
        <v>1730614.7540983607</v>
      </c>
      <c r="AJ23" s="92">
        <v>56000</v>
      </c>
      <c r="AK23" s="82">
        <v>162377834</v>
      </c>
      <c r="AL23" s="83">
        <v>4392726</v>
      </c>
      <c r="AM23" s="94">
        <v>326436</v>
      </c>
      <c r="AN23" s="94">
        <v>19303418</v>
      </c>
      <c r="AO23" s="94">
        <v>2650808</v>
      </c>
      <c r="AP23" s="94">
        <v>28129352</v>
      </c>
      <c r="AQ23" s="94">
        <v>22627757</v>
      </c>
      <c r="AR23" s="94">
        <v>8566681</v>
      </c>
      <c r="AS23" s="94">
        <v>0</v>
      </c>
      <c r="AT23" s="94">
        <v>442364</v>
      </c>
      <c r="AU23" s="94">
        <v>0</v>
      </c>
      <c r="AV23" s="94">
        <v>0</v>
      </c>
      <c r="AW23" s="94">
        <v>0</v>
      </c>
      <c r="AX23" s="94">
        <v>881252</v>
      </c>
      <c r="AY23" s="94">
        <v>25800</v>
      </c>
      <c r="AZ23" s="82">
        <v>7701550.9800000004</v>
      </c>
      <c r="BA23" s="82">
        <v>3927791</v>
      </c>
      <c r="BB23" s="84"/>
      <c r="BC23" s="84">
        <v>0</v>
      </c>
      <c r="BD23" s="84">
        <v>0</v>
      </c>
      <c r="BE23" s="84">
        <v>36899836</v>
      </c>
      <c r="BF23" s="84">
        <v>36899836</v>
      </c>
      <c r="BG23" s="84">
        <v>62089609</v>
      </c>
      <c r="BH23" s="84">
        <v>61686490</v>
      </c>
      <c r="BI23" s="84">
        <v>0</v>
      </c>
      <c r="BJ23" s="84">
        <v>0</v>
      </c>
      <c r="BK23" s="95"/>
      <c r="BL23" s="86">
        <v>985030633.75409842</v>
      </c>
      <c r="BM23" s="86">
        <v>715745956.75409842</v>
      </c>
      <c r="BN23" s="87">
        <v>13955291</v>
      </c>
      <c r="BO23" s="88"/>
      <c r="BP23" s="89">
        <v>669377359</v>
      </c>
      <c r="BQ23" s="90">
        <v>162377834</v>
      </c>
      <c r="BR23" s="90">
        <v>4392726</v>
      </c>
      <c r="BS23" s="89">
        <v>44581983</v>
      </c>
      <c r="BT23" s="89">
        <v>880729902</v>
      </c>
    </row>
    <row r="24" spans="1:72" x14ac:dyDescent="0.25">
      <c r="A24" s="91" t="s">
        <v>78</v>
      </c>
      <c r="B24" s="94">
        <v>213649627</v>
      </c>
      <c r="C24" s="80">
        <v>170559550</v>
      </c>
      <c r="D24" s="80">
        <v>68633450</v>
      </c>
      <c r="E24" s="80">
        <v>0</v>
      </c>
      <c r="F24" s="80">
        <v>40366600</v>
      </c>
      <c r="G24" s="80">
        <v>9534800</v>
      </c>
      <c r="H24" s="80">
        <v>22479900</v>
      </c>
      <c r="I24" s="80">
        <v>2972200</v>
      </c>
      <c r="J24" s="80">
        <v>0</v>
      </c>
      <c r="K24" s="80">
        <v>0</v>
      </c>
      <c r="L24" s="80">
        <v>284762195</v>
      </c>
      <c r="M24" s="80">
        <v>102863000</v>
      </c>
      <c r="N24" s="80">
        <v>1868</v>
      </c>
      <c r="O24" s="80">
        <v>423</v>
      </c>
      <c r="P24" s="80">
        <v>2252200</v>
      </c>
      <c r="Q24" s="80">
        <v>1518000</v>
      </c>
      <c r="R24" s="80">
        <v>3070000</v>
      </c>
      <c r="S24" s="80">
        <v>90000</v>
      </c>
      <c r="T24" s="80">
        <v>20000</v>
      </c>
      <c r="U24" s="80">
        <v>0</v>
      </c>
      <c r="V24" s="80">
        <v>2252200</v>
      </c>
      <c r="W24" s="80">
        <v>1512000</v>
      </c>
      <c r="X24" s="80">
        <v>3070000</v>
      </c>
      <c r="Y24" s="80">
        <v>90000</v>
      </c>
      <c r="Z24" s="80">
        <v>20000</v>
      </c>
      <c r="AA24" s="80">
        <v>0</v>
      </c>
      <c r="AB24" s="80">
        <v>-1578200</v>
      </c>
      <c r="AC24" s="80">
        <v>-64910</v>
      </c>
      <c r="AD24" s="80">
        <v>146713</v>
      </c>
      <c r="AE24" s="80">
        <v>0</v>
      </c>
      <c r="AF24" s="80">
        <v>0</v>
      </c>
      <c r="AG24" s="80">
        <v>269798</v>
      </c>
      <c r="AH24" s="81">
        <v>408254.09836065577</v>
      </c>
      <c r="AI24" s="80">
        <v>75696.721311475412</v>
      </c>
      <c r="AJ24" s="92">
        <v>0</v>
      </c>
      <c r="AK24" s="82">
        <v>78591919</v>
      </c>
      <c r="AL24" s="83">
        <v>2125744</v>
      </c>
      <c r="AM24" s="80">
        <v>0</v>
      </c>
      <c r="AN24" s="80">
        <v>11625090</v>
      </c>
      <c r="AO24" s="80">
        <v>124959</v>
      </c>
      <c r="AP24" s="80">
        <v>18777662</v>
      </c>
      <c r="AQ24" s="80">
        <v>15822910</v>
      </c>
      <c r="AR24" s="80">
        <v>11348505</v>
      </c>
      <c r="AS24" s="80">
        <v>0</v>
      </c>
      <c r="AT24" s="80">
        <v>0</v>
      </c>
      <c r="AU24" s="80">
        <v>0</v>
      </c>
      <c r="AV24" s="80">
        <v>0</v>
      </c>
      <c r="AW24" s="80">
        <v>767717</v>
      </c>
      <c r="AX24" s="80">
        <v>73786</v>
      </c>
      <c r="AY24" s="80">
        <v>0</v>
      </c>
      <c r="AZ24" s="82">
        <v>3727600.35</v>
      </c>
      <c r="BA24" s="82">
        <v>1901076.18</v>
      </c>
      <c r="BB24" s="84"/>
      <c r="BC24" s="84">
        <v>0</v>
      </c>
      <c r="BD24" s="84">
        <v>0</v>
      </c>
      <c r="BE24" s="84">
        <v>20701263</v>
      </c>
      <c r="BF24" s="84">
        <v>20701263</v>
      </c>
      <c r="BG24" s="84">
        <v>50508034</v>
      </c>
      <c r="BH24" s="84">
        <v>49894341</v>
      </c>
      <c r="BI24" s="84">
        <v>0</v>
      </c>
      <c r="BJ24" s="84">
        <v>0</v>
      </c>
      <c r="BK24" s="85"/>
      <c r="BL24" s="86">
        <v>634113879.99967206</v>
      </c>
      <c r="BM24" s="86">
        <v>480899536.81967211</v>
      </c>
      <c r="BN24" s="87">
        <v>636000</v>
      </c>
      <c r="BO24" s="88"/>
      <c r="BP24" s="89">
        <v>452842627</v>
      </c>
      <c r="BQ24" s="90">
        <v>78591919</v>
      </c>
      <c r="BR24" s="90">
        <v>2125744</v>
      </c>
      <c r="BS24" s="89">
        <v>27572959</v>
      </c>
      <c r="BT24" s="89">
        <v>561133249</v>
      </c>
    </row>
    <row r="25" spans="1:72" x14ac:dyDescent="0.25">
      <c r="A25" s="91" t="s">
        <v>79</v>
      </c>
      <c r="B25" s="80">
        <v>1662828096</v>
      </c>
      <c r="C25" s="80">
        <v>420490714</v>
      </c>
      <c r="D25" s="80">
        <v>770483850</v>
      </c>
      <c r="E25" s="80">
        <v>36725293</v>
      </c>
      <c r="F25" s="80">
        <v>116079069</v>
      </c>
      <c r="G25" s="80">
        <v>20192912</v>
      </c>
      <c r="H25" s="80">
        <v>16021160</v>
      </c>
      <c r="I25" s="80">
        <v>1398452</v>
      </c>
      <c r="J25" s="80">
        <v>147600</v>
      </c>
      <c r="K25" s="80">
        <v>0</v>
      </c>
      <c r="L25" s="80">
        <v>1038872224</v>
      </c>
      <c r="M25" s="80">
        <v>197438585</v>
      </c>
      <c r="N25" s="80">
        <v>3713</v>
      </c>
      <c r="O25" s="80">
        <v>639</v>
      </c>
      <c r="P25" s="80">
        <v>18010895</v>
      </c>
      <c r="Q25" s="80">
        <v>6184932</v>
      </c>
      <c r="R25" s="80">
        <v>16286289</v>
      </c>
      <c r="S25" s="80">
        <v>16227374</v>
      </c>
      <c r="T25" s="80">
        <v>3312611</v>
      </c>
      <c r="U25" s="80">
        <v>13404211</v>
      </c>
      <c r="V25" s="80">
        <v>18010895</v>
      </c>
      <c r="W25" s="80">
        <v>6974028</v>
      </c>
      <c r="X25" s="80">
        <v>16286289</v>
      </c>
      <c r="Y25" s="80">
        <v>16227374</v>
      </c>
      <c r="Z25" s="80">
        <v>7012687</v>
      </c>
      <c r="AA25" s="80">
        <v>13404211</v>
      </c>
      <c r="AB25" s="80">
        <v>-6171449</v>
      </c>
      <c r="AC25" s="80">
        <v>1483350</v>
      </c>
      <c r="AD25" s="80">
        <v>45538</v>
      </c>
      <c r="AE25" s="80">
        <v>2819</v>
      </c>
      <c r="AF25" s="80">
        <v>234927330</v>
      </c>
      <c r="AG25" s="80">
        <v>409316</v>
      </c>
      <c r="AH25" s="81">
        <v>3550770.4918032787</v>
      </c>
      <c r="AI25" s="80">
        <v>1905493.442622951</v>
      </c>
      <c r="AJ25" s="92">
        <v>0</v>
      </c>
      <c r="AK25" s="82">
        <v>324610774</v>
      </c>
      <c r="AL25" s="83">
        <v>8091103</v>
      </c>
      <c r="AM25" s="80">
        <v>15000</v>
      </c>
      <c r="AN25" s="80">
        <v>152089738</v>
      </c>
      <c r="AO25" s="80">
        <v>28008704</v>
      </c>
      <c r="AP25" s="80">
        <v>568418132</v>
      </c>
      <c r="AQ25" s="80">
        <v>176104102</v>
      </c>
      <c r="AR25" s="80">
        <v>183812636</v>
      </c>
      <c r="AS25" s="80">
        <v>71489610</v>
      </c>
      <c r="AT25" s="80">
        <v>7275096</v>
      </c>
      <c r="AU25" s="80">
        <v>18771696</v>
      </c>
      <c r="AV25" s="80">
        <v>3133086</v>
      </c>
      <c r="AW25" s="80">
        <v>221054367</v>
      </c>
      <c r="AX25" s="80">
        <v>2274540</v>
      </c>
      <c r="AY25" s="80">
        <v>3048500</v>
      </c>
      <c r="AZ25" s="82">
        <v>15396229.66</v>
      </c>
      <c r="BA25" s="82">
        <v>7852077.1299999999</v>
      </c>
      <c r="BB25" s="84"/>
      <c r="BC25" s="84">
        <v>2066762</v>
      </c>
      <c r="BD25" s="84">
        <v>4052475</v>
      </c>
      <c r="BE25" s="84">
        <v>45187460</v>
      </c>
      <c r="BF25" s="84">
        <v>45187460</v>
      </c>
      <c r="BG25" s="84">
        <v>81969263</v>
      </c>
      <c r="BH25" s="84">
        <v>76035887</v>
      </c>
      <c r="BI25" s="84">
        <v>5390</v>
      </c>
      <c r="BJ25" s="84">
        <v>13323922</v>
      </c>
      <c r="BK25" s="85"/>
      <c r="BL25" s="86">
        <v>3692634843.0644264</v>
      </c>
      <c r="BM25" s="86">
        <v>3215461467.9344263</v>
      </c>
      <c r="BN25" s="87">
        <v>4919026</v>
      </c>
      <c r="BO25" s="88"/>
      <c r="BP25" s="89">
        <v>2853802660</v>
      </c>
      <c r="BQ25" s="90">
        <v>324610774</v>
      </c>
      <c r="BR25" s="90">
        <v>8091103</v>
      </c>
      <c r="BS25" s="89">
        <v>427692154</v>
      </c>
      <c r="BT25" s="89">
        <v>3614196691</v>
      </c>
    </row>
    <row r="26" spans="1:72" x14ac:dyDescent="0.25">
      <c r="A26" s="91" t="s">
        <v>80</v>
      </c>
      <c r="B26" s="80">
        <v>1403659200</v>
      </c>
      <c r="C26" s="80">
        <v>245852800</v>
      </c>
      <c r="D26" s="80">
        <v>579125900</v>
      </c>
      <c r="E26" s="80">
        <v>0</v>
      </c>
      <c r="F26" s="80">
        <v>88273400</v>
      </c>
      <c r="G26" s="80">
        <v>17498100</v>
      </c>
      <c r="H26" s="80">
        <v>13155200</v>
      </c>
      <c r="I26" s="80">
        <v>2332700</v>
      </c>
      <c r="J26" s="80">
        <v>73800</v>
      </c>
      <c r="K26" s="80">
        <v>36900</v>
      </c>
      <c r="L26" s="80">
        <v>481164073</v>
      </c>
      <c r="M26" s="80">
        <v>0</v>
      </c>
      <c r="N26" s="80">
        <v>2815</v>
      </c>
      <c r="O26" s="80">
        <v>564</v>
      </c>
      <c r="P26" s="56">
        <v>5817760</v>
      </c>
      <c r="Q26" s="80">
        <v>516700</v>
      </c>
      <c r="R26" s="80">
        <v>28613500</v>
      </c>
      <c r="S26" s="80">
        <v>6509553</v>
      </c>
      <c r="T26" s="80">
        <v>1645600</v>
      </c>
      <c r="U26" s="80">
        <v>18610017</v>
      </c>
      <c r="V26" s="80">
        <v>5817760</v>
      </c>
      <c r="W26" s="80">
        <v>1021400</v>
      </c>
      <c r="X26" s="80">
        <v>28613500</v>
      </c>
      <c r="Y26" s="80">
        <v>6509553</v>
      </c>
      <c r="Z26" s="80">
        <v>3234396</v>
      </c>
      <c r="AA26" s="80">
        <v>18610017</v>
      </c>
      <c r="AB26" s="80">
        <v>-41433417</v>
      </c>
      <c r="AC26" s="80">
        <v>-6861412</v>
      </c>
      <c r="AD26" s="80">
        <v>0</v>
      </c>
      <c r="AE26" s="80">
        <v>0</v>
      </c>
      <c r="AF26" s="80">
        <v>0</v>
      </c>
      <c r="AG26" s="80">
        <v>0</v>
      </c>
      <c r="AH26" s="81">
        <v>0</v>
      </c>
      <c r="AI26" s="80">
        <v>0</v>
      </c>
      <c r="AJ26" s="92">
        <v>0</v>
      </c>
      <c r="AK26" s="82">
        <v>252239777</v>
      </c>
      <c r="AL26" s="83">
        <v>4877747</v>
      </c>
      <c r="AM26" s="80">
        <v>50</v>
      </c>
      <c r="AN26" s="80">
        <v>84165146</v>
      </c>
      <c r="AO26" s="80">
        <v>10662626</v>
      </c>
      <c r="AP26" s="80">
        <v>287433757</v>
      </c>
      <c r="AQ26" s="80">
        <v>89272453</v>
      </c>
      <c r="AR26" s="80">
        <v>193793910</v>
      </c>
      <c r="AS26" s="80">
        <v>64153845</v>
      </c>
      <c r="AT26" s="80">
        <v>531414</v>
      </c>
      <c r="AU26" s="80">
        <v>0</v>
      </c>
      <c r="AV26" s="80">
        <v>4260534</v>
      </c>
      <c r="AW26" s="80">
        <v>364857</v>
      </c>
      <c r="AX26" s="80">
        <v>1873317</v>
      </c>
      <c r="AY26" s="80">
        <v>10000</v>
      </c>
      <c r="AZ26" s="82">
        <v>11963686.51</v>
      </c>
      <c r="BA26" s="82">
        <v>6101480.1200000001</v>
      </c>
      <c r="BB26" s="84"/>
      <c r="BC26" s="84">
        <v>3140030</v>
      </c>
      <c r="BD26" s="84">
        <v>6156922</v>
      </c>
      <c r="BE26" s="84">
        <v>81983555</v>
      </c>
      <c r="BF26" s="84">
        <v>81444067</v>
      </c>
      <c r="BG26" s="84">
        <v>132860716</v>
      </c>
      <c r="BH26" s="84">
        <v>128306128</v>
      </c>
      <c r="BI26" s="84">
        <v>0</v>
      </c>
      <c r="BJ26" s="84">
        <v>0</v>
      </c>
      <c r="BK26" s="85"/>
      <c r="BL26" s="86">
        <v>2888847354.1199999</v>
      </c>
      <c r="BM26" s="86">
        <v>2412738125</v>
      </c>
      <c r="BN26" s="87">
        <v>1453900</v>
      </c>
      <c r="BO26" s="88"/>
      <c r="BP26" s="89">
        <v>2228637900</v>
      </c>
      <c r="BQ26" s="90">
        <v>252239777</v>
      </c>
      <c r="BR26" s="90">
        <v>4877747</v>
      </c>
      <c r="BS26" s="89">
        <v>248254070</v>
      </c>
      <c r="BT26" s="89">
        <v>2734009494</v>
      </c>
    </row>
    <row r="27" spans="1:72" x14ac:dyDescent="0.25">
      <c r="A27" s="91" t="s">
        <v>81</v>
      </c>
      <c r="B27" s="94">
        <v>189414400</v>
      </c>
      <c r="C27" s="94">
        <v>68711930</v>
      </c>
      <c r="D27" s="94">
        <v>70907300</v>
      </c>
      <c r="E27" s="94">
        <v>0</v>
      </c>
      <c r="F27" s="94">
        <v>41547900</v>
      </c>
      <c r="G27" s="94">
        <v>28248000</v>
      </c>
      <c r="H27" s="94">
        <v>13040700</v>
      </c>
      <c r="I27" s="94">
        <v>4517100</v>
      </c>
      <c r="J27" s="94">
        <v>71900</v>
      </c>
      <c r="K27" s="94">
        <v>73800</v>
      </c>
      <c r="L27" s="94">
        <v>68372550</v>
      </c>
      <c r="M27" s="94">
        <v>47787490</v>
      </c>
      <c r="N27" s="94">
        <v>1724</v>
      </c>
      <c r="O27" s="94">
        <v>1183</v>
      </c>
      <c r="P27" s="94">
        <v>5803600</v>
      </c>
      <c r="Q27" s="94">
        <v>944000</v>
      </c>
      <c r="R27" s="94">
        <v>1040500</v>
      </c>
      <c r="S27" s="94">
        <v>8649000</v>
      </c>
      <c r="T27" s="94">
        <v>1873475</v>
      </c>
      <c r="U27" s="94">
        <v>1517800</v>
      </c>
      <c r="V27" s="94">
        <v>5803600</v>
      </c>
      <c r="W27" s="94">
        <v>1074000</v>
      </c>
      <c r="X27" s="94">
        <v>1040500</v>
      </c>
      <c r="Y27" s="94">
        <v>8649000</v>
      </c>
      <c r="Z27" s="94">
        <v>1549800</v>
      </c>
      <c r="AA27" s="94">
        <v>1517800</v>
      </c>
      <c r="AB27" s="94">
        <v>-3025400</v>
      </c>
      <c r="AC27" s="94">
        <v>-986948</v>
      </c>
      <c r="AD27" s="94">
        <v>182900</v>
      </c>
      <c r="AE27" s="94">
        <v>0</v>
      </c>
      <c r="AF27" s="94">
        <v>0</v>
      </c>
      <c r="AG27" s="94">
        <v>216409</v>
      </c>
      <c r="AH27" s="81">
        <v>3481073.7704918035</v>
      </c>
      <c r="AI27" s="94">
        <v>16738030.327868856</v>
      </c>
      <c r="AJ27" s="92">
        <v>4034745.9016393446</v>
      </c>
      <c r="AK27" s="82">
        <v>95609530</v>
      </c>
      <c r="AL27" s="83">
        <v>2495936</v>
      </c>
      <c r="AM27" s="94">
        <v>0</v>
      </c>
      <c r="AN27" s="94">
        <v>16330759</v>
      </c>
      <c r="AO27" s="94">
        <v>140367</v>
      </c>
      <c r="AP27" s="94">
        <v>21585036</v>
      </c>
      <c r="AQ27" s="94">
        <v>12154521</v>
      </c>
      <c r="AR27" s="94">
        <v>873849</v>
      </c>
      <c r="AS27" s="94">
        <v>0</v>
      </c>
      <c r="AT27" s="94">
        <v>360798</v>
      </c>
      <c r="AU27" s="94">
        <v>0</v>
      </c>
      <c r="AV27" s="94">
        <v>0</v>
      </c>
      <c r="AW27" s="94">
        <v>0</v>
      </c>
      <c r="AX27" s="94">
        <v>27590</v>
      </c>
      <c r="AY27" s="94">
        <v>0</v>
      </c>
      <c r="AZ27" s="82">
        <v>4534742.53</v>
      </c>
      <c r="BA27" s="82">
        <v>2312718.69</v>
      </c>
      <c r="BB27" s="84"/>
      <c r="BC27" s="84">
        <v>654761</v>
      </c>
      <c r="BD27" s="84">
        <v>1283845</v>
      </c>
      <c r="BE27" s="84">
        <v>12605619</v>
      </c>
      <c r="BF27" s="84">
        <v>12605619</v>
      </c>
      <c r="BG27" s="84">
        <v>47066785</v>
      </c>
      <c r="BH27" s="84">
        <v>45542494</v>
      </c>
      <c r="BI27" s="84">
        <v>0</v>
      </c>
      <c r="BJ27" s="84">
        <v>0</v>
      </c>
      <c r="BK27" s="95"/>
      <c r="BL27" s="86">
        <v>541134185.69000006</v>
      </c>
      <c r="BM27" s="86">
        <v>381913127</v>
      </c>
      <c r="BN27" s="87">
        <v>504700</v>
      </c>
      <c r="BO27" s="88"/>
      <c r="BP27" s="89">
        <v>329033630</v>
      </c>
      <c r="BQ27" s="90">
        <v>95609530</v>
      </c>
      <c r="BR27" s="90">
        <v>2495936</v>
      </c>
      <c r="BS27" s="89">
        <v>28625647</v>
      </c>
      <c r="BT27" s="89">
        <v>455764743</v>
      </c>
    </row>
    <row r="28" spans="1:72" x14ac:dyDescent="0.25">
      <c r="A28" s="91" t="s">
        <v>82</v>
      </c>
      <c r="B28" s="80">
        <v>194057196</v>
      </c>
      <c r="C28" s="80">
        <v>70959969</v>
      </c>
      <c r="D28" s="80">
        <v>107697246</v>
      </c>
      <c r="E28" s="80">
        <v>0</v>
      </c>
      <c r="F28" s="80">
        <v>26688300</v>
      </c>
      <c r="G28" s="80">
        <v>9928250</v>
      </c>
      <c r="H28" s="80">
        <v>9696400</v>
      </c>
      <c r="I28" s="80">
        <v>1400850</v>
      </c>
      <c r="J28" s="80">
        <v>36900</v>
      </c>
      <c r="K28" s="80">
        <v>0</v>
      </c>
      <c r="L28" s="80">
        <v>136723440</v>
      </c>
      <c r="M28" s="80">
        <v>46584200</v>
      </c>
      <c r="N28" s="80">
        <v>1096</v>
      </c>
      <c r="O28" s="80">
        <v>375</v>
      </c>
      <c r="P28" s="80">
        <v>1608510</v>
      </c>
      <c r="Q28" s="80">
        <v>821100</v>
      </c>
      <c r="R28" s="80">
        <v>594500</v>
      </c>
      <c r="S28" s="80">
        <v>2383307</v>
      </c>
      <c r="T28" s="80">
        <v>730220</v>
      </c>
      <c r="U28" s="80">
        <v>1063000</v>
      </c>
      <c r="V28" s="80">
        <v>1608510</v>
      </c>
      <c r="W28" s="80">
        <v>992850</v>
      </c>
      <c r="X28" s="80">
        <v>594500</v>
      </c>
      <c r="Y28" s="80">
        <v>2383307</v>
      </c>
      <c r="Z28" s="80">
        <v>1461235</v>
      </c>
      <c r="AA28" s="80">
        <v>1063000</v>
      </c>
      <c r="AB28" s="80">
        <v>-860300</v>
      </c>
      <c r="AC28" s="80">
        <v>-187340</v>
      </c>
      <c r="AD28" s="80">
        <v>48588</v>
      </c>
      <c r="AE28" s="80">
        <v>0</v>
      </c>
      <c r="AF28" s="80">
        <v>0</v>
      </c>
      <c r="AG28" s="80">
        <v>96833</v>
      </c>
      <c r="AH28" s="81">
        <v>6827631.1475409828</v>
      </c>
      <c r="AI28" s="80">
        <v>309918.03278688528</v>
      </c>
      <c r="AJ28" s="92">
        <v>0</v>
      </c>
      <c r="AK28" s="82">
        <v>50834019</v>
      </c>
      <c r="AL28" s="83">
        <v>8099710</v>
      </c>
      <c r="AM28" s="80">
        <v>8141656</v>
      </c>
      <c r="AN28" s="80">
        <v>9876837</v>
      </c>
      <c r="AO28" s="80">
        <v>2434597</v>
      </c>
      <c r="AP28" s="80">
        <v>35446232</v>
      </c>
      <c r="AQ28" s="80">
        <v>10166840</v>
      </c>
      <c r="AR28" s="80">
        <v>1970607</v>
      </c>
      <c r="AS28" s="80">
        <v>0</v>
      </c>
      <c r="AT28" s="80">
        <v>229422</v>
      </c>
      <c r="AU28" s="80">
        <v>0</v>
      </c>
      <c r="AV28" s="80">
        <v>67507</v>
      </c>
      <c r="AW28" s="80">
        <v>0</v>
      </c>
      <c r="AX28" s="80">
        <v>1590</v>
      </c>
      <c r="AY28" s="80">
        <v>20000</v>
      </c>
      <c r="AZ28" s="82">
        <v>2411048.23</v>
      </c>
      <c r="BA28" s="82">
        <v>1229634.6000000001</v>
      </c>
      <c r="BB28" s="84"/>
      <c r="BC28" s="84">
        <v>0</v>
      </c>
      <c r="BD28" s="84">
        <v>0</v>
      </c>
      <c r="BE28" s="84">
        <v>2428657</v>
      </c>
      <c r="BF28" s="84">
        <v>2428657</v>
      </c>
      <c r="BG28" s="84">
        <v>23496707</v>
      </c>
      <c r="BH28" s="84">
        <v>22409429</v>
      </c>
      <c r="BI28" s="84">
        <v>0</v>
      </c>
      <c r="BJ28" s="84">
        <v>0</v>
      </c>
      <c r="BK28" s="85"/>
      <c r="BL28" s="86">
        <v>487331683.78032792</v>
      </c>
      <c r="BM28" s="86">
        <v>402330234.18032789</v>
      </c>
      <c r="BN28" s="87">
        <v>402056</v>
      </c>
      <c r="BO28" s="88"/>
      <c r="BP28" s="89">
        <v>372714411</v>
      </c>
      <c r="BQ28" s="90">
        <v>50834019</v>
      </c>
      <c r="BR28" s="90">
        <v>8099710</v>
      </c>
      <c r="BS28" s="89">
        <v>22478274</v>
      </c>
      <c r="BT28" s="89">
        <v>454126414</v>
      </c>
    </row>
    <row r="29" spans="1:72" x14ac:dyDescent="0.25">
      <c r="A29" s="91" t="s">
        <v>83</v>
      </c>
      <c r="B29" s="80">
        <v>144886771</v>
      </c>
      <c r="C29" s="80">
        <v>124322675</v>
      </c>
      <c r="D29" s="80">
        <v>40821909</v>
      </c>
      <c r="E29" s="80">
        <v>0</v>
      </c>
      <c r="F29" s="80">
        <v>24836411</v>
      </c>
      <c r="G29" s="80">
        <v>4761449</v>
      </c>
      <c r="H29" s="80">
        <v>9153395</v>
      </c>
      <c r="I29" s="80">
        <v>1137733</v>
      </c>
      <c r="J29" s="80">
        <v>17500</v>
      </c>
      <c r="K29" s="80">
        <v>0</v>
      </c>
      <c r="L29" s="80">
        <v>157696995</v>
      </c>
      <c r="M29" s="80">
        <v>57729898</v>
      </c>
      <c r="N29" s="80">
        <v>1018</v>
      </c>
      <c r="O29" s="80">
        <v>193</v>
      </c>
      <c r="P29" s="80">
        <v>2725497</v>
      </c>
      <c r="Q29" s="80">
        <v>1404200</v>
      </c>
      <c r="R29" s="80">
        <v>2854500</v>
      </c>
      <c r="S29" s="80">
        <v>2220024</v>
      </c>
      <c r="T29" s="80">
        <v>1141864</v>
      </c>
      <c r="U29" s="80">
        <v>235800</v>
      </c>
      <c r="V29" s="80">
        <v>2725497</v>
      </c>
      <c r="W29" s="80">
        <v>1457840</v>
      </c>
      <c r="X29" s="80">
        <v>2854500</v>
      </c>
      <c r="Y29" s="80">
        <v>2220024</v>
      </c>
      <c r="Z29" s="80">
        <v>1207310</v>
      </c>
      <c r="AA29" s="80">
        <v>235800</v>
      </c>
      <c r="AB29" s="80">
        <v>-996161</v>
      </c>
      <c r="AC29" s="80">
        <v>0</v>
      </c>
      <c r="AD29" s="80">
        <v>95811</v>
      </c>
      <c r="AE29" s="80">
        <v>4568</v>
      </c>
      <c r="AF29" s="80">
        <v>780226</v>
      </c>
      <c r="AG29" s="80">
        <v>214862</v>
      </c>
      <c r="AH29" s="81">
        <v>0</v>
      </c>
      <c r="AI29" s="80">
        <v>475459.01639344258</v>
      </c>
      <c r="AJ29" s="92">
        <v>0</v>
      </c>
      <c r="AK29" s="82">
        <v>59664201</v>
      </c>
      <c r="AL29" s="83">
        <v>1849171</v>
      </c>
      <c r="AM29" s="80">
        <v>10000</v>
      </c>
      <c r="AN29" s="80">
        <v>10226833</v>
      </c>
      <c r="AO29" s="80">
        <v>139784</v>
      </c>
      <c r="AP29" s="80">
        <v>13439375</v>
      </c>
      <c r="AQ29" s="80">
        <v>10204668</v>
      </c>
      <c r="AR29" s="80">
        <v>25904271</v>
      </c>
      <c r="AS29" s="80">
        <v>25118</v>
      </c>
      <c r="AT29" s="80">
        <v>1031095</v>
      </c>
      <c r="AU29" s="80">
        <v>0</v>
      </c>
      <c r="AV29" s="80">
        <v>0</v>
      </c>
      <c r="AW29" s="80">
        <v>100776</v>
      </c>
      <c r="AX29" s="80">
        <v>1246349</v>
      </c>
      <c r="AY29" s="80">
        <v>527250</v>
      </c>
      <c r="AZ29" s="82">
        <v>2829862.15</v>
      </c>
      <c r="BA29" s="82">
        <v>1443229.7</v>
      </c>
      <c r="BB29" s="84">
        <v>22124352.329999998</v>
      </c>
      <c r="BC29" s="84">
        <v>0</v>
      </c>
      <c r="BD29" s="84">
        <v>0</v>
      </c>
      <c r="BE29" s="84">
        <v>4957372</v>
      </c>
      <c r="BF29" s="84">
        <v>4957372</v>
      </c>
      <c r="BG29" s="84">
        <v>22334329</v>
      </c>
      <c r="BH29" s="84">
        <v>22334329</v>
      </c>
      <c r="BI29" s="84">
        <v>0</v>
      </c>
      <c r="BJ29" s="84">
        <v>0</v>
      </c>
      <c r="BK29" s="85"/>
      <c r="BL29" s="86">
        <v>421326401.71639341</v>
      </c>
      <c r="BM29" s="86">
        <v>331078099.01639342</v>
      </c>
      <c r="BN29" s="87">
        <v>667106</v>
      </c>
      <c r="BO29" s="88"/>
      <c r="BP29" s="89">
        <v>310031355</v>
      </c>
      <c r="BQ29" s="90">
        <v>59664201</v>
      </c>
      <c r="BR29" s="90">
        <v>1849171</v>
      </c>
      <c r="BS29" s="89">
        <v>20596403</v>
      </c>
      <c r="BT29" s="89">
        <v>392141130</v>
      </c>
    </row>
    <row r="30" spans="1:72" x14ac:dyDescent="0.25">
      <c r="A30" s="91" t="s">
        <v>84</v>
      </c>
      <c r="B30" s="80">
        <v>136987904</v>
      </c>
      <c r="C30" s="80">
        <v>104070350</v>
      </c>
      <c r="D30" s="80">
        <v>30790007</v>
      </c>
      <c r="E30" s="80">
        <v>0</v>
      </c>
      <c r="F30" s="80">
        <v>17932250</v>
      </c>
      <c r="G30" s="80">
        <v>4654650</v>
      </c>
      <c r="H30" s="80">
        <v>7870900</v>
      </c>
      <c r="I30" s="80">
        <v>987400</v>
      </c>
      <c r="J30" s="80">
        <v>36900</v>
      </c>
      <c r="K30" s="80">
        <v>0</v>
      </c>
      <c r="L30" s="80">
        <v>148315792</v>
      </c>
      <c r="M30" s="80">
        <v>51590300</v>
      </c>
      <c r="N30" s="80">
        <v>730</v>
      </c>
      <c r="O30" s="80">
        <v>172</v>
      </c>
      <c r="P30" s="80">
        <v>2059500</v>
      </c>
      <c r="Q30" s="80">
        <v>604500</v>
      </c>
      <c r="R30" s="80">
        <v>515000</v>
      </c>
      <c r="S30" s="80">
        <v>1834469</v>
      </c>
      <c r="T30" s="80">
        <v>415300</v>
      </c>
      <c r="U30" s="80">
        <v>578830</v>
      </c>
      <c r="V30" s="80">
        <v>2059500</v>
      </c>
      <c r="W30" s="80">
        <v>728705</v>
      </c>
      <c r="X30" s="80">
        <v>515000</v>
      </c>
      <c r="Y30" s="80">
        <v>1834469</v>
      </c>
      <c r="Z30" s="80">
        <v>914800</v>
      </c>
      <c r="AA30" s="80">
        <v>578930</v>
      </c>
      <c r="AB30" s="80">
        <v>-919700</v>
      </c>
      <c r="AC30" s="80">
        <v>0</v>
      </c>
      <c r="AD30" s="80">
        <v>166884</v>
      </c>
      <c r="AE30" s="80">
        <v>0</v>
      </c>
      <c r="AF30" s="80">
        <v>0</v>
      </c>
      <c r="AG30" s="80">
        <v>0</v>
      </c>
      <c r="AH30" s="81">
        <v>7497598.360655738</v>
      </c>
      <c r="AI30" s="80">
        <v>0</v>
      </c>
      <c r="AJ30" s="92">
        <v>0</v>
      </c>
      <c r="AK30" s="82">
        <v>37687699</v>
      </c>
      <c r="AL30" s="83">
        <v>5305178</v>
      </c>
      <c r="AM30" s="80">
        <v>5901795</v>
      </c>
      <c r="AN30" s="80">
        <v>7233039</v>
      </c>
      <c r="AO30" s="80">
        <v>30332</v>
      </c>
      <c r="AP30" s="80">
        <v>822939</v>
      </c>
      <c r="AQ30" s="80">
        <v>4287762</v>
      </c>
      <c r="AR30" s="80">
        <v>6274466</v>
      </c>
      <c r="AS30" s="80">
        <v>0</v>
      </c>
      <c r="AT30" s="80">
        <v>1193573</v>
      </c>
      <c r="AU30" s="80">
        <v>0</v>
      </c>
      <c r="AV30" s="80">
        <v>0</v>
      </c>
      <c r="AW30" s="80">
        <v>0</v>
      </c>
      <c r="AX30" s="80">
        <v>6530</v>
      </c>
      <c r="AY30" s="80">
        <v>18150</v>
      </c>
      <c r="AZ30" s="82">
        <v>1787520.67</v>
      </c>
      <c r="BA30" s="82">
        <v>911635.54</v>
      </c>
      <c r="BB30" s="84"/>
      <c r="BC30" s="84">
        <v>0</v>
      </c>
      <c r="BD30" s="84">
        <v>0</v>
      </c>
      <c r="BE30" s="84">
        <v>686580</v>
      </c>
      <c r="BF30" s="84">
        <v>686580</v>
      </c>
      <c r="BG30" s="84">
        <v>22135647</v>
      </c>
      <c r="BH30" s="84">
        <v>21769652</v>
      </c>
      <c r="BI30" s="84">
        <v>0</v>
      </c>
      <c r="BJ30" s="84">
        <v>0</v>
      </c>
      <c r="BK30" s="85"/>
      <c r="BL30" s="86">
        <v>357257736.90065575</v>
      </c>
      <c r="BM30" s="86">
        <v>290896992.36065573</v>
      </c>
      <c r="BN30" s="87">
        <v>361616</v>
      </c>
      <c r="BO30" s="88"/>
      <c r="BP30" s="89">
        <v>271848261</v>
      </c>
      <c r="BQ30" s="90">
        <v>37687699</v>
      </c>
      <c r="BR30" s="90">
        <v>5305178</v>
      </c>
      <c r="BS30" s="89">
        <v>11551133</v>
      </c>
      <c r="BT30" s="89">
        <v>326392271</v>
      </c>
    </row>
    <row r="31" spans="1:72" x14ac:dyDescent="0.25">
      <c r="A31" s="91" t="s">
        <v>85</v>
      </c>
      <c r="B31" s="80">
        <v>3332933224</v>
      </c>
      <c r="C31" s="80">
        <v>365622853</v>
      </c>
      <c r="D31" s="80">
        <v>1421930613</v>
      </c>
      <c r="E31" s="80">
        <v>0</v>
      </c>
      <c r="F31" s="80">
        <v>283876455</v>
      </c>
      <c r="G31" s="80">
        <v>34251350</v>
      </c>
      <c r="H31" s="80">
        <v>20790600</v>
      </c>
      <c r="I31" s="80">
        <v>1273500</v>
      </c>
      <c r="J31" s="80">
        <v>1182700</v>
      </c>
      <c r="K31" s="80">
        <v>36900</v>
      </c>
      <c r="L31" s="80">
        <v>835744414</v>
      </c>
      <c r="M31" s="80">
        <v>207876617</v>
      </c>
      <c r="N31" s="80">
        <v>8412</v>
      </c>
      <c r="O31" s="80">
        <v>1009</v>
      </c>
      <c r="P31" s="80">
        <v>55073655</v>
      </c>
      <c r="Q31" s="80">
        <v>16070655</v>
      </c>
      <c r="R31" s="80">
        <v>95924774</v>
      </c>
      <c r="S31" s="80">
        <v>20474484</v>
      </c>
      <c r="T31" s="80">
        <v>6196970</v>
      </c>
      <c r="U31" s="80">
        <v>15763480</v>
      </c>
      <c r="V31" s="80">
        <v>55073655</v>
      </c>
      <c r="W31" s="80">
        <v>55325991</v>
      </c>
      <c r="X31" s="80">
        <v>95924420</v>
      </c>
      <c r="Y31" s="80">
        <v>20474484</v>
      </c>
      <c r="Z31" s="80">
        <v>19152388</v>
      </c>
      <c r="AA31" s="80">
        <v>15763352</v>
      </c>
      <c r="AB31" s="80">
        <v>-16497544</v>
      </c>
      <c r="AC31" s="80">
        <v>-1946557</v>
      </c>
      <c r="AD31" s="80">
        <v>0</v>
      </c>
      <c r="AE31" s="80">
        <v>0</v>
      </c>
      <c r="AF31" s="80">
        <v>0</v>
      </c>
      <c r="AG31" s="80">
        <v>250089</v>
      </c>
      <c r="AH31" s="81">
        <v>10131131.147540983</v>
      </c>
      <c r="AI31" s="80">
        <v>214991.80327868855</v>
      </c>
      <c r="AJ31" s="92">
        <v>2282942.6229508198</v>
      </c>
      <c r="AK31" s="82">
        <v>627499808</v>
      </c>
      <c r="AL31" s="83">
        <v>13435955</v>
      </c>
      <c r="AM31" s="80">
        <v>251545</v>
      </c>
      <c r="AN31" s="80">
        <v>221298377</v>
      </c>
      <c r="AO31" s="80">
        <v>36719794</v>
      </c>
      <c r="AP31" s="80">
        <v>342677820</v>
      </c>
      <c r="AQ31" s="80">
        <v>244723639</v>
      </c>
      <c r="AR31" s="80">
        <v>222206421</v>
      </c>
      <c r="AS31" s="80">
        <v>35822390</v>
      </c>
      <c r="AT31" s="80">
        <v>277742691</v>
      </c>
      <c r="AU31" s="80">
        <v>39936437</v>
      </c>
      <c r="AV31" s="80">
        <v>6516912</v>
      </c>
      <c r="AW31" s="80">
        <v>81445362</v>
      </c>
      <c r="AX31" s="80">
        <v>4208390</v>
      </c>
      <c r="AY31" s="80">
        <v>5984092</v>
      </c>
      <c r="AZ31" s="82">
        <v>29762201.170000002</v>
      </c>
      <c r="BA31" s="82">
        <v>15178722.6</v>
      </c>
      <c r="BB31" s="84">
        <v>34507772.020000003</v>
      </c>
      <c r="BC31" s="84">
        <v>1817008</v>
      </c>
      <c r="BD31" s="84">
        <v>3562761</v>
      </c>
      <c r="BE31" s="84">
        <v>62195282</v>
      </c>
      <c r="BF31" s="84">
        <v>62195282</v>
      </c>
      <c r="BG31" s="84">
        <v>130131636</v>
      </c>
      <c r="BH31" s="84">
        <v>125808140</v>
      </c>
      <c r="BI31" s="84">
        <v>27239375</v>
      </c>
      <c r="BJ31" s="84">
        <v>0</v>
      </c>
      <c r="BK31" s="85"/>
      <c r="BL31" s="86">
        <v>6509031856.1737709</v>
      </c>
      <c r="BM31" s="86">
        <v>5635857565.5737705</v>
      </c>
      <c r="BN31" s="87">
        <v>2753380</v>
      </c>
      <c r="BO31" s="88"/>
      <c r="BP31" s="89">
        <v>5120486690</v>
      </c>
      <c r="BQ31" s="90">
        <v>627499808</v>
      </c>
      <c r="BR31" s="90">
        <v>13435955</v>
      </c>
      <c r="BS31" s="89">
        <v>538564200</v>
      </c>
      <c r="BT31" s="89">
        <v>6299986653</v>
      </c>
    </row>
    <row r="32" spans="1:72" x14ac:dyDescent="0.25">
      <c r="A32" s="91" t="s">
        <v>86</v>
      </c>
      <c r="B32" s="80">
        <v>365361709</v>
      </c>
      <c r="C32" s="80">
        <v>110621058</v>
      </c>
      <c r="D32" s="80">
        <v>43139926</v>
      </c>
      <c r="E32" s="80">
        <v>0</v>
      </c>
      <c r="F32" s="80">
        <v>27985689</v>
      </c>
      <c r="G32" s="80">
        <v>10358900</v>
      </c>
      <c r="H32" s="80">
        <v>13791709</v>
      </c>
      <c r="I32" s="80">
        <v>1811350</v>
      </c>
      <c r="J32" s="80">
        <v>36900</v>
      </c>
      <c r="K32" s="80">
        <v>0</v>
      </c>
      <c r="L32" s="80">
        <v>169002086</v>
      </c>
      <c r="M32" s="80">
        <v>85329040</v>
      </c>
      <c r="N32" s="80">
        <v>1225</v>
      </c>
      <c r="O32" s="80">
        <v>401</v>
      </c>
      <c r="P32" s="80">
        <v>6211600</v>
      </c>
      <c r="Q32" s="80">
        <v>634748</v>
      </c>
      <c r="R32" s="80">
        <v>388000</v>
      </c>
      <c r="S32" s="80">
        <v>848000</v>
      </c>
      <c r="T32" s="80">
        <v>92000</v>
      </c>
      <c r="U32" s="80">
        <v>17000</v>
      </c>
      <c r="V32" s="80">
        <v>6211600</v>
      </c>
      <c r="W32" s="80">
        <v>187000</v>
      </c>
      <c r="X32" s="80">
        <v>388000</v>
      </c>
      <c r="Y32" s="80">
        <v>848000</v>
      </c>
      <c r="Z32" s="80">
        <v>75000</v>
      </c>
      <c r="AA32" s="80">
        <v>17000</v>
      </c>
      <c r="AB32" s="80">
        <v>-1842175</v>
      </c>
      <c r="AC32" s="80">
        <v>3621</v>
      </c>
      <c r="AD32" s="80">
        <v>65278</v>
      </c>
      <c r="AE32" s="80">
        <v>7845</v>
      </c>
      <c r="AF32" s="80">
        <v>9651356</v>
      </c>
      <c r="AG32" s="80">
        <v>138067</v>
      </c>
      <c r="AH32" s="81">
        <v>1990704.9180327868</v>
      </c>
      <c r="AI32" s="80">
        <v>251395.90163934429</v>
      </c>
      <c r="AJ32" s="92">
        <v>0</v>
      </c>
      <c r="AK32" s="82">
        <v>65887240</v>
      </c>
      <c r="AL32" s="83">
        <v>6800516</v>
      </c>
      <c r="AM32" s="80">
        <v>873500</v>
      </c>
      <c r="AN32" s="80">
        <v>5255183</v>
      </c>
      <c r="AO32" s="80">
        <v>58530</v>
      </c>
      <c r="AP32" s="80">
        <v>3176693</v>
      </c>
      <c r="AQ32" s="80">
        <v>5730600</v>
      </c>
      <c r="AR32" s="80">
        <v>1332728</v>
      </c>
      <c r="AS32" s="80">
        <v>0</v>
      </c>
      <c r="AT32" s="80">
        <v>831962</v>
      </c>
      <c r="AU32" s="80">
        <v>0</v>
      </c>
      <c r="AV32" s="80">
        <v>0</v>
      </c>
      <c r="AW32" s="80">
        <v>0</v>
      </c>
      <c r="AX32" s="80">
        <v>0</v>
      </c>
      <c r="AY32" s="80">
        <v>25000</v>
      </c>
      <c r="AZ32" s="82">
        <v>3125019.75</v>
      </c>
      <c r="BA32" s="82">
        <v>1593760.07</v>
      </c>
      <c r="BB32" s="84"/>
      <c r="BC32" s="84">
        <v>272459</v>
      </c>
      <c r="BD32" s="84">
        <v>534234</v>
      </c>
      <c r="BE32" s="84">
        <v>2625959</v>
      </c>
      <c r="BF32" s="84">
        <v>2625959</v>
      </c>
      <c r="BG32" s="84">
        <v>17052840</v>
      </c>
      <c r="BH32" s="84">
        <v>16479272</v>
      </c>
      <c r="BI32" s="84">
        <v>0</v>
      </c>
      <c r="BJ32" s="84">
        <v>0</v>
      </c>
      <c r="BK32" s="85"/>
      <c r="BL32" s="86">
        <v>626068312.88967216</v>
      </c>
      <c r="BM32" s="86">
        <v>532409106.81967211</v>
      </c>
      <c r="BN32" s="87">
        <v>318800</v>
      </c>
      <c r="BO32" s="88"/>
      <c r="BP32" s="89">
        <v>519122693</v>
      </c>
      <c r="BQ32" s="90">
        <v>65887240</v>
      </c>
      <c r="BR32" s="90">
        <v>6800516</v>
      </c>
      <c r="BS32" s="89">
        <v>11044313</v>
      </c>
      <c r="BT32" s="89">
        <v>602854762</v>
      </c>
    </row>
    <row r="33" spans="1:72" x14ac:dyDescent="0.25">
      <c r="A33" s="91" t="s">
        <v>87</v>
      </c>
      <c r="B33" s="80">
        <v>62533841</v>
      </c>
      <c r="C33" s="80">
        <v>58405501</v>
      </c>
      <c r="D33" s="80">
        <v>13114691</v>
      </c>
      <c r="E33" s="80">
        <v>0</v>
      </c>
      <c r="F33" s="80">
        <v>7818708</v>
      </c>
      <c r="G33" s="80">
        <v>7738723</v>
      </c>
      <c r="H33" s="80">
        <v>11401622</v>
      </c>
      <c r="I33" s="80">
        <v>5402178</v>
      </c>
      <c r="J33" s="80">
        <v>0</v>
      </c>
      <c r="K33" s="80">
        <v>0</v>
      </c>
      <c r="L33" s="80">
        <v>95823524</v>
      </c>
      <c r="M33" s="80">
        <v>17</v>
      </c>
      <c r="N33" s="80">
        <v>606</v>
      </c>
      <c r="O33" s="80">
        <v>445</v>
      </c>
      <c r="P33" s="80">
        <v>1805308</v>
      </c>
      <c r="Q33" s="80">
        <v>1124625</v>
      </c>
      <c r="R33" s="80">
        <v>248524</v>
      </c>
      <c r="S33" s="80">
        <v>1425199</v>
      </c>
      <c r="T33" s="80">
        <v>462971</v>
      </c>
      <c r="U33" s="80">
        <v>602750</v>
      </c>
      <c r="V33" s="80">
        <v>1805308</v>
      </c>
      <c r="W33" s="80">
        <v>1183812</v>
      </c>
      <c r="X33" s="80">
        <v>248524</v>
      </c>
      <c r="Y33" s="80">
        <v>1425199</v>
      </c>
      <c r="Z33" s="80">
        <v>662578</v>
      </c>
      <c r="AA33" s="80">
        <v>602750</v>
      </c>
      <c r="AB33" s="80">
        <v>-595760</v>
      </c>
      <c r="AC33" s="80">
        <v>0</v>
      </c>
      <c r="AD33" s="80">
        <v>120618</v>
      </c>
      <c r="AE33" s="80">
        <v>0</v>
      </c>
      <c r="AF33" s="80">
        <v>0</v>
      </c>
      <c r="AG33" s="80">
        <v>137710</v>
      </c>
      <c r="AH33" s="81">
        <v>2693155.7377049183</v>
      </c>
      <c r="AI33" s="80">
        <v>7731.1475409836066</v>
      </c>
      <c r="AJ33" s="92">
        <v>1099393.4426229508</v>
      </c>
      <c r="AK33" s="82">
        <v>29910431</v>
      </c>
      <c r="AL33" s="83">
        <v>965780</v>
      </c>
      <c r="AM33" s="80">
        <v>0</v>
      </c>
      <c r="AN33" s="80">
        <v>4648135</v>
      </c>
      <c r="AO33" s="80">
        <v>41778</v>
      </c>
      <c r="AP33" s="80">
        <v>82820</v>
      </c>
      <c r="AQ33" s="80">
        <v>1029333</v>
      </c>
      <c r="AR33" s="80">
        <v>129245</v>
      </c>
      <c r="AS33" s="80">
        <v>0</v>
      </c>
      <c r="AT33" s="80">
        <v>510003</v>
      </c>
      <c r="AU33" s="80">
        <v>0</v>
      </c>
      <c r="AV33" s="80">
        <v>0</v>
      </c>
      <c r="AW33" s="80">
        <v>0</v>
      </c>
      <c r="AX33" s="80">
        <v>0</v>
      </c>
      <c r="AY33" s="80">
        <v>0</v>
      </c>
      <c r="AZ33" s="82">
        <v>1418646.27</v>
      </c>
      <c r="BA33" s="82">
        <v>723509.6</v>
      </c>
      <c r="BB33" s="84"/>
      <c r="BC33" s="84">
        <v>0</v>
      </c>
      <c r="BD33" s="84">
        <v>0</v>
      </c>
      <c r="BE33" s="84">
        <v>3593959</v>
      </c>
      <c r="BF33" s="84">
        <v>3593959</v>
      </c>
      <c r="BG33" s="84">
        <v>30116659</v>
      </c>
      <c r="BH33" s="84">
        <v>30102490</v>
      </c>
      <c r="BI33" s="84">
        <v>0</v>
      </c>
      <c r="BJ33" s="84">
        <v>0</v>
      </c>
      <c r="BK33" s="85"/>
      <c r="BL33" s="86">
        <v>208869728.92786887</v>
      </c>
      <c r="BM33" s="86">
        <v>143573559.32786888</v>
      </c>
      <c r="BN33" s="87">
        <v>215481</v>
      </c>
      <c r="BO33" s="88"/>
      <c r="BP33" s="89">
        <v>134054033</v>
      </c>
      <c r="BQ33" s="90">
        <v>29910431</v>
      </c>
      <c r="BR33" s="90">
        <v>965780</v>
      </c>
      <c r="BS33" s="89">
        <v>5719246</v>
      </c>
      <c r="BT33" s="89">
        <v>170649490</v>
      </c>
    </row>
    <row r="34" spans="1:72" x14ac:dyDescent="0.25">
      <c r="A34" s="91" t="s">
        <v>88</v>
      </c>
      <c r="B34" s="80">
        <v>214372330</v>
      </c>
      <c r="C34" s="80">
        <v>97896127</v>
      </c>
      <c r="D34" s="80">
        <v>61375579</v>
      </c>
      <c r="E34" s="80">
        <v>0</v>
      </c>
      <c r="F34" s="80">
        <v>35225456</v>
      </c>
      <c r="G34" s="80">
        <v>13320735</v>
      </c>
      <c r="H34" s="80">
        <v>11040667</v>
      </c>
      <c r="I34" s="80">
        <v>2730751</v>
      </c>
      <c r="J34" s="80">
        <v>146700</v>
      </c>
      <c r="K34" s="80">
        <v>72452</v>
      </c>
      <c r="L34" s="80">
        <v>81234596</v>
      </c>
      <c r="M34" s="80">
        <v>2235700</v>
      </c>
      <c r="N34" s="80">
        <v>1358</v>
      </c>
      <c r="O34" s="80">
        <v>500</v>
      </c>
      <c r="P34" s="80">
        <v>1306400</v>
      </c>
      <c r="Q34" s="80">
        <v>741360</v>
      </c>
      <c r="R34" s="80">
        <v>615500</v>
      </c>
      <c r="S34" s="80">
        <v>3389558</v>
      </c>
      <c r="T34" s="80">
        <v>1171797</v>
      </c>
      <c r="U34" s="80">
        <v>1085920</v>
      </c>
      <c r="V34" s="80">
        <v>1306400</v>
      </c>
      <c r="W34" s="80">
        <v>802760</v>
      </c>
      <c r="X34" s="80">
        <v>615500</v>
      </c>
      <c r="Y34" s="80">
        <v>3389558</v>
      </c>
      <c r="Z34" s="80">
        <v>1037471</v>
      </c>
      <c r="AA34" s="80">
        <v>1085920</v>
      </c>
      <c r="AB34" s="80">
        <v>-2611896</v>
      </c>
      <c r="AC34" s="80">
        <v>-11543</v>
      </c>
      <c r="AD34" s="80">
        <v>92093</v>
      </c>
      <c r="AE34" s="80">
        <v>12145</v>
      </c>
      <c r="AF34" s="80">
        <v>11457398</v>
      </c>
      <c r="AG34" s="80">
        <v>138371</v>
      </c>
      <c r="AH34" s="81">
        <v>5436016.3934426233</v>
      </c>
      <c r="AI34" s="80">
        <v>65508.196721311477</v>
      </c>
      <c r="AJ34" s="92">
        <v>0</v>
      </c>
      <c r="AK34" s="82">
        <v>73072581</v>
      </c>
      <c r="AL34" s="83">
        <v>1489487</v>
      </c>
      <c r="AM34" s="80">
        <v>0</v>
      </c>
      <c r="AN34" s="80">
        <v>10960741</v>
      </c>
      <c r="AO34" s="80">
        <v>200468</v>
      </c>
      <c r="AP34" s="80">
        <v>2291955</v>
      </c>
      <c r="AQ34" s="80">
        <v>6317271</v>
      </c>
      <c r="AR34" s="80">
        <v>1617540</v>
      </c>
      <c r="AS34" s="80">
        <v>0</v>
      </c>
      <c r="AT34" s="80">
        <v>16557</v>
      </c>
      <c r="AU34" s="80">
        <v>0</v>
      </c>
      <c r="AV34" s="80">
        <v>0</v>
      </c>
      <c r="AW34" s="80">
        <v>0</v>
      </c>
      <c r="AX34" s="80">
        <v>51927</v>
      </c>
      <c r="AY34" s="80">
        <v>0</v>
      </c>
      <c r="AZ34" s="82">
        <v>3465819.16</v>
      </c>
      <c r="BA34" s="82">
        <v>1767567.77</v>
      </c>
      <c r="BB34" s="84"/>
      <c r="BC34" s="84">
        <v>4413961</v>
      </c>
      <c r="BD34" s="84">
        <v>8654825</v>
      </c>
      <c r="BE34" s="84">
        <v>18342415</v>
      </c>
      <c r="BF34" s="84">
        <v>18342415</v>
      </c>
      <c r="BG34" s="84">
        <v>33701069</v>
      </c>
      <c r="BH34" s="84">
        <v>30574803</v>
      </c>
      <c r="BI34" s="84">
        <v>0</v>
      </c>
      <c r="BJ34" s="84">
        <v>0</v>
      </c>
      <c r="BK34" s="85"/>
      <c r="BL34" s="86">
        <v>526284855.36016393</v>
      </c>
      <c r="BM34" s="86">
        <v>396624040.59016395</v>
      </c>
      <c r="BN34" s="87">
        <v>391160</v>
      </c>
      <c r="BO34" s="88"/>
      <c r="BP34" s="89">
        <v>373644036</v>
      </c>
      <c r="BQ34" s="90">
        <v>73072581</v>
      </c>
      <c r="BR34" s="90">
        <v>1489487</v>
      </c>
      <c r="BS34" s="89">
        <v>17478480</v>
      </c>
      <c r="BT34" s="89">
        <v>465684584</v>
      </c>
    </row>
    <row r="35" spans="1:72" x14ac:dyDescent="0.25">
      <c r="A35" s="91" t="s">
        <v>89</v>
      </c>
      <c r="B35" s="80">
        <v>15741024300</v>
      </c>
      <c r="C35" s="80">
        <v>919465700</v>
      </c>
      <c r="D35" s="80">
        <v>7162151100</v>
      </c>
      <c r="E35" s="80">
        <v>0</v>
      </c>
      <c r="F35" s="80">
        <v>670958400</v>
      </c>
      <c r="G35" s="80">
        <v>43918700</v>
      </c>
      <c r="H35" s="80">
        <v>13210200</v>
      </c>
      <c r="I35" s="80">
        <v>369000</v>
      </c>
      <c r="J35" s="80">
        <v>922500</v>
      </c>
      <c r="K35" s="80">
        <v>36900</v>
      </c>
      <c r="L35" s="80">
        <v>1618334200</v>
      </c>
      <c r="M35" s="80">
        <v>590627100</v>
      </c>
      <c r="N35" s="80">
        <v>18698</v>
      </c>
      <c r="O35" s="80">
        <v>1242</v>
      </c>
      <c r="P35" s="80">
        <v>165346900</v>
      </c>
      <c r="Q35" s="80">
        <v>17090900</v>
      </c>
      <c r="R35" s="80">
        <v>134082700</v>
      </c>
      <c r="S35" s="80">
        <v>56870200</v>
      </c>
      <c r="T35" s="80">
        <v>7294200</v>
      </c>
      <c r="U35" s="80">
        <v>36616500</v>
      </c>
      <c r="V35" s="80">
        <v>165346900</v>
      </c>
      <c r="W35" s="80">
        <v>28397200</v>
      </c>
      <c r="X35" s="80">
        <v>134082700</v>
      </c>
      <c r="Y35" s="80">
        <v>56870200</v>
      </c>
      <c r="Z35" s="80">
        <v>36874800</v>
      </c>
      <c r="AA35" s="80">
        <v>36616500</v>
      </c>
      <c r="AB35" s="80">
        <v>8326500</v>
      </c>
      <c r="AC35" s="80">
        <v>-3941994</v>
      </c>
      <c r="AD35" s="80">
        <v>0</v>
      </c>
      <c r="AE35" s="80">
        <v>0</v>
      </c>
      <c r="AF35" s="80">
        <v>0</v>
      </c>
      <c r="AG35" s="80">
        <v>0</v>
      </c>
      <c r="AH35" s="81">
        <v>0</v>
      </c>
      <c r="AI35" s="80">
        <v>1079811.475409836</v>
      </c>
      <c r="AJ35" s="92">
        <v>0</v>
      </c>
      <c r="AK35" s="82">
        <v>2062340878</v>
      </c>
      <c r="AL35" s="83">
        <v>22199109</v>
      </c>
      <c r="AM35" s="80">
        <v>7000</v>
      </c>
      <c r="AN35" s="80">
        <v>1068241428</v>
      </c>
      <c r="AO35" s="80">
        <v>20517901</v>
      </c>
      <c r="AP35" s="80">
        <v>484895784</v>
      </c>
      <c r="AQ35" s="80">
        <v>763017209</v>
      </c>
      <c r="AR35" s="80">
        <v>387530986</v>
      </c>
      <c r="AS35" s="80">
        <v>300531869</v>
      </c>
      <c r="AT35" s="80">
        <v>490959937</v>
      </c>
      <c r="AU35" s="80">
        <v>2649404</v>
      </c>
      <c r="AV35" s="80">
        <v>37831</v>
      </c>
      <c r="AW35" s="80">
        <v>110593684</v>
      </c>
      <c r="AX35" s="80">
        <v>3129969</v>
      </c>
      <c r="AY35" s="80">
        <v>76450143</v>
      </c>
      <c r="AZ35" s="82">
        <v>97816450.799999997</v>
      </c>
      <c r="BA35" s="82">
        <v>49886389.909999996</v>
      </c>
      <c r="BB35" s="84"/>
      <c r="BC35" s="84">
        <v>4449552</v>
      </c>
      <c r="BD35" s="84">
        <v>8724612</v>
      </c>
      <c r="BE35" s="84">
        <v>303676046</v>
      </c>
      <c r="BF35" s="84">
        <v>297895106</v>
      </c>
      <c r="BG35" s="84">
        <v>571034680</v>
      </c>
      <c r="BH35" s="84">
        <v>539720264</v>
      </c>
      <c r="BI35" s="84">
        <v>4691</v>
      </c>
      <c r="BJ35" s="84">
        <v>0</v>
      </c>
      <c r="BK35" s="85"/>
      <c r="BL35" s="86">
        <v>28651993439.38541</v>
      </c>
      <c r="BM35" s="86">
        <v>25675497449.47541</v>
      </c>
      <c r="BN35" s="87">
        <v>14469800</v>
      </c>
      <c r="BO35" s="88"/>
      <c r="BP35" s="89">
        <v>23822641100</v>
      </c>
      <c r="BQ35" s="90">
        <v>2062340878</v>
      </c>
      <c r="BR35" s="90">
        <v>22199109</v>
      </c>
      <c r="BS35" s="89">
        <v>2152308407</v>
      </c>
      <c r="BT35" s="89">
        <v>28059489494</v>
      </c>
    </row>
    <row r="36" spans="1:72" x14ac:dyDescent="0.25">
      <c r="A36" s="91" t="s">
        <v>90</v>
      </c>
      <c r="B36" s="80">
        <v>259404613</v>
      </c>
      <c r="C36" s="80">
        <v>176179200</v>
      </c>
      <c r="D36" s="80">
        <v>55672200</v>
      </c>
      <c r="E36" s="80">
        <v>0</v>
      </c>
      <c r="F36" s="80">
        <v>35919500</v>
      </c>
      <c r="G36" s="80">
        <v>8610720</v>
      </c>
      <c r="H36" s="80">
        <v>14048500</v>
      </c>
      <c r="I36" s="80">
        <v>1965500</v>
      </c>
      <c r="J36" s="80">
        <v>73800</v>
      </c>
      <c r="K36" s="80">
        <v>36900</v>
      </c>
      <c r="L36" s="80">
        <v>212872725</v>
      </c>
      <c r="M36" s="80">
        <v>92283100</v>
      </c>
      <c r="N36" s="80">
        <v>1457</v>
      </c>
      <c r="O36" s="80">
        <v>326</v>
      </c>
      <c r="P36" s="80">
        <v>3926700</v>
      </c>
      <c r="Q36" s="80">
        <v>2439700</v>
      </c>
      <c r="R36" s="80">
        <v>803200</v>
      </c>
      <c r="S36" s="80">
        <v>1709250</v>
      </c>
      <c r="T36" s="80">
        <v>1239300</v>
      </c>
      <c r="U36" s="80">
        <v>343500</v>
      </c>
      <c r="V36" s="80">
        <v>3926700</v>
      </c>
      <c r="W36" s="80">
        <v>2636400</v>
      </c>
      <c r="X36" s="80">
        <v>803200</v>
      </c>
      <c r="Y36" s="80">
        <v>1709250</v>
      </c>
      <c r="Z36" s="80">
        <v>1219100</v>
      </c>
      <c r="AA36" s="80">
        <v>343500</v>
      </c>
      <c r="AB36" s="80">
        <v>-993200</v>
      </c>
      <c r="AC36" s="80">
        <v>0</v>
      </c>
      <c r="AD36" s="80">
        <v>52152</v>
      </c>
      <c r="AE36" s="80">
        <v>47308</v>
      </c>
      <c r="AF36" s="80">
        <v>78997170</v>
      </c>
      <c r="AG36" s="80">
        <v>212988</v>
      </c>
      <c r="AH36" s="81">
        <v>0</v>
      </c>
      <c r="AI36" s="80">
        <v>107819.67213114754</v>
      </c>
      <c r="AJ36" s="92">
        <v>0</v>
      </c>
      <c r="AK36" s="82">
        <v>97006887</v>
      </c>
      <c r="AL36" s="83">
        <v>1255691</v>
      </c>
      <c r="AM36" s="80">
        <v>0</v>
      </c>
      <c r="AN36" s="80">
        <v>17046332</v>
      </c>
      <c r="AO36" s="80">
        <v>752307</v>
      </c>
      <c r="AP36" s="80">
        <v>25004273</v>
      </c>
      <c r="AQ36" s="80">
        <v>23131444</v>
      </c>
      <c r="AR36" s="80">
        <v>12162522</v>
      </c>
      <c r="AS36" s="80">
        <v>0</v>
      </c>
      <c r="AT36" s="80">
        <v>974294</v>
      </c>
      <c r="AU36" s="80">
        <v>0</v>
      </c>
      <c r="AV36" s="80">
        <v>50785</v>
      </c>
      <c r="AW36" s="80">
        <v>7745</v>
      </c>
      <c r="AX36" s="80">
        <v>432</v>
      </c>
      <c r="AY36" s="80">
        <v>95500</v>
      </c>
      <c r="AZ36" s="82">
        <v>4601018.92</v>
      </c>
      <c r="BA36" s="82">
        <v>2346519.65</v>
      </c>
      <c r="BB36" s="84"/>
      <c r="BC36" s="84">
        <v>548600</v>
      </c>
      <c r="BD36" s="84">
        <v>1075687</v>
      </c>
      <c r="BE36" s="84">
        <v>14948958</v>
      </c>
      <c r="BF36" s="84">
        <v>14948958</v>
      </c>
      <c r="BG36" s="84">
        <v>31887236</v>
      </c>
      <c r="BH36" s="84">
        <v>31625762</v>
      </c>
      <c r="BI36" s="84">
        <v>0</v>
      </c>
      <c r="BJ36" s="84">
        <v>0</v>
      </c>
      <c r="BK36" s="85"/>
      <c r="BL36" s="86">
        <v>680026333.32213104</v>
      </c>
      <c r="BM36" s="86">
        <v>532293915.67213112</v>
      </c>
      <c r="BN36" s="87">
        <v>828280</v>
      </c>
      <c r="BO36" s="88"/>
      <c r="BP36" s="89">
        <v>491256013</v>
      </c>
      <c r="BQ36" s="90">
        <v>97006887</v>
      </c>
      <c r="BR36" s="90">
        <v>1255691</v>
      </c>
      <c r="BS36" s="89">
        <v>40930083</v>
      </c>
      <c r="BT36" s="89">
        <v>630448674</v>
      </c>
    </row>
    <row r="37" spans="1:72" x14ac:dyDescent="0.25">
      <c r="A37" s="91" t="s">
        <v>91</v>
      </c>
      <c r="B37" s="80">
        <v>617505157</v>
      </c>
      <c r="C37" s="80">
        <v>116145573</v>
      </c>
      <c r="D37" s="80">
        <v>271517620</v>
      </c>
      <c r="E37" s="80">
        <v>0</v>
      </c>
      <c r="F37" s="80">
        <v>91663700</v>
      </c>
      <c r="G37" s="80">
        <v>75416750</v>
      </c>
      <c r="H37" s="80">
        <v>20334034</v>
      </c>
      <c r="I37" s="80">
        <v>9273600</v>
      </c>
      <c r="J37" s="80">
        <v>248400</v>
      </c>
      <c r="K37" s="80">
        <v>184500</v>
      </c>
      <c r="L37" s="80">
        <v>67288998</v>
      </c>
      <c r="M37" s="80">
        <v>60419904</v>
      </c>
      <c r="N37" s="80">
        <v>3447</v>
      </c>
      <c r="O37" s="80">
        <v>2914</v>
      </c>
      <c r="P37" s="80">
        <v>3948500</v>
      </c>
      <c r="Q37" s="80">
        <v>754000</v>
      </c>
      <c r="R37" s="80">
        <v>2380000</v>
      </c>
      <c r="S37" s="80">
        <v>2640700</v>
      </c>
      <c r="T37" s="80">
        <v>154100</v>
      </c>
      <c r="U37" s="80">
        <v>525000</v>
      </c>
      <c r="V37" s="80">
        <v>3948500</v>
      </c>
      <c r="W37" s="80">
        <v>802000</v>
      </c>
      <c r="X37" s="80">
        <v>2380000</v>
      </c>
      <c r="Y37" s="80">
        <v>2640700</v>
      </c>
      <c r="Z37" s="80">
        <v>200500</v>
      </c>
      <c r="AA37" s="80">
        <v>525000</v>
      </c>
      <c r="AB37" s="80">
        <v>-7496502</v>
      </c>
      <c r="AC37" s="80">
        <v>-100000</v>
      </c>
      <c r="AD37" s="80">
        <v>184304</v>
      </c>
      <c r="AE37" s="80">
        <v>0</v>
      </c>
      <c r="AF37" s="80">
        <v>0</v>
      </c>
      <c r="AG37" s="80">
        <v>184751</v>
      </c>
      <c r="AH37" s="81">
        <v>3704811.475409836</v>
      </c>
      <c r="AI37" s="80">
        <v>91683486.885245904</v>
      </c>
      <c r="AJ37" s="92">
        <v>171495040.98360658</v>
      </c>
      <c r="AK37" s="82">
        <v>268629325</v>
      </c>
      <c r="AL37" s="83">
        <v>6806202</v>
      </c>
      <c r="AM37" s="80">
        <v>104750</v>
      </c>
      <c r="AN37" s="80">
        <v>128083052</v>
      </c>
      <c r="AO37" s="80">
        <v>6652106</v>
      </c>
      <c r="AP37" s="80">
        <v>170056175</v>
      </c>
      <c r="AQ37" s="80">
        <v>59742576</v>
      </c>
      <c r="AR37" s="80">
        <v>50695176</v>
      </c>
      <c r="AS37" s="80">
        <v>1260422</v>
      </c>
      <c r="AT37" s="80">
        <v>0</v>
      </c>
      <c r="AU37" s="80">
        <v>0</v>
      </c>
      <c r="AV37" s="80">
        <v>0</v>
      </c>
      <c r="AW37" s="80">
        <v>0</v>
      </c>
      <c r="AX37" s="80">
        <v>2224</v>
      </c>
      <c r="AY37" s="80">
        <v>2400000</v>
      </c>
      <c r="AZ37" s="82">
        <v>12741039.77</v>
      </c>
      <c r="BA37" s="82">
        <v>6497930.2800000003</v>
      </c>
      <c r="BB37" s="84"/>
      <c r="BC37" s="84">
        <v>4680284</v>
      </c>
      <c r="BD37" s="84">
        <v>9177027</v>
      </c>
      <c r="BE37" s="84">
        <v>95362074</v>
      </c>
      <c r="BF37" s="84">
        <v>95362074</v>
      </c>
      <c r="BG37" s="84">
        <v>296053302</v>
      </c>
      <c r="BH37" s="84">
        <v>291800979</v>
      </c>
      <c r="BI37" s="84">
        <v>0</v>
      </c>
      <c r="BJ37" s="84">
        <v>0</v>
      </c>
      <c r="BK37" s="85"/>
      <c r="BL37" s="86">
        <v>2140306217.6242623</v>
      </c>
      <c r="BM37" s="86">
        <v>1466529423.3442624</v>
      </c>
      <c r="BN37" s="87">
        <v>14563600</v>
      </c>
      <c r="BO37" s="88"/>
      <c r="BP37" s="89">
        <v>1005168350</v>
      </c>
      <c r="BQ37" s="90">
        <v>268629325</v>
      </c>
      <c r="BR37" s="90">
        <v>6806202</v>
      </c>
      <c r="BS37" s="89">
        <v>195738156</v>
      </c>
      <c r="BT37" s="89">
        <v>1476342033</v>
      </c>
    </row>
    <row r="38" spans="1:72" x14ac:dyDescent="0.25">
      <c r="A38" s="91" t="s">
        <v>92</v>
      </c>
      <c r="B38" s="80">
        <v>1900883015</v>
      </c>
      <c r="C38" s="80">
        <v>168174290</v>
      </c>
      <c r="D38" s="80">
        <v>806815719</v>
      </c>
      <c r="E38" s="80">
        <v>0</v>
      </c>
      <c r="F38" s="80">
        <v>155016900</v>
      </c>
      <c r="G38" s="80">
        <v>10828145</v>
      </c>
      <c r="H38" s="80">
        <v>11933502</v>
      </c>
      <c r="I38" s="80">
        <v>528484</v>
      </c>
      <c r="J38" s="80">
        <v>221400</v>
      </c>
      <c r="K38" s="80">
        <v>36900</v>
      </c>
      <c r="L38" s="80">
        <v>166221780</v>
      </c>
      <c r="M38" s="80">
        <v>134653161</v>
      </c>
      <c r="N38" s="80">
        <v>4605</v>
      </c>
      <c r="O38" s="80">
        <v>342</v>
      </c>
      <c r="P38" s="80">
        <v>10552835</v>
      </c>
      <c r="Q38" s="80">
        <v>4029840</v>
      </c>
      <c r="R38" s="80">
        <v>52487208</v>
      </c>
      <c r="S38" s="80">
        <v>9316439</v>
      </c>
      <c r="T38" s="80">
        <v>864313</v>
      </c>
      <c r="U38" s="80">
        <v>12584406</v>
      </c>
      <c r="V38" s="80">
        <v>10552835</v>
      </c>
      <c r="W38" s="80">
        <v>4206000</v>
      </c>
      <c r="X38" s="80">
        <v>52487208</v>
      </c>
      <c r="Y38" s="80">
        <v>9316439</v>
      </c>
      <c r="Z38" s="80">
        <v>1385350</v>
      </c>
      <c r="AA38" s="80">
        <v>12584406</v>
      </c>
      <c r="AB38" s="80">
        <v>-3551500</v>
      </c>
      <c r="AC38" s="80">
        <v>-691593</v>
      </c>
      <c r="AD38" s="80">
        <v>0</v>
      </c>
      <c r="AE38" s="80">
        <v>0</v>
      </c>
      <c r="AF38" s="80">
        <v>0</v>
      </c>
      <c r="AG38" s="80">
        <v>103333</v>
      </c>
      <c r="AH38" s="81">
        <v>0</v>
      </c>
      <c r="AI38" s="80">
        <v>359180.32786885247</v>
      </c>
      <c r="AJ38" s="92">
        <v>0</v>
      </c>
      <c r="AK38" s="82">
        <v>326210289</v>
      </c>
      <c r="AL38" s="83">
        <v>8928067</v>
      </c>
      <c r="AM38" s="80">
        <v>290820</v>
      </c>
      <c r="AN38" s="80">
        <v>106369719</v>
      </c>
      <c r="AO38" s="80">
        <v>7458391</v>
      </c>
      <c r="AP38" s="80">
        <v>243903585</v>
      </c>
      <c r="AQ38" s="80">
        <v>84332047</v>
      </c>
      <c r="AR38" s="80">
        <v>89051273</v>
      </c>
      <c r="AS38" s="80">
        <v>34952042</v>
      </c>
      <c r="AT38" s="80">
        <v>2563972</v>
      </c>
      <c r="AU38" s="80">
        <v>0</v>
      </c>
      <c r="AV38" s="80">
        <v>0</v>
      </c>
      <c r="AW38" s="80">
        <v>17210</v>
      </c>
      <c r="AX38" s="80">
        <v>33762</v>
      </c>
      <c r="AY38" s="80">
        <v>1228028</v>
      </c>
      <c r="AZ38" s="82">
        <v>15472094.369999999</v>
      </c>
      <c r="BA38" s="82">
        <v>7890768.1299999999</v>
      </c>
      <c r="BB38" s="84">
        <v>4015544.04</v>
      </c>
      <c r="BC38" s="84">
        <v>948698</v>
      </c>
      <c r="BD38" s="84">
        <v>1860192</v>
      </c>
      <c r="BE38" s="84">
        <v>72855184</v>
      </c>
      <c r="BF38" s="84">
        <v>71343605</v>
      </c>
      <c r="BG38" s="84">
        <v>42734329</v>
      </c>
      <c r="BH38" s="84">
        <v>40631437</v>
      </c>
      <c r="BI38" s="84">
        <v>137260402</v>
      </c>
      <c r="BJ38" s="84">
        <v>0</v>
      </c>
      <c r="BK38" s="85"/>
      <c r="BL38" s="86">
        <v>3667605627.4578691</v>
      </c>
      <c r="BM38" s="86">
        <v>3074392361.3278689</v>
      </c>
      <c r="BN38" s="87">
        <v>5626260</v>
      </c>
      <c r="BO38" s="88"/>
      <c r="BP38" s="89">
        <v>2875873024</v>
      </c>
      <c r="BQ38" s="90">
        <v>326210289</v>
      </c>
      <c r="BR38" s="90">
        <v>8928067</v>
      </c>
      <c r="BS38" s="89">
        <v>233112199</v>
      </c>
      <c r="BT38" s="89">
        <v>3444123579</v>
      </c>
    </row>
    <row r="39" spans="1:72" x14ac:dyDescent="0.25">
      <c r="A39" s="91" t="s">
        <v>93</v>
      </c>
      <c r="B39" s="80">
        <v>74813024</v>
      </c>
      <c r="C39" s="80">
        <v>59846002</v>
      </c>
      <c r="D39" s="80">
        <v>56683252</v>
      </c>
      <c r="E39" s="80">
        <v>0</v>
      </c>
      <c r="F39" s="80">
        <v>19539530</v>
      </c>
      <c r="G39" s="80">
        <v>3948095</v>
      </c>
      <c r="H39" s="80">
        <v>3474694</v>
      </c>
      <c r="I39" s="80">
        <v>146830</v>
      </c>
      <c r="J39" s="80">
        <v>51000</v>
      </c>
      <c r="K39" s="80">
        <v>0</v>
      </c>
      <c r="L39" s="80">
        <v>287747867</v>
      </c>
      <c r="M39" s="80">
        <v>14670746</v>
      </c>
      <c r="N39" s="80">
        <v>708</v>
      </c>
      <c r="O39" s="80">
        <v>136</v>
      </c>
      <c r="P39" s="80">
        <v>472970</v>
      </c>
      <c r="Q39" s="80">
        <v>396299</v>
      </c>
      <c r="R39" s="80">
        <v>483488</v>
      </c>
      <c r="S39" s="80">
        <v>1136455</v>
      </c>
      <c r="T39" s="80">
        <v>112112</v>
      </c>
      <c r="U39" s="80">
        <v>5922832</v>
      </c>
      <c r="V39" s="80">
        <v>472970</v>
      </c>
      <c r="W39" s="80">
        <v>660220</v>
      </c>
      <c r="X39" s="80">
        <v>483488</v>
      </c>
      <c r="Y39" s="80">
        <v>1136455</v>
      </c>
      <c r="Z39" s="80">
        <v>212200</v>
      </c>
      <c r="AA39" s="80">
        <v>5922832</v>
      </c>
      <c r="AB39" s="80">
        <v>-1217838</v>
      </c>
      <c r="AC39" s="80">
        <v>0</v>
      </c>
      <c r="AD39" s="80">
        <v>25733</v>
      </c>
      <c r="AE39" s="80">
        <v>41206</v>
      </c>
      <c r="AF39" s="80">
        <v>21165633</v>
      </c>
      <c r="AG39" s="80">
        <v>120776</v>
      </c>
      <c r="AH39" s="81">
        <v>0</v>
      </c>
      <c r="AI39" s="80">
        <v>1040.983606557377</v>
      </c>
      <c r="AJ39" s="92">
        <v>0</v>
      </c>
      <c r="AK39" s="82">
        <v>36329157</v>
      </c>
      <c r="AL39" s="83">
        <v>688517</v>
      </c>
      <c r="AM39" s="80">
        <v>0</v>
      </c>
      <c r="AN39" s="80">
        <v>16386648</v>
      </c>
      <c r="AO39" s="80">
        <v>3309890</v>
      </c>
      <c r="AP39" s="80">
        <v>31418516</v>
      </c>
      <c r="AQ39" s="80">
        <v>22106873</v>
      </c>
      <c r="AR39" s="80">
        <v>46696357</v>
      </c>
      <c r="AS39" s="80">
        <v>320416</v>
      </c>
      <c r="AT39" s="80">
        <v>4725984</v>
      </c>
      <c r="AU39" s="80">
        <v>0</v>
      </c>
      <c r="AV39" s="80">
        <v>0</v>
      </c>
      <c r="AW39" s="80">
        <v>2455364</v>
      </c>
      <c r="AX39" s="80">
        <v>0</v>
      </c>
      <c r="AY39" s="80">
        <v>141900</v>
      </c>
      <c r="AZ39" s="82">
        <v>1723085.27</v>
      </c>
      <c r="BA39" s="82">
        <v>878773.49</v>
      </c>
      <c r="BB39" s="84">
        <v>46943005.18</v>
      </c>
      <c r="BC39" s="84">
        <v>1075723</v>
      </c>
      <c r="BD39" s="84">
        <v>2109260</v>
      </c>
      <c r="BE39" s="84">
        <v>13622888</v>
      </c>
      <c r="BF39" s="84">
        <v>13622888</v>
      </c>
      <c r="BG39" s="84">
        <v>18234780</v>
      </c>
      <c r="BH39" s="84">
        <v>13389895</v>
      </c>
      <c r="BI39" s="84">
        <v>0</v>
      </c>
      <c r="BJ39" s="84">
        <v>3093010</v>
      </c>
      <c r="BK39" s="85"/>
      <c r="BL39" s="86">
        <v>302224693.47360659</v>
      </c>
      <c r="BM39" s="86">
        <v>233146729.98360655</v>
      </c>
      <c r="BN39" s="87">
        <v>1143242</v>
      </c>
      <c r="BO39" s="88"/>
      <c r="BP39" s="89">
        <v>191342278</v>
      </c>
      <c r="BQ39" s="90">
        <v>36329157</v>
      </c>
      <c r="BR39" s="90">
        <v>688517</v>
      </c>
      <c r="BS39" s="89">
        <v>42123827</v>
      </c>
      <c r="BT39" s="89">
        <v>270483779</v>
      </c>
    </row>
    <row r="40" spans="1:72" x14ac:dyDescent="0.25">
      <c r="A40" s="91" t="s">
        <v>94</v>
      </c>
      <c r="B40" s="80">
        <v>236781083</v>
      </c>
      <c r="C40" s="80">
        <v>65317845</v>
      </c>
      <c r="D40" s="80">
        <v>94515643</v>
      </c>
      <c r="E40" s="80">
        <v>76121566</v>
      </c>
      <c r="F40" s="80">
        <v>16358900</v>
      </c>
      <c r="G40" s="80">
        <v>4191800</v>
      </c>
      <c r="H40" s="80">
        <v>4598700</v>
      </c>
      <c r="I40" s="80">
        <v>502100</v>
      </c>
      <c r="J40" s="80">
        <v>0</v>
      </c>
      <c r="K40" s="80">
        <v>0</v>
      </c>
      <c r="L40" s="80">
        <v>165231586</v>
      </c>
      <c r="M40" s="80">
        <v>52178505</v>
      </c>
      <c r="N40" s="80">
        <v>590</v>
      </c>
      <c r="O40" s="80">
        <v>134</v>
      </c>
      <c r="P40" s="80">
        <v>2244800</v>
      </c>
      <c r="Q40" s="80">
        <v>1155200</v>
      </c>
      <c r="R40" s="80">
        <v>1125000</v>
      </c>
      <c r="S40" s="80">
        <v>3201624</v>
      </c>
      <c r="T40" s="80">
        <v>96700</v>
      </c>
      <c r="U40" s="80">
        <v>1458275</v>
      </c>
      <c r="V40" s="80">
        <v>2244800</v>
      </c>
      <c r="W40" s="80">
        <v>0</v>
      </c>
      <c r="X40" s="80">
        <v>1125000</v>
      </c>
      <c r="Y40" s="80">
        <v>3201624</v>
      </c>
      <c r="Z40" s="80">
        <v>554600</v>
      </c>
      <c r="AA40" s="80">
        <v>1458275</v>
      </c>
      <c r="AB40" s="80">
        <v>-234450</v>
      </c>
      <c r="AC40" s="80">
        <v>-7760154</v>
      </c>
      <c r="AD40" s="80">
        <v>23454</v>
      </c>
      <c r="AE40" s="80">
        <v>0</v>
      </c>
      <c r="AF40" s="80">
        <v>0</v>
      </c>
      <c r="AG40" s="80">
        <v>46748</v>
      </c>
      <c r="AH40" s="81">
        <v>0</v>
      </c>
      <c r="AI40" s="80">
        <v>1904377.0491803281</v>
      </c>
      <c r="AJ40" s="92">
        <v>0</v>
      </c>
      <c r="AK40" s="82">
        <v>50113020</v>
      </c>
      <c r="AL40" s="83">
        <v>2753713</v>
      </c>
      <c r="AM40" s="80">
        <v>724164</v>
      </c>
      <c r="AN40" s="80">
        <v>26046992</v>
      </c>
      <c r="AO40" s="80">
        <v>1638854</v>
      </c>
      <c r="AP40" s="80">
        <v>214626183</v>
      </c>
      <c r="AQ40" s="80">
        <v>68356980</v>
      </c>
      <c r="AR40" s="80">
        <v>54545947</v>
      </c>
      <c r="AS40" s="80">
        <v>29588743</v>
      </c>
      <c r="AT40" s="80">
        <v>236125</v>
      </c>
      <c r="AU40" s="80">
        <v>0</v>
      </c>
      <c r="AV40" s="80">
        <v>0</v>
      </c>
      <c r="AW40" s="80">
        <v>15946888</v>
      </c>
      <c r="AX40" s="80">
        <v>123752</v>
      </c>
      <c r="AY40" s="80">
        <v>22000</v>
      </c>
      <c r="AZ40" s="82">
        <v>2376851.38</v>
      </c>
      <c r="BA40" s="82">
        <v>1212194.2</v>
      </c>
      <c r="BB40" s="84">
        <v>19067357.510000002</v>
      </c>
      <c r="BC40" s="84">
        <v>705694</v>
      </c>
      <c r="BD40" s="84">
        <v>1383713</v>
      </c>
      <c r="BE40" s="84">
        <v>5734944</v>
      </c>
      <c r="BF40" s="84">
        <v>5734944</v>
      </c>
      <c r="BG40" s="84">
        <v>25453465</v>
      </c>
      <c r="BH40" s="84">
        <v>24359143</v>
      </c>
      <c r="BI40" s="84">
        <v>0</v>
      </c>
      <c r="BJ40" s="84">
        <v>0</v>
      </c>
      <c r="BK40" s="85"/>
      <c r="BL40" s="86">
        <v>579440482.24918032</v>
      </c>
      <c r="BM40" s="86">
        <v>494561774.04918033</v>
      </c>
      <c r="BN40" s="87">
        <v>435984</v>
      </c>
      <c r="BO40" s="88"/>
      <c r="BP40" s="89">
        <v>396614571</v>
      </c>
      <c r="BQ40" s="90">
        <v>50113020</v>
      </c>
      <c r="BR40" s="90">
        <v>2753713</v>
      </c>
      <c r="BS40" s="89">
        <v>125631569</v>
      </c>
      <c r="BT40" s="89">
        <v>575112873</v>
      </c>
    </row>
    <row r="41" spans="1:72" x14ac:dyDescent="0.25">
      <c r="A41" s="91" t="s">
        <v>95</v>
      </c>
      <c r="B41" s="80">
        <v>488137280</v>
      </c>
      <c r="C41" s="80">
        <v>130052008</v>
      </c>
      <c r="D41" s="80">
        <v>57997412</v>
      </c>
      <c r="E41" s="80">
        <v>0</v>
      </c>
      <c r="F41" s="80">
        <v>45337800</v>
      </c>
      <c r="G41" s="80">
        <v>9982200</v>
      </c>
      <c r="H41" s="80">
        <v>13245400</v>
      </c>
      <c r="I41" s="80">
        <v>2041600</v>
      </c>
      <c r="J41" s="80">
        <v>147600</v>
      </c>
      <c r="K41" s="80">
        <v>36900</v>
      </c>
      <c r="L41" s="80">
        <v>207145222</v>
      </c>
      <c r="M41" s="80">
        <v>93690150</v>
      </c>
      <c r="N41" s="80">
        <v>1627</v>
      </c>
      <c r="O41" s="80">
        <v>354</v>
      </c>
      <c r="P41" s="80">
        <v>1486500</v>
      </c>
      <c r="Q41" s="80">
        <v>902500</v>
      </c>
      <c r="R41" s="80">
        <v>1435000</v>
      </c>
      <c r="S41" s="80">
        <v>6324449</v>
      </c>
      <c r="T41" s="80">
        <v>1737790</v>
      </c>
      <c r="U41" s="80">
        <v>454000</v>
      </c>
      <c r="V41" s="80">
        <v>1486500</v>
      </c>
      <c r="W41" s="80">
        <v>1020000</v>
      </c>
      <c r="X41" s="80">
        <v>1435000</v>
      </c>
      <c r="Y41" s="80">
        <v>6324449</v>
      </c>
      <c r="Z41" s="80">
        <v>3394310</v>
      </c>
      <c r="AA41" s="80">
        <v>454000</v>
      </c>
      <c r="AB41" s="80">
        <v>-1497300</v>
      </c>
      <c r="AC41" s="80">
        <v>-26902</v>
      </c>
      <c r="AD41" s="80">
        <v>0</v>
      </c>
      <c r="AE41" s="80">
        <v>0</v>
      </c>
      <c r="AF41" s="80">
        <v>0</v>
      </c>
      <c r="AG41" s="80">
        <v>130967</v>
      </c>
      <c r="AH41" s="81">
        <v>0</v>
      </c>
      <c r="AI41" s="80">
        <v>61868.852459016402</v>
      </c>
      <c r="AJ41" s="92">
        <v>0</v>
      </c>
      <c r="AK41" s="82">
        <v>108582377</v>
      </c>
      <c r="AL41" s="83">
        <v>6405915</v>
      </c>
      <c r="AM41" s="80">
        <v>196485</v>
      </c>
      <c r="AN41" s="80">
        <v>7825821</v>
      </c>
      <c r="AO41" s="80">
        <v>355896</v>
      </c>
      <c r="AP41" s="80">
        <v>8280480</v>
      </c>
      <c r="AQ41" s="80">
        <v>6075746</v>
      </c>
      <c r="AR41" s="80">
        <v>4615371</v>
      </c>
      <c r="AS41" s="80">
        <v>0</v>
      </c>
      <c r="AT41" s="80">
        <v>1537163</v>
      </c>
      <c r="AU41" s="80">
        <v>0</v>
      </c>
      <c r="AV41" s="80">
        <v>0</v>
      </c>
      <c r="AW41" s="80">
        <v>2000</v>
      </c>
      <c r="AX41" s="80">
        <v>265525</v>
      </c>
      <c r="AY41" s="80">
        <v>0</v>
      </c>
      <c r="AZ41" s="82">
        <v>5150042.29</v>
      </c>
      <c r="BA41" s="82">
        <v>2626521.5699999998</v>
      </c>
      <c r="BB41" s="84"/>
      <c r="BC41" s="84">
        <v>0</v>
      </c>
      <c r="BD41" s="84">
        <v>0</v>
      </c>
      <c r="BE41" s="84">
        <v>25225451</v>
      </c>
      <c r="BF41" s="84">
        <v>25225451</v>
      </c>
      <c r="BG41" s="84">
        <v>33390818</v>
      </c>
      <c r="BH41" s="84">
        <v>33386770</v>
      </c>
      <c r="BI41" s="84">
        <v>0</v>
      </c>
      <c r="BJ41" s="84">
        <v>0</v>
      </c>
      <c r="BK41" s="85"/>
      <c r="BL41" s="86">
        <v>866733066.42245913</v>
      </c>
      <c r="BM41" s="86">
        <v>690506031.85245907</v>
      </c>
      <c r="BN41" s="87">
        <v>787750</v>
      </c>
      <c r="BO41" s="88"/>
      <c r="BP41" s="89">
        <v>676186700</v>
      </c>
      <c r="BQ41" s="90">
        <v>108582377</v>
      </c>
      <c r="BR41" s="90">
        <v>6405915</v>
      </c>
      <c r="BS41" s="89">
        <v>14257463</v>
      </c>
      <c r="BT41" s="89">
        <v>805432455</v>
      </c>
    </row>
    <row r="42" spans="1:72" x14ac:dyDescent="0.25">
      <c r="A42" s="91" t="s">
        <v>96</v>
      </c>
      <c r="B42" s="80">
        <v>593584445</v>
      </c>
      <c r="C42" s="4">
        <v>213012100</v>
      </c>
      <c r="D42" s="80">
        <v>196828174</v>
      </c>
      <c r="E42" s="80">
        <v>600000</v>
      </c>
      <c r="F42" s="80">
        <v>42634700</v>
      </c>
      <c r="G42" s="80">
        <v>6959400</v>
      </c>
      <c r="H42" s="80">
        <v>20553600</v>
      </c>
      <c r="I42" s="80">
        <v>1889300</v>
      </c>
      <c r="J42" s="80">
        <v>184500</v>
      </c>
      <c r="K42" s="80">
        <v>36900</v>
      </c>
      <c r="L42" s="80">
        <v>290737222</v>
      </c>
      <c r="M42" s="80">
        <v>172204600</v>
      </c>
      <c r="N42" s="80">
        <v>1774</v>
      </c>
      <c r="O42" s="80">
        <v>266</v>
      </c>
      <c r="P42" s="80">
        <v>2520100</v>
      </c>
      <c r="Q42" s="80">
        <v>2967300</v>
      </c>
      <c r="R42" s="80">
        <v>3736200</v>
      </c>
      <c r="S42" s="80">
        <v>6236460</v>
      </c>
      <c r="T42" s="80">
        <v>1133500</v>
      </c>
      <c r="U42" s="80">
        <v>3545600</v>
      </c>
      <c r="V42" s="80">
        <v>2520100</v>
      </c>
      <c r="W42" s="80">
        <v>3009500</v>
      </c>
      <c r="X42" s="80">
        <v>3736200</v>
      </c>
      <c r="Y42" s="80">
        <v>6236460</v>
      </c>
      <c r="Z42" s="80">
        <v>2180000</v>
      </c>
      <c r="AA42" s="80">
        <v>3545600</v>
      </c>
      <c r="AB42" s="80">
        <v>-940600</v>
      </c>
      <c r="AC42" s="80">
        <v>-315630</v>
      </c>
      <c r="AD42" s="80">
        <v>69072</v>
      </c>
      <c r="AE42" s="80">
        <v>64</v>
      </c>
      <c r="AF42" s="80">
        <v>0</v>
      </c>
      <c r="AG42" s="80">
        <v>144993</v>
      </c>
      <c r="AH42" s="81">
        <v>0</v>
      </c>
      <c r="AI42" s="80">
        <v>0</v>
      </c>
      <c r="AJ42" s="92">
        <v>0</v>
      </c>
      <c r="AK42" s="82">
        <v>137765628</v>
      </c>
      <c r="AL42" s="83">
        <v>3851811</v>
      </c>
      <c r="AM42" s="80">
        <v>0</v>
      </c>
      <c r="AN42" s="80">
        <v>29031573</v>
      </c>
      <c r="AO42" s="80">
        <v>969799</v>
      </c>
      <c r="AP42" s="80">
        <v>34793803</v>
      </c>
      <c r="AQ42" s="80">
        <v>30305669</v>
      </c>
      <c r="AR42" s="80">
        <v>36199743</v>
      </c>
      <c r="AS42" s="80">
        <v>10556825</v>
      </c>
      <c r="AT42" s="80">
        <v>92442</v>
      </c>
      <c r="AU42" s="80">
        <v>0</v>
      </c>
      <c r="AV42" s="80">
        <v>0</v>
      </c>
      <c r="AW42" s="80">
        <v>0</v>
      </c>
      <c r="AX42" s="80">
        <v>0</v>
      </c>
      <c r="AY42" s="80">
        <v>0</v>
      </c>
      <c r="AZ42" s="82">
        <v>6534198.5499999998</v>
      </c>
      <c r="BA42" s="82">
        <v>3332441.26</v>
      </c>
      <c r="BB42" s="84"/>
      <c r="BC42" s="84">
        <v>2544793</v>
      </c>
      <c r="BD42" s="84">
        <v>4989790</v>
      </c>
      <c r="BE42" s="84">
        <v>34598266</v>
      </c>
      <c r="BF42" s="84">
        <v>34598266</v>
      </c>
      <c r="BG42" s="84">
        <v>68163172</v>
      </c>
      <c r="BH42" s="84">
        <v>61608465</v>
      </c>
      <c r="BI42" s="84">
        <v>0</v>
      </c>
      <c r="BJ42" s="84">
        <v>0</v>
      </c>
      <c r="BK42" s="85"/>
      <c r="BL42" s="86">
        <v>1307433164.26</v>
      </c>
      <c r="BM42" s="86">
        <v>1063731760</v>
      </c>
      <c r="BN42" s="87">
        <v>1610600</v>
      </c>
      <c r="BO42" s="88"/>
      <c r="BP42" s="89">
        <v>1003424719</v>
      </c>
      <c r="BQ42" s="90">
        <v>137765628</v>
      </c>
      <c r="BR42" s="90">
        <v>3851811</v>
      </c>
      <c r="BS42" s="89">
        <v>70863866</v>
      </c>
      <c r="BT42" s="89">
        <v>1215906024</v>
      </c>
    </row>
    <row r="43" spans="1:72" x14ac:dyDescent="0.25">
      <c r="A43" s="91" t="s">
        <v>97</v>
      </c>
      <c r="B43" s="80">
        <v>755927330</v>
      </c>
      <c r="C43" s="80">
        <v>372696158</v>
      </c>
      <c r="D43" s="80">
        <v>275561026</v>
      </c>
      <c r="E43" s="80">
        <v>0</v>
      </c>
      <c r="F43" s="80">
        <v>96185036</v>
      </c>
      <c r="G43" s="80">
        <v>23624410</v>
      </c>
      <c r="H43" s="80">
        <v>24774440</v>
      </c>
      <c r="I43" s="80">
        <v>4237250</v>
      </c>
      <c r="J43" s="80">
        <v>70900</v>
      </c>
      <c r="K43" s="80">
        <v>106800</v>
      </c>
      <c r="L43" s="80">
        <v>981741957</v>
      </c>
      <c r="M43" s="80">
        <v>199764203</v>
      </c>
      <c r="N43" s="80">
        <v>3456</v>
      </c>
      <c r="O43" s="80">
        <v>845</v>
      </c>
      <c r="P43" s="80">
        <v>7934403</v>
      </c>
      <c r="Q43" s="80">
        <v>2777550</v>
      </c>
      <c r="R43" s="80">
        <v>5503050</v>
      </c>
      <c r="S43" s="80">
        <v>11634232</v>
      </c>
      <c r="T43" s="80">
        <v>3105650</v>
      </c>
      <c r="U43" s="80">
        <v>7178301</v>
      </c>
      <c r="V43" s="80">
        <v>7934403</v>
      </c>
      <c r="W43" s="80">
        <v>5995200</v>
      </c>
      <c r="X43" s="80">
        <v>5503050</v>
      </c>
      <c r="Y43" s="80">
        <v>11634232</v>
      </c>
      <c r="Z43" s="80">
        <v>6458574</v>
      </c>
      <c r="AA43" s="80">
        <v>7178301</v>
      </c>
      <c r="AB43" s="80">
        <v>-6417845</v>
      </c>
      <c r="AC43" s="80">
        <v>-145407</v>
      </c>
      <c r="AD43" s="80">
        <v>56027</v>
      </c>
      <c r="AE43" s="80">
        <v>0</v>
      </c>
      <c r="AF43" s="80">
        <v>2006925</v>
      </c>
      <c r="AG43" s="80">
        <v>313688</v>
      </c>
      <c r="AH43" s="81">
        <v>0</v>
      </c>
      <c r="AI43" s="80">
        <v>266442.62295081967</v>
      </c>
      <c r="AJ43" s="92">
        <v>0</v>
      </c>
      <c r="AK43" s="82">
        <v>245272598</v>
      </c>
      <c r="AL43" s="83">
        <v>6087281</v>
      </c>
      <c r="AM43" s="80">
        <v>0</v>
      </c>
      <c r="AN43" s="80">
        <v>70997748</v>
      </c>
      <c r="AO43" s="80">
        <v>6801491</v>
      </c>
      <c r="AP43" s="80">
        <v>35457153</v>
      </c>
      <c r="AQ43" s="80">
        <v>74896609</v>
      </c>
      <c r="AR43" s="80">
        <v>77001276</v>
      </c>
      <c r="AS43" s="80">
        <v>1328002</v>
      </c>
      <c r="AT43" s="80">
        <v>7480010</v>
      </c>
      <c r="AU43" s="80">
        <v>0</v>
      </c>
      <c r="AV43" s="80">
        <v>0</v>
      </c>
      <c r="AW43" s="80">
        <v>12358486</v>
      </c>
      <c r="AX43" s="80">
        <v>179723</v>
      </c>
      <c r="AY43" s="80">
        <v>0</v>
      </c>
      <c r="AZ43" s="82">
        <v>11633234.48</v>
      </c>
      <c r="BA43" s="82">
        <v>5932949.5800000001</v>
      </c>
      <c r="BB43" s="84"/>
      <c r="BC43" s="84">
        <v>2303016</v>
      </c>
      <c r="BD43" s="84">
        <v>4515718</v>
      </c>
      <c r="BE43" s="84">
        <v>67229150</v>
      </c>
      <c r="BF43" s="84">
        <v>65273043</v>
      </c>
      <c r="BG43" s="84">
        <v>123446691</v>
      </c>
      <c r="BH43" s="84">
        <v>105183166</v>
      </c>
      <c r="BI43" s="84">
        <v>0</v>
      </c>
      <c r="BJ43" s="84">
        <v>8451323</v>
      </c>
      <c r="BK43" s="85"/>
      <c r="BL43" s="86">
        <v>1995650181.2029507</v>
      </c>
      <c r="BM43" s="86">
        <v>1557146804.6229508</v>
      </c>
      <c r="BN43" s="87">
        <v>4403844</v>
      </c>
      <c r="BO43" s="88"/>
      <c r="BP43" s="89">
        <v>1404184514</v>
      </c>
      <c r="BQ43" s="90">
        <v>245272598</v>
      </c>
      <c r="BR43" s="90">
        <v>6087281</v>
      </c>
      <c r="BS43" s="89">
        <v>154023850</v>
      </c>
      <c r="BT43" s="89">
        <v>1809568243</v>
      </c>
    </row>
    <row r="44" spans="1:72" x14ac:dyDescent="0.25">
      <c r="A44" s="91" t="s">
        <v>98</v>
      </c>
      <c r="B44" s="56">
        <v>675429417</v>
      </c>
      <c r="C44" s="56">
        <v>201096576</v>
      </c>
      <c r="D44" s="56">
        <v>159307920</v>
      </c>
      <c r="E44" s="56">
        <v>20800000</v>
      </c>
      <c r="F44" s="56">
        <v>61527315</v>
      </c>
      <c r="G44" s="56">
        <v>14780423</v>
      </c>
      <c r="H44" s="56">
        <v>22067900</v>
      </c>
      <c r="I44" s="56">
        <v>2994600</v>
      </c>
      <c r="J44" s="56">
        <v>267500</v>
      </c>
      <c r="K44" s="56">
        <v>0</v>
      </c>
      <c r="L44" s="56">
        <v>292684949</v>
      </c>
      <c r="M44" s="56">
        <v>123109663</v>
      </c>
      <c r="N44" s="56">
        <v>2417</v>
      </c>
      <c r="O44" s="56">
        <v>559</v>
      </c>
      <c r="P44" s="56">
        <v>11676740</v>
      </c>
      <c r="Q44" s="56">
        <v>3518441</v>
      </c>
      <c r="R44" s="56">
        <v>1156000</v>
      </c>
      <c r="S44" s="56">
        <v>15073340</v>
      </c>
      <c r="T44" s="56">
        <v>2400961</v>
      </c>
      <c r="U44" s="56">
        <v>7832119</v>
      </c>
      <c r="V44" s="56">
        <v>11676740</v>
      </c>
      <c r="W44" s="56">
        <v>4443800</v>
      </c>
      <c r="X44" s="56">
        <v>1156000</v>
      </c>
      <c r="Y44" s="56">
        <v>15073340</v>
      </c>
      <c r="Z44" s="56">
        <v>2735590</v>
      </c>
      <c r="AA44" s="56">
        <v>7832119</v>
      </c>
      <c r="AB44" s="56">
        <v>5198500</v>
      </c>
      <c r="AC44" s="56">
        <v>-370481</v>
      </c>
      <c r="AD44" s="56">
        <v>126649</v>
      </c>
      <c r="AE44" s="56">
        <v>5525</v>
      </c>
      <c r="AF44" s="56">
        <v>4815091</v>
      </c>
      <c r="AG44" s="56">
        <v>282647</v>
      </c>
      <c r="AH44" s="81">
        <v>35901.639344262294</v>
      </c>
      <c r="AI44" s="56">
        <v>821874.59016393451</v>
      </c>
      <c r="AJ44" s="92">
        <v>0</v>
      </c>
      <c r="AK44" s="83">
        <v>140623213</v>
      </c>
      <c r="AL44" s="83">
        <v>15678808</v>
      </c>
      <c r="AM44" s="56">
        <v>355180</v>
      </c>
      <c r="AN44" s="56">
        <v>32243560</v>
      </c>
      <c r="AO44" s="56">
        <v>4683399</v>
      </c>
      <c r="AP44" s="56">
        <v>70257959</v>
      </c>
      <c r="AQ44" s="56">
        <v>45721140</v>
      </c>
      <c r="AR44" s="56">
        <v>59764035</v>
      </c>
      <c r="AS44" s="56">
        <v>11299349</v>
      </c>
      <c r="AT44" s="56">
        <v>5648579</v>
      </c>
      <c r="AU44" s="56">
        <v>0</v>
      </c>
      <c r="AV44" s="56">
        <v>0</v>
      </c>
      <c r="AW44" s="56">
        <v>96175</v>
      </c>
      <c r="AX44" s="56">
        <v>774894</v>
      </c>
      <c r="AY44" s="56">
        <v>235085</v>
      </c>
      <c r="AZ44" s="83">
        <v>6669733.2800000003</v>
      </c>
      <c r="BA44" s="83">
        <v>3401563.97</v>
      </c>
      <c r="BB44" s="84"/>
      <c r="BC44" s="84">
        <v>2104808</v>
      </c>
      <c r="BD44" s="84">
        <v>4127075</v>
      </c>
      <c r="BE44" s="84">
        <v>10338416</v>
      </c>
      <c r="BF44" s="84">
        <v>6863446</v>
      </c>
      <c r="BG44" s="84">
        <v>55677042</v>
      </c>
      <c r="BH44" s="84">
        <v>52588104</v>
      </c>
      <c r="BI44" s="84">
        <v>0</v>
      </c>
      <c r="BJ44" s="84">
        <v>0</v>
      </c>
      <c r="BK44" s="63"/>
      <c r="BL44" s="96">
        <v>1340599731.1995082</v>
      </c>
      <c r="BM44" s="96">
        <v>1119339788.2295082</v>
      </c>
      <c r="BN44" s="97">
        <v>1434270</v>
      </c>
      <c r="BO44" s="98"/>
      <c r="BP44" s="89">
        <v>1035833913</v>
      </c>
      <c r="BQ44" s="90">
        <v>140623213</v>
      </c>
      <c r="BR44" s="90">
        <v>15678808</v>
      </c>
      <c r="BS44" s="89">
        <v>93947448</v>
      </c>
      <c r="BT44" s="89">
        <v>1286083382</v>
      </c>
    </row>
    <row r="45" spans="1:72" x14ac:dyDescent="0.25">
      <c r="A45" s="91" t="s">
        <v>99</v>
      </c>
      <c r="B45" s="80">
        <v>161530805</v>
      </c>
      <c r="C45" s="80">
        <v>118582269</v>
      </c>
      <c r="D45" s="80">
        <v>36888436</v>
      </c>
      <c r="E45" s="80">
        <v>0</v>
      </c>
      <c r="F45" s="80">
        <v>32241975</v>
      </c>
      <c r="G45" s="80">
        <v>6763400</v>
      </c>
      <c r="H45" s="80">
        <v>15223800</v>
      </c>
      <c r="I45" s="80">
        <v>1862300</v>
      </c>
      <c r="J45" s="80">
        <v>66900</v>
      </c>
      <c r="K45" s="80">
        <v>0</v>
      </c>
      <c r="L45" s="80">
        <v>231337619</v>
      </c>
      <c r="M45" s="80">
        <v>68526701</v>
      </c>
      <c r="N45" s="80">
        <v>1375</v>
      </c>
      <c r="O45" s="80">
        <v>270</v>
      </c>
      <c r="P45" s="80">
        <v>1353670</v>
      </c>
      <c r="Q45" s="80">
        <v>1173405</v>
      </c>
      <c r="R45" s="80">
        <v>210000</v>
      </c>
      <c r="S45" s="80">
        <v>1695176</v>
      </c>
      <c r="T45" s="80">
        <v>524540</v>
      </c>
      <c r="U45" s="80">
        <v>242270</v>
      </c>
      <c r="V45" s="80">
        <v>1353670</v>
      </c>
      <c r="W45" s="80">
        <v>1099396</v>
      </c>
      <c r="X45" s="80">
        <v>210000</v>
      </c>
      <c r="Y45" s="80">
        <v>1695176</v>
      </c>
      <c r="Z45" s="80">
        <v>792538</v>
      </c>
      <c r="AA45" s="80">
        <v>242270</v>
      </c>
      <c r="AB45" s="80">
        <v>-1480835</v>
      </c>
      <c r="AC45" s="80">
        <v>-25973</v>
      </c>
      <c r="AD45" s="80">
        <v>39171</v>
      </c>
      <c r="AE45" s="80">
        <v>0</v>
      </c>
      <c r="AF45" s="80">
        <v>0</v>
      </c>
      <c r="AG45" s="80">
        <v>166954</v>
      </c>
      <c r="AH45" s="81">
        <v>2814073.7704918035</v>
      </c>
      <c r="AI45" s="80">
        <v>145885.24590163934</v>
      </c>
      <c r="AJ45" s="92">
        <v>0</v>
      </c>
      <c r="AK45" s="82">
        <v>59293571</v>
      </c>
      <c r="AL45" s="83">
        <v>1174870</v>
      </c>
      <c r="AM45" s="80">
        <v>0</v>
      </c>
      <c r="AN45" s="80">
        <v>6752020</v>
      </c>
      <c r="AO45" s="80">
        <v>112760</v>
      </c>
      <c r="AP45" s="80">
        <v>3855466</v>
      </c>
      <c r="AQ45" s="80">
        <v>7102860</v>
      </c>
      <c r="AR45" s="80">
        <v>2479991</v>
      </c>
      <c r="AS45" s="80">
        <v>0</v>
      </c>
      <c r="AT45" s="80">
        <v>252233</v>
      </c>
      <c r="AU45" s="80">
        <v>0</v>
      </c>
      <c r="AV45" s="80">
        <v>0</v>
      </c>
      <c r="AW45" s="80">
        <v>0</v>
      </c>
      <c r="AX45" s="80">
        <v>3180</v>
      </c>
      <c r="AY45" s="80">
        <v>0</v>
      </c>
      <c r="AZ45" s="82">
        <v>2812283.23</v>
      </c>
      <c r="BA45" s="82">
        <v>1434264.45</v>
      </c>
      <c r="BB45" s="84"/>
      <c r="BC45" s="84">
        <v>0</v>
      </c>
      <c r="BD45" s="84">
        <v>0</v>
      </c>
      <c r="BE45" s="84">
        <v>17827992</v>
      </c>
      <c r="BF45" s="84">
        <v>17827992</v>
      </c>
      <c r="BG45" s="84">
        <v>29971020</v>
      </c>
      <c r="BH45" s="84">
        <v>29539608</v>
      </c>
      <c r="BI45" s="84">
        <v>0</v>
      </c>
      <c r="BJ45" s="84">
        <v>0</v>
      </c>
      <c r="BK45" s="85"/>
      <c r="BL45" s="86">
        <v>443199414.46639341</v>
      </c>
      <c r="BM45" s="86">
        <v>333929109.01639342</v>
      </c>
      <c r="BN45" s="87">
        <v>328762</v>
      </c>
      <c r="BO45" s="88"/>
      <c r="BP45" s="89">
        <v>317001510</v>
      </c>
      <c r="BQ45" s="90">
        <v>59293571</v>
      </c>
      <c r="BR45" s="90">
        <v>1174870</v>
      </c>
      <c r="BS45" s="89">
        <v>13967640</v>
      </c>
      <c r="BT45" s="89">
        <v>391437591</v>
      </c>
    </row>
    <row r="46" spans="1:72" x14ac:dyDescent="0.25">
      <c r="A46" s="91" t="s">
        <v>100</v>
      </c>
      <c r="B46" s="80">
        <v>895089403</v>
      </c>
      <c r="C46" s="80">
        <v>124784144</v>
      </c>
      <c r="D46" s="80">
        <v>268477798</v>
      </c>
      <c r="E46" s="80">
        <v>0</v>
      </c>
      <c r="F46" s="80">
        <v>121573414</v>
      </c>
      <c r="G46" s="80">
        <v>38109992</v>
      </c>
      <c r="H46" s="80">
        <v>16728431</v>
      </c>
      <c r="I46" s="80">
        <v>5851349</v>
      </c>
      <c r="J46" s="80">
        <v>182600</v>
      </c>
      <c r="K46" s="80">
        <v>0</v>
      </c>
      <c r="L46" s="80">
        <v>115630122</v>
      </c>
      <c r="M46" s="80">
        <v>107063241</v>
      </c>
      <c r="N46" s="80">
        <v>4057</v>
      </c>
      <c r="O46" s="80">
        <v>1420</v>
      </c>
      <c r="P46" s="80">
        <v>4727245</v>
      </c>
      <c r="Q46" s="80">
        <v>2415064</v>
      </c>
      <c r="R46" s="80">
        <v>477003</v>
      </c>
      <c r="S46" s="80">
        <v>3017046</v>
      </c>
      <c r="T46" s="80">
        <v>347063</v>
      </c>
      <c r="U46" s="80">
        <v>3552984</v>
      </c>
      <c r="V46" s="80">
        <v>4727245</v>
      </c>
      <c r="W46" s="80">
        <v>2656597</v>
      </c>
      <c r="X46" s="80">
        <v>477003</v>
      </c>
      <c r="Y46" s="80">
        <v>3017046</v>
      </c>
      <c r="Z46" s="80">
        <v>445029</v>
      </c>
      <c r="AA46" s="80">
        <v>3552984</v>
      </c>
      <c r="AB46" s="80">
        <v>-15811957</v>
      </c>
      <c r="AC46" s="80">
        <v>-994128</v>
      </c>
      <c r="AD46" s="80">
        <v>146535</v>
      </c>
      <c r="AE46" s="80">
        <v>0</v>
      </c>
      <c r="AF46" s="80">
        <v>0</v>
      </c>
      <c r="AG46" s="80">
        <v>186688</v>
      </c>
      <c r="AH46" s="81">
        <v>24759836.065573771</v>
      </c>
      <c r="AI46" s="80">
        <v>905923.7704918033</v>
      </c>
      <c r="AJ46" s="92">
        <v>0</v>
      </c>
      <c r="AK46" s="82">
        <v>233413755</v>
      </c>
      <c r="AL46" s="83">
        <v>5919581</v>
      </c>
      <c r="AM46" s="80">
        <v>25000</v>
      </c>
      <c r="AN46" s="80">
        <v>44525504</v>
      </c>
      <c r="AO46" s="80">
        <v>1349481</v>
      </c>
      <c r="AP46" s="80">
        <v>114922363</v>
      </c>
      <c r="AQ46" s="80">
        <v>44762546</v>
      </c>
      <c r="AR46" s="80">
        <v>88306213</v>
      </c>
      <c r="AS46" s="80">
        <v>99977268</v>
      </c>
      <c r="AT46" s="80">
        <v>708400</v>
      </c>
      <c r="AU46" s="80">
        <v>0</v>
      </c>
      <c r="AV46" s="80">
        <v>0</v>
      </c>
      <c r="AW46" s="80">
        <v>0</v>
      </c>
      <c r="AX46" s="80">
        <v>24229</v>
      </c>
      <c r="AY46" s="80">
        <v>571039</v>
      </c>
      <c r="AZ46" s="82">
        <v>11070771.73</v>
      </c>
      <c r="BA46" s="82">
        <v>5646093.5800000001</v>
      </c>
      <c r="BB46" s="84">
        <v>33575129.530000001</v>
      </c>
      <c r="BC46" s="84">
        <v>28853669</v>
      </c>
      <c r="BD46" s="84">
        <v>56575821</v>
      </c>
      <c r="BE46" s="84">
        <v>69260785</v>
      </c>
      <c r="BF46" s="84">
        <v>69260785</v>
      </c>
      <c r="BG46" s="84">
        <v>105292316</v>
      </c>
      <c r="BH46" s="84">
        <v>89268030</v>
      </c>
      <c r="BI46" s="84">
        <v>0</v>
      </c>
      <c r="BJ46" s="84">
        <v>0</v>
      </c>
      <c r="BK46" s="85"/>
      <c r="BL46" s="86">
        <v>1837016549.4160655</v>
      </c>
      <c r="BM46" s="86">
        <v>1404654635.8360655</v>
      </c>
      <c r="BN46" s="87">
        <v>1991930</v>
      </c>
      <c r="BO46" s="88"/>
      <c r="BP46" s="89">
        <v>1288351345</v>
      </c>
      <c r="BQ46" s="90">
        <v>233413755</v>
      </c>
      <c r="BR46" s="90">
        <v>5919581</v>
      </c>
      <c r="BS46" s="89">
        <v>190614799</v>
      </c>
      <c r="BT46" s="89">
        <v>1718299480</v>
      </c>
    </row>
    <row r="47" spans="1:72" x14ac:dyDescent="0.25">
      <c r="A47" s="91" t="s">
        <v>101</v>
      </c>
      <c r="B47" s="80">
        <v>158578868</v>
      </c>
      <c r="C47" s="80">
        <v>80306768</v>
      </c>
      <c r="D47" s="80">
        <v>114127018</v>
      </c>
      <c r="E47" s="80">
        <v>380000000</v>
      </c>
      <c r="F47" s="80">
        <v>21062900</v>
      </c>
      <c r="G47" s="80">
        <v>4036700</v>
      </c>
      <c r="H47" s="80">
        <v>9883300</v>
      </c>
      <c r="I47" s="80">
        <v>987300</v>
      </c>
      <c r="J47" s="80">
        <v>0</v>
      </c>
      <c r="K47" s="80">
        <v>0</v>
      </c>
      <c r="L47" s="80">
        <v>178934256</v>
      </c>
      <c r="M47" s="80">
        <v>61421268</v>
      </c>
      <c r="N47" s="80">
        <v>887</v>
      </c>
      <c r="O47" s="80">
        <v>158</v>
      </c>
      <c r="P47" s="80">
        <v>4803398</v>
      </c>
      <c r="Q47" s="80">
        <v>1375992</v>
      </c>
      <c r="R47" s="80">
        <v>140000</v>
      </c>
      <c r="S47" s="80">
        <v>1361310</v>
      </c>
      <c r="T47" s="80">
        <v>1281100</v>
      </c>
      <c r="U47" s="80">
        <v>240600</v>
      </c>
      <c r="V47" s="80">
        <v>4803398</v>
      </c>
      <c r="W47" s="80">
        <v>1548492</v>
      </c>
      <c r="X47" s="80">
        <v>140000</v>
      </c>
      <c r="Y47" s="80">
        <v>1407810</v>
      </c>
      <c r="Z47" s="80">
        <v>1620350</v>
      </c>
      <c r="AA47" s="80">
        <v>240600</v>
      </c>
      <c r="AB47" s="80">
        <v>-537140</v>
      </c>
      <c r="AC47" s="80">
        <v>0</v>
      </c>
      <c r="AD47" s="80">
        <v>89582</v>
      </c>
      <c r="AE47" s="80">
        <v>0</v>
      </c>
      <c r="AF47" s="80">
        <v>0</v>
      </c>
      <c r="AG47" s="80">
        <v>107857</v>
      </c>
      <c r="AH47" s="81">
        <v>1053180.3278688525</v>
      </c>
      <c r="AI47" s="80">
        <v>198278.68852459016</v>
      </c>
      <c r="AJ47" s="92">
        <v>0</v>
      </c>
      <c r="AK47" s="82">
        <v>59491042</v>
      </c>
      <c r="AL47" s="83">
        <v>1638004</v>
      </c>
      <c r="AM47" s="80">
        <v>0</v>
      </c>
      <c r="AN47" s="80">
        <v>38571058</v>
      </c>
      <c r="AO47" s="80">
        <v>46309242</v>
      </c>
      <c r="AP47" s="80">
        <v>527517479</v>
      </c>
      <c r="AQ47" s="80">
        <v>21878481</v>
      </c>
      <c r="AR47" s="80">
        <v>148656351</v>
      </c>
      <c r="AS47" s="80">
        <v>87104988</v>
      </c>
      <c r="AT47" s="80">
        <v>1945801</v>
      </c>
      <c r="AU47" s="80">
        <v>0</v>
      </c>
      <c r="AV47" s="80">
        <v>0</v>
      </c>
      <c r="AW47" s="80">
        <v>6721116</v>
      </c>
      <c r="AX47" s="80">
        <v>2126</v>
      </c>
      <c r="AY47" s="80">
        <v>305400</v>
      </c>
      <c r="AZ47" s="82">
        <v>2821649.25</v>
      </c>
      <c r="BA47" s="82">
        <v>1439041.12</v>
      </c>
      <c r="BB47" s="84">
        <v>30984455.960000001</v>
      </c>
      <c r="BC47" s="84">
        <v>1564799</v>
      </c>
      <c r="BD47" s="84">
        <v>3068234</v>
      </c>
      <c r="BE47" s="84">
        <v>61736613</v>
      </c>
      <c r="BF47" s="84">
        <v>61736613</v>
      </c>
      <c r="BG47" s="84">
        <v>40832503</v>
      </c>
      <c r="BH47" s="84">
        <v>39059625</v>
      </c>
      <c r="BI47" s="84">
        <v>0</v>
      </c>
      <c r="BJ47" s="84">
        <v>0</v>
      </c>
      <c r="BK47" s="85"/>
      <c r="BL47" s="86">
        <v>625952018.13639355</v>
      </c>
      <c r="BM47" s="86">
        <v>461022894.01639348</v>
      </c>
      <c r="BN47" s="87">
        <v>468310</v>
      </c>
      <c r="BO47" s="88"/>
      <c r="BP47" s="89">
        <v>353012654</v>
      </c>
      <c r="BQ47" s="90">
        <v>59491042</v>
      </c>
      <c r="BR47" s="90">
        <v>1638004</v>
      </c>
      <c r="BS47" s="89">
        <v>193863769</v>
      </c>
      <c r="BT47" s="89">
        <v>608005469</v>
      </c>
    </row>
    <row r="48" spans="1:72" x14ac:dyDescent="0.25">
      <c r="A48" s="91" t="s">
        <v>102</v>
      </c>
      <c r="B48" s="80">
        <v>3839941200</v>
      </c>
      <c r="C48" s="80">
        <v>368634010</v>
      </c>
      <c r="D48" s="80">
        <v>1471776798</v>
      </c>
      <c r="E48" s="80">
        <v>16260000</v>
      </c>
      <c r="F48" s="80">
        <v>228364000</v>
      </c>
      <c r="G48" s="80">
        <v>33268500</v>
      </c>
      <c r="H48" s="80">
        <v>28121100</v>
      </c>
      <c r="I48" s="80">
        <v>2379200</v>
      </c>
      <c r="J48" s="80">
        <v>479700</v>
      </c>
      <c r="K48" s="80">
        <v>36900</v>
      </c>
      <c r="L48" s="80">
        <v>648055670</v>
      </c>
      <c r="M48" s="80">
        <v>1047189980</v>
      </c>
      <c r="N48" s="80">
        <v>7124</v>
      </c>
      <c r="O48" s="80">
        <v>1033</v>
      </c>
      <c r="P48" s="80">
        <v>48349800</v>
      </c>
      <c r="Q48" s="80">
        <v>6232700</v>
      </c>
      <c r="R48" s="80">
        <v>44010750</v>
      </c>
      <c r="S48" s="80">
        <v>16983900</v>
      </c>
      <c r="T48" s="80">
        <v>2781100</v>
      </c>
      <c r="U48" s="80">
        <v>16637500</v>
      </c>
      <c r="V48" s="80">
        <v>48349800</v>
      </c>
      <c r="W48" s="80">
        <v>6232700</v>
      </c>
      <c r="X48" s="80">
        <v>44010750</v>
      </c>
      <c r="Y48" s="80">
        <v>16983900</v>
      </c>
      <c r="Z48" s="80">
        <v>2781100</v>
      </c>
      <c r="AA48" s="80">
        <v>16637500</v>
      </c>
      <c r="AB48" s="80">
        <v>-6760000</v>
      </c>
      <c r="AC48" s="80">
        <v>5374038</v>
      </c>
      <c r="AD48" s="80">
        <v>89925</v>
      </c>
      <c r="AE48" s="80">
        <v>0</v>
      </c>
      <c r="AF48" s="80">
        <v>0</v>
      </c>
      <c r="AG48" s="80">
        <v>264450</v>
      </c>
      <c r="AH48" s="81">
        <v>0</v>
      </c>
      <c r="AI48" s="80">
        <v>1551763.1147540985</v>
      </c>
      <c r="AJ48" s="92">
        <v>0</v>
      </c>
      <c r="AK48" s="82">
        <v>632561070</v>
      </c>
      <c r="AL48" s="83">
        <v>15013346</v>
      </c>
      <c r="AM48" s="80">
        <v>21000</v>
      </c>
      <c r="AN48" s="80">
        <v>180749572</v>
      </c>
      <c r="AO48" s="80">
        <v>19896708</v>
      </c>
      <c r="AP48" s="80">
        <v>639002364</v>
      </c>
      <c r="AQ48" s="80">
        <v>197924794</v>
      </c>
      <c r="AR48" s="80">
        <v>206303947</v>
      </c>
      <c r="AS48" s="80">
        <v>62763232</v>
      </c>
      <c r="AT48" s="80">
        <v>0</v>
      </c>
      <c r="AU48" s="80">
        <v>0</v>
      </c>
      <c r="AV48" s="80">
        <v>21594</v>
      </c>
      <c r="AW48" s="80">
        <v>580261</v>
      </c>
      <c r="AX48" s="80">
        <v>2232661</v>
      </c>
      <c r="AY48" s="80">
        <v>1289027</v>
      </c>
      <c r="AZ48" s="82">
        <v>30002255.899999999</v>
      </c>
      <c r="BA48" s="82">
        <v>15301150.51</v>
      </c>
      <c r="BB48" s="84">
        <v>2901554.4</v>
      </c>
      <c r="BC48" s="84">
        <v>5212929</v>
      </c>
      <c r="BD48" s="84">
        <v>10221429</v>
      </c>
      <c r="BE48" s="84">
        <v>74279584</v>
      </c>
      <c r="BF48" s="84">
        <v>64355124</v>
      </c>
      <c r="BG48" s="84">
        <v>220186122</v>
      </c>
      <c r="BH48" s="84">
        <v>210772888</v>
      </c>
      <c r="BI48" s="84">
        <v>0</v>
      </c>
      <c r="BJ48" s="84">
        <v>0</v>
      </c>
      <c r="BK48" s="85"/>
      <c r="BL48" s="86">
        <v>7023691352.624754</v>
      </c>
      <c r="BM48" s="86">
        <v>6080474845.1147537</v>
      </c>
      <c r="BN48" s="87">
        <v>12150800</v>
      </c>
      <c r="BO48" s="88"/>
      <c r="BP48" s="89">
        <v>5680352008</v>
      </c>
      <c r="BQ48" s="90">
        <v>632561070</v>
      </c>
      <c r="BR48" s="90">
        <v>15013346</v>
      </c>
      <c r="BS48" s="89">
        <v>461334306</v>
      </c>
      <c r="BT48" s="89">
        <v>6789260730</v>
      </c>
    </row>
    <row r="49" spans="1:72" x14ac:dyDescent="0.25">
      <c r="A49" s="91" t="s">
        <v>103</v>
      </c>
      <c r="B49" s="80">
        <v>392612294</v>
      </c>
      <c r="C49" s="80">
        <v>41305335</v>
      </c>
      <c r="D49" s="80">
        <v>144522873</v>
      </c>
      <c r="E49" s="80">
        <v>0</v>
      </c>
      <c r="F49" s="80">
        <v>58692089</v>
      </c>
      <c r="G49" s="80">
        <v>69209430</v>
      </c>
      <c r="H49" s="80">
        <v>2439555</v>
      </c>
      <c r="I49" s="80">
        <v>1406360</v>
      </c>
      <c r="J49" s="80">
        <v>228800</v>
      </c>
      <c r="K49" s="80">
        <v>130250</v>
      </c>
      <c r="L49" s="80">
        <v>94281594</v>
      </c>
      <c r="M49" s="80">
        <v>16880178</v>
      </c>
      <c r="N49" s="80">
        <v>1984</v>
      </c>
      <c r="O49" s="80">
        <v>2436</v>
      </c>
      <c r="P49" s="80">
        <v>3581989</v>
      </c>
      <c r="Q49" s="80">
        <v>46040</v>
      </c>
      <c r="R49" s="80">
        <v>1188900</v>
      </c>
      <c r="S49" s="80">
        <v>6485774</v>
      </c>
      <c r="T49" s="80">
        <v>46050</v>
      </c>
      <c r="U49" s="80">
        <v>584675</v>
      </c>
      <c r="V49" s="80">
        <v>3581989</v>
      </c>
      <c r="W49" s="80">
        <v>151040</v>
      </c>
      <c r="X49" s="80">
        <v>1188900</v>
      </c>
      <c r="Y49" s="80">
        <v>6485774</v>
      </c>
      <c r="Z49" s="80">
        <v>83050</v>
      </c>
      <c r="AA49" s="80">
        <v>584675</v>
      </c>
      <c r="AB49" s="80">
        <v>-3796392</v>
      </c>
      <c r="AC49" s="80">
        <v>-3419639</v>
      </c>
      <c r="AD49" s="80">
        <v>241348</v>
      </c>
      <c r="AE49" s="80">
        <v>3192015</v>
      </c>
      <c r="AF49" s="80">
        <v>0</v>
      </c>
      <c r="AG49" s="80">
        <v>211112</v>
      </c>
      <c r="AH49" s="81">
        <v>9100491.8032786883</v>
      </c>
      <c r="AI49" s="80">
        <v>34603667.213114753</v>
      </c>
      <c r="AJ49" s="92">
        <v>231495401.63934427</v>
      </c>
      <c r="AK49" s="82">
        <v>153674092</v>
      </c>
      <c r="AL49" s="83">
        <v>2008875</v>
      </c>
      <c r="AM49" s="80">
        <v>0</v>
      </c>
      <c r="AN49" s="80">
        <v>113293411</v>
      </c>
      <c r="AO49" s="80">
        <v>3463150</v>
      </c>
      <c r="AP49" s="80">
        <v>110534474</v>
      </c>
      <c r="AQ49" s="80">
        <v>28494630</v>
      </c>
      <c r="AR49" s="80">
        <v>11137141</v>
      </c>
      <c r="AS49" s="80">
        <v>1750013</v>
      </c>
      <c r="AT49" s="80">
        <v>8313</v>
      </c>
      <c r="AU49" s="80">
        <v>0</v>
      </c>
      <c r="AV49" s="80">
        <v>0</v>
      </c>
      <c r="AW49" s="80">
        <v>0</v>
      </c>
      <c r="AX49" s="80">
        <v>0</v>
      </c>
      <c r="AY49" s="80">
        <v>171000</v>
      </c>
      <c r="AZ49" s="82">
        <v>7288734.0899999999</v>
      </c>
      <c r="BA49" s="82">
        <v>3717254.39</v>
      </c>
      <c r="BB49" s="84"/>
      <c r="BC49" s="84">
        <v>8025272</v>
      </c>
      <c r="BD49" s="84">
        <v>15735827</v>
      </c>
      <c r="BE49" s="84">
        <v>21795382</v>
      </c>
      <c r="BF49" s="84">
        <v>21795382</v>
      </c>
      <c r="BG49" s="84">
        <v>71126324</v>
      </c>
      <c r="BH49" s="84">
        <v>62068304</v>
      </c>
      <c r="BI49" s="84">
        <v>0</v>
      </c>
      <c r="BJ49" s="84">
        <v>0</v>
      </c>
      <c r="BK49" s="85"/>
      <c r="BL49" s="86">
        <v>1250180433.0457377</v>
      </c>
      <c r="BM49" s="86">
        <v>998891253.65573764</v>
      </c>
      <c r="BN49" s="87">
        <v>752821</v>
      </c>
      <c r="BO49" s="88"/>
      <c r="BP49" s="89">
        <v>578440502</v>
      </c>
      <c r="BQ49" s="90">
        <v>153674092</v>
      </c>
      <c r="BR49" s="90">
        <v>2008875</v>
      </c>
      <c r="BS49" s="89">
        <v>147001204</v>
      </c>
      <c r="BT49" s="89">
        <v>881124673</v>
      </c>
    </row>
    <row r="50" spans="1:72" x14ac:dyDescent="0.25">
      <c r="A50" s="91" t="s">
        <v>104</v>
      </c>
      <c r="B50" s="80">
        <v>457718905</v>
      </c>
      <c r="C50" s="80">
        <v>224816361</v>
      </c>
      <c r="D50" s="80">
        <v>109438430</v>
      </c>
      <c r="E50" s="80">
        <v>0</v>
      </c>
      <c r="F50" s="80">
        <v>38821911</v>
      </c>
      <c r="G50" s="80">
        <v>5023670</v>
      </c>
      <c r="H50" s="80">
        <v>14911048</v>
      </c>
      <c r="I50" s="80">
        <v>1831822</v>
      </c>
      <c r="J50" s="80">
        <v>72900</v>
      </c>
      <c r="K50" s="80">
        <v>18000</v>
      </c>
      <c r="L50" s="80">
        <v>305412076</v>
      </c>
      <c r="M50" s="80">
        <v>158096779</v>
      </c>
      <c r="N50" s="80">
        <v>1480</v>
      </c>
      <c r="O50" s="80">
        <v>191</v>
      </c>
      <c r="P50" s="80">
        <v>2935852</v>
      </c>
      <c r="Q50" s="80">
        <v>2477193</v>
      </c>
      <c r="R50" s="80">
        <v>181000</v>
      </c>
      <c r="S50" s="80">
        <v>308027</v>
      </c>
      <c r="T50" s="80">
        <v>69360</v>
      </c>
      <c r="U50" s="80">
        <v>0</v>
      </c>
      <c r="V50" s="80">
        <v>2935852</v>
      </c>
      <c r="W50" s="80">
        <v>2477193</v>
      </c>
      <c r="X50" s="80">
        <v>181000</v>
      </c>
      <c r="Y50" s="80">
        <v>308027</v>
      </c>
      <c r="Z50" s="80">
        <v>69360</v>
      </c>
      <c r="AA50" s="80">
        <v>0</v>
      </c>
      <c r="AB50" s="80">
        <v>-1287042</v>
      </c>
      <c r="AC50" s="80">
        <v>0</v>
      </c>
      <c r="AD50" s="80">
        <v>0</v>
      </c>
      <c r="AE50" s="80">
        <v>0</v>
      </c>
      <c r="AF50" s="80">
        <v>0</v>
      </c>
      <c r="AG50" s="80">
        <v>194891</v>
      </c>
      <c r="AH50" s="81">
        <v>0</v>
      </c>
      <c r="AI50" s="80">
        <v>0</v>
      </c>
      <c r="AJ50" s="92">
        <v>0</v>
      </c>
      <c r="AK50" s="82">
        <v>120202845</v>
      </c>
      <c r="AL50" s="83">
        <v>2421443</v>
      </c>
      <c r="AM50" s="80">
        <v>0</v>
      </c>
      <c r="AN50" s="80">
        <v>21721054</v>
      </c>
      <c r="AO50" s="80">
        <v>3834808</v>
      </c>
      <c r="AP50" s="80">
        <v>77203317</v>
      </c>
      <c r="AQ50" s="80">
        <v>20696632</v>
      </c>
      <c r="AR50" s="80">
        <v>27640528</v>
      </c>
      <c r="AS50" s="80">
        <v>843382</v>
      </c>
      <c r="AT50" s="80">
        <v>1058019</v>
      </c>
      <c r="AU50" s="80">
        <v>0</v>
      </c>
      <c r="AV50" s="80">
        <v>12246</v>
      </c>
      <c r="AW50" s="80">
        <v>10756806</v>
      </c>
      <c r="AX50" s="80">
        <v>0</v>
      </c>
      <c r="AY50" s="80">
        <v>654664</v>
      </c>
      <c r="AZ50" s="82">
        <v>5701198.96</v>
      </c>
      <c r="BA50" s="82">
        <v>2907611.47</v>
      </c>
      <c r="BB50" s="84"/>
      <c r="BC50" s="84">
        <v>2082717</v>
      </c>
      <c r="BD50" s="84">
        <v>4083759</v>
      </c>
      <c r="BE50" s="84">
        <v>17039882</v>
      </c>
      <c r="BF50" s="84">
        <v>17039882</v>
      </c>
      <c r="BG50" s="84">
        <v>48372550</v>
      </c>
      <c r="BH50" s="84">
        <v>44239121</v>
      </c>
      <c r="BI50" s="84">
        <v>0</v>
      </c>
      <c r="BJ50" s="84">
        <v>0</v>
      </c>
      <c r="BK50" s="85"/>
      <c r="BL50" s="86">
        <v>1027119809.47</v>
      </c>
      <c r="BM50" s="86">
        <v>838226190</v>
      </c>
      <c r="BN50" s="87">
        <v>1110447</v>
      </c>
      <c r="BO50" s="88"/>
      <c r="BP50" s="89">
        <v>791973696</v>
      </c>
      <c r="BQ50" s="90">
        <v>120202845</v>
      </c>
      <c r="BR50" s="90">
        <v>2421443</v>
      </c>
      <c r="BS50" s="89">
        <v>47095876</v>
      </c>
      <c r="BT50" s="89">
        <v>961693860</v>
      </c>
    </row>
    <row r="51" spans="1:72" x14ac:dyDescent="0.25">
      <c r="A51" s="91" t="s">
        <v>105</v>
      </c>
      <c r="B51" s="80">
        <v>286117649</v>
      </c>
      <c r="C51" s="80">
        <v>219305150</v>
      </c>
      <c r="D51" s="80">
        <v>142809883</v>
      </c>
      <c r="E51" s="80">
        <v>14702485</v>
      </c>
      <c r="F51" s="80">
        <v>39904700</v>
      </c>
      <c r="G51" s="80">
        <v>11107450</v>
      </c>
      <c r="H51" s="80">
        <v>19200500</v>
      </c>
      <c r="I51" s="80">
        <v>3410000</v>
      </c>
      <c r="J51" s="80">
        <v>145800</v>
      </c>
      <c r="K51" s="80">
        <v>36900</v>
      </c>
      <c r="L51" s="80">
        <v>294453799</v>
      </c>
      <c r="M51" s="80">
        <v>135283570</v>
      </c>
      <c r="N51" s="80">
        <v>1717</v>
      </c>
      <c r="O51" s="80">
        <v>478</v>
      </c>
      <c r="P51" s="80">
        <v>4223800</v>
      </c>
      <c r="Q51" s="80">
        <v>4245900</v>
      </c>
      <c r="R51" s="80">
        <v>1406800</v>
      </c>
      <c r="S51" s="80">
        <v>2251359</v>
      </c>
      <c r="T51" s="80">
        <v>972800</v>
      </c>
      <c r="U51" s="80">
        <v>982050</v>
      </c>
      <c r="V51" s="80">
        <v>4223800</v>
      </c>
      <c r="W51" s="80">
        <v>4231490</v>
      </c>
      <c r="X51" s="80">
        <v>1406800</v>
      </c>
      <c r="Y51" s="80">
        <v>2251359</v>
      </c>
      <c r="Z51" s="80">
        <v>1664402</v>
      </c>
      <c r="AA51" s="80">
        <v>982050</v>
      </c>
      <c r="AB51" s="80">
        <v>-2335900</v>
      </c>
      <c r="AC51" s="80">
        <v>-22339</v>
      </c>
      <c r="AD51" s="80">
        <v>103781</v>
      </c>
      <c r="AE51" s="80">
        <v>0</v>
      </c>
      <c r="AF51" s="80">
        <v>0</v>
      </c>
      <c r="AG51" s="80">
        <v>233867</v>
      </c>
      <c r="AH51" s="81">
        <v>2693295.0819672132</v>
      </c>
      <c r="AI51" s="80">
        <v>231655.73770491805</v>
      </c>
      <c r="AJ51" s="92">
        <v>0</v>
      </c>
      <c r="AK51" s="82">
        <v>83766605</v>
      </c>
      <c r="AL51" s="83">
        <v>3525412</v>
      </c>
      <c r="AM51" s="80">
        <v>0</v>
      </c>
      <c r="AN51" s="80">
        <v>15086520</v>
      </c>
      <c r="AO51" s="80">
        <v>1735375</v>
      </c>
      <c r="AP51" s="80">
        <v>189851756</v>
      </c>
      <c r="AQ51" s="80">
        <v>57666992</v>
      </c>
      <c r="AR51" s="80">
        <v>52438652</v>
      </c>
      <c r="AS51" s="80">
        <v>0</v>
      </c>
      <c r="AT51" s="80">
        <v>1186749</v>
      </c>
      <c r="AU51" s="80">
        <v>0</v>
      </c>
      <c r="AV51" s="80">
        <v>44869</v>
      </c>
      <c r="AW51" s="80">
        <v>4940643</v>
      </c>
      <c r="AX51" s="80">
        <v>72765</v>
      </c>
      <c r="AY51" s="80">
        <v>0</v>
      </c>
      <c r="AZ51" s="82">
        <v>3973034.76</v>
      </c>
      <c r="BA51" s="82">
        <v>2026247.73</v>
      </c>
      <c r="BB51" s="84"/>
      <c r="BC51" s="84">
        <v>1367819</v>
      </c>
      <c r="BD51" s="84">
        <v>2681997</v>
      </c>
      <c r="BE51" s="84">
        <v>16263963</v>
      </c>
      <c r="BF51" s="84">
        <v>16263963</v>
      </c>
      <c r="BG51" s="84">
        <v>62363173</v>
      </c>
      <c r="BH51" s="84">
        <v>59371361</v>
      </c>
      <c r="BI51" s="84">
        <v>0</v>
      </c>
      <c r="BJ51" s="84">
        <v>0</v>
      </c>
      <c r="BK51" s="85"/>
      <c r="BL51" s="86">
        <v>891967927.54967213</v>
      </c>
      <c r="BM51" s="86">
        <v>725646519.81967211</v>
      </c>
      <c r="BN51" s="87">
        <v>788715</v>
      </c>
      <c r="BO51" s="88"/>
      <c r="BP51" s="89">
        <v>648232682</v>
      </c>
      <c r="BQ51" s="90">
        <v>83766605</v>
      </c>
      <c r="BR51" s="90">
        <v>3525412</v>
      </c>
      <c r="BS51" s="89">
        <v>74488887</v>
      </c>
      <c r="BT51" s="89">
        <v>810013586</v>
      </c>
    </row>
    <row r="52" spans="1:72" x14ac:dyDescent="0.25">
      <c r="A52" s="91" t="s">
        <v>106</v>
      </c>
      <c r="B52" s="80">
        <v>1290704847</v>
      </c>
      <c r="C52" s="80">
        <v>260516109</v>
      </c>
      <c r="D52" s="80">
        <v>536295339</v>
      </c>
      <c r="E52" s="80">
        <v>148736650</v>
      </c>
      <c r="F52" s="80">
        <v>128295916</v>
      </c>
      <c r="G52" s="80">
        <v>15261865</v>
      </c>
      <c r="H52" s="80">
        <v>10303531</v>
      </c>
      <c r="I52" s="80">
        <v>627300</v>
      </c>
      <c r="J52" s="80">
        <v>221400</v>
      </c>
      <c r="K52" s="80">
        <v>0</v>
      </c>
      <c r="L52" s="80">
        <v>906687687</v>
      </c>
      <c r="M52" s="80">
        <v>96787600</v>
      </c>
      <c r="N52" s="80">
        <v>3910</v>
      </c>
      <c r="O52" s="80">
        <v>492</v>
      </c>
      <c r="P52" s="80">
        <v>10773000</v>
      </c>
      <c r="Q52" s="80">
        <v>2202300</v>
      </c>
      <c r="R52" s="80">
        <v>7443160</v>
      </c>
      <c r="S52" s="80">
        <v>6277200</v>
      </c>
      <c r="T52" s="80">
        <v>2068500</v>
      </c>
      <c r="U52" s="80">
        <v>4525426</v>
      </c>
      <c r="V52" s="80">
        <v>10773000</v>
      </c>
      <c r="W52" s="80">
        <v>8133000</v>
      </c>
      <c r="X52" s="80">
        <v>7443160</v>
      </c>
      <c r="Y52" s="80">
        <v>6277200</v>
      </c>
      <c r="Z52" s="80">
        <v>6441900</v>
      </c>
      <c r="AA52" s="80">
        <v>4525426</v>
      </c>
      <c r="AB52" s="80">
        <v>-4478421</v>
      </c>
      <c r="AC52" s="80">
        <v>-22165997</v>
      </c>
      <c r="AD52" s="80">
        <v>38233</v>
      </c>
      <c r="AE52" s="80">
        <v>5168</v>
      </c>
      <c r="AF52" s="80">
        <v>20666405</v>
      </c>
      <c r="AG52" s="80">
        <v>245695</v>
      </c>
      <c r="AH52" s="81">
        <v>42029237.704918034</v>
      </c>
      <c r="AI52" s="80">
        <v>0</v>
      </c>
      <c r="AJ52" s="92">
        <v>52704196.72131148</v>
      </c>
      <c r="AK52" s="82">
        <v>310413735</v>
      </c>
      <c r="AL52" s="83">
        <v>14293056</v>
      </c>
      <c r="AM52" s="80">
        <v>155397</v>
      </c>
      <c r="AN52" s="80">
        <v>108255808</v>
      </c>
      <c r="AO52" s="80">
        <v>21831242</v>
      </c>
      <c r="AP52" s="80">
        <v>308235783</v>
      </c>
      <c r="AQ52" s="80">
        <v>123255502</v>
      </c>
      <c r="AR52" s="80">
        <v>186811343</v>
      </c>
      <c r="AS52" s="80">
        <v>152707206</v>
      </c>
      <c r="AT52" s="80">
        <v>4823054</v>
      </c>
      <c r="AU52" s="80">
        <v>0</v>
      </c>
      <c r="AV52" s="80">
        <v>1163852</v>
      </c>
      <c r="AW52" s="80">
        <v>40613734</v>
      </c>
      <c r="AX52" s="80">
        <v>224750</v>
      </c>
      <c r="AY52" s="80">
        <v>1432480</v>
      </c>
      <c r="AZ52" s="82">
        <v>14722866.699999999</v>
      </c>
      <c r="BA52" s="82">
        <v>7508662.0199999996</v>
      </c>
      <c r="BB52" s="84">
        <v>78031088.079999998</v>
      </c>
      <c r="BC52" s="84">
        <v>2640522</v>
      </c>
      <c r="BD52" s="84">
        <v>5177494</v>
      </c>
      <c r="BE52" s="84">
        <v>33331307</v>
      </c>
      <c r="BF52" s="84">
        <v>33331307</v>
      </c>
      <c r="BG52" s="84">
        <v>110734348</v>
      </c>
      <c r="BH52" s="84">
        <v>107247117</v>
      </c>
      <c r="BI52" s="84">
        <v>0</v>
      </c>
      <c r="BJ52" s="84">
        <v>0</v>
      </c>
      <c r="BK52" s="85"/>
      <c r="BL52" s="86">
        <v>2911026680.4462295</v>
      </c>
      <c r="BM52" s="86">
        <v>2435592281.4262295</v>
      </c>
      <c r="BN52" s="87">
        <v>4314574</v>
      </c>
      <c r="BO52" s="88"/>
      <c r="BP52" s="89">
        <v>2087516295</v>
      </c>
      <c r="BQ52" s="90">
        <v>310413735</v>
      </c>
      <c r="BR52" s="90">
        <v>14293056</v>
      </c>
      <c r="BS52" s="89">
        <v>406049758</v>
      </c>
      <c r="BT52" s="89">
        <v>2818272844</v>
      </c>
    </row>
    <row r="53" spans="1:72" x14ac:dyDescent="0.25">
      <c r="A53" s="91" t="s">
        <v>107</v>
      </c>
      <c r="B53" s="80">
        <v>411691000</v>
      </c>
      <c r="C53" s="80">
        <v>202012800</v>
      </c>
      <c r="D53" s="80">
        <v>72997285</v>
      </c>
      <c r="E53" s="80">
        <v>0</v>
      </c>
      <c r="F53" s="80">
        <v>39392300</v>
      </c>
      <c r="G53" s="80">
        <v>5873000</v>
      </c>
      <c r="H53" s="80">
        <v>12847800</v>
      </c>
      <c r="I53" s="80">
        <v>781600</v>
      </c>
      <c r="J53" s="80">
        <v>73800</v>
      </c>
      <c r="K53" s="80">
        <v>0</v>
      </c>
      <c r="L53" s="80">
        <v>299420607</v>
      </c>
      <c r="M53" s="80">
        <v>140492900</v>
      </c>
      <c r="N53" s="80">
        <v>1451</v>
      </c>
      <c r="O53" s="80">
        <v>188</v>
      </c>
      <c r="P53" s="80">
        <v>6152400</v>
      </c>
      <c r="Q53" s="80">
        <v>3729200</v>
      </c>
      <c r="R53" s="80">
        <v>1092200</v>
      </c>
      <c r="S53" s="80">
        <v>6117200</v>
      </c>
      <c r="T53" s="80">
        <v>1897400</v>
      </c>
      <c r="U53" s="80">
        <v>1628800</v>
      </c>
      <c r="V53" s="80">
        <v>6152400</v>
      </c>
      <c r="W53" s="80">
        <v>4456900</v>
      </c>
      <c r="X53" s="80">
        <v>1092200</v>
      </c>
      <c r="Y53" s="80">
        <v>6117200</v>
      </c>
      <c r="Z53" s="80">
        <v>3788300</v>
      </c>
      <c r="AA53" s="80">
        <v>1628800</v>
      </c>
      <c r="AB53" s="80">
        <v>-3931430</v>
      </c>
      <c r="AC53" s="80">
        <v>-3815318</v>
      </c>
      <c r="AD53" s="80">
        <v>31577</v>
      </c>
      <c r="AE53" s="80">
        <v>35635</v>
      </c>
      <c r="AF53" s="80">
        <v>157898500</v>
      </c>
      <c r="AG53" s="80">
        <v>168413</v>
      </c>
      <c r="AH53" s="81">
        <v>0</v>
      </c>
      <c r="AI53" s="80">
        <v>376778.68852459016</v>
      </c>
      <c r="AJ53" s="92">
        <v>0</v>
      </c>
      <c r="AK53" s="82">
        <v>101457760</v>
      </c>
      <c r="AL53" s="83">
        <v>2317010</v>
      </c>
      <c r="AM53" s="80">
        <v>30000</v>
      </c>
      <c r="AN53" s="80">
        <v>17922695</v>
      </c>
      <c r="AO53" s="80">
        <v>1671216</v>
      </c>
      <c r="AP53" s="80">
        <v>27079924</v>
      </c>
      <c r="AQ53" s="80">
        <v>14038830</v>
      </c>
      <c r="AR53" s="80">
        <v>57683561</v>
      </c>
      <c r="AS53" s="80">
        <v>13612364</v>
      </c>
      <c r="AT53" s="80">
        <v>2078322</v>
      </c>
      <c r="AU53" s="80">
        <v>0</v>
      </c>
      <c r="AV53" s="80">
        <v>0</v>
      </c>
      <c r="AW53" s="80">
        <v>28452</v>
      </c>
      <c r="AX53" s="80">
        <v>77028</v>
      </c>
      <c r="AY53" s="80">
        <v>172000</v>
      </c>
      <c r="AZ53" s="82">
        <v>4812123.01</v>
      </c>
      <c r="BA53" s="82">
        <v>2454182.7400000002</v>
      </c>
      <c r="BB53" s="84">
        <v>5129533.68</v>
      </c>
      <c r="BC53" s="84">
        <v>920470</v>
      </c>
      <c r="BD53" s="84">
        <v>1804843</v>
      </c>
      <c r="BE53" s="84">
        <v>11619158</v>
      </c>
      <c r="BF53" s="84">
        <v>11619158</v>
      </c>
      <c r="BG53" s="84">
        <v>39292239</v>
      </c>
      <c r="BH53" s="84">
        <v>37817585</v>
      </c>
      <c r="BI53" s="84">
        <v>0</v>
      </c>
      <c r="BJ53" s="84">
        <v>0</v>
      </c>
      <c r="BK53" s="85"/>
      <c r="BL53" s="86">
        <v>877296770.42852461</v>
      </c>
      <c r="BM53" s="86">
        <v>720710604.6885246</v>
      </c>
      <c r="BN53" s="87">
        <v>440200</v>
      </c>
      <c r="BO53" s="88"/>
      <c r="BP53" s="89">
        <v>686701085</v>
      </c>
      <c r="BQ53" s="90">
        <v>101457760</v>
      </c>
      <c r="BR53" s="90">
        <v>2317010</v>
      </c>
      <c r="BS53" s="89">
        <v>47245105</v>
      </c>
      <c r="BT53" s="89">
        <v>837720960</v>
      </c>
    </row>
    <row r="54" spans="1:72" x14ac:dyDescent="0.25">
      <c r="A54" s="91" t="s">
        <v>108</v>
      </c>
      <c r="B54" s="80">
        <v>66046277</v>
      </c>
      <c r="C54" s="80">
        <v>110756885</v>
      </c>
      <c r="D54" s="80">
        <v>13938445</v>
      </c>
      <c r="E54" s="80">
        <v>0</v>
      </c>
      <c r="F54" s="80">
        <v>14448150</v>
      </c>
      <c r="G54" s="80">
        <v>2895050</v>
      </c>
      <c r="H54" s="80">
        <v>5956769</v>
      </c>
      <c r="I54" s="80">
        <v>332100</v>
      </c>
      <c r="J54" s="80">
        <v>10000</v>
      </c>
      <c r="K54" s="80">
        <v>0</v>
      </c>
      <c r="L54" s="80">
        <v>420180050</v>
      </c>
      <c r="M54" s="80">
        <v>30032189</v>
      </c>
      <c r="N54" s="80">
        <v>622</v>
      </c>
      <c r="O54" s="80">
        <v>113</v>
      </c>
      <c r="P54" s="80">
        <v>585525</v>
      </c>
      <c r="Q54" s="80">
        <v>576080</v>
      </c>
      <c r="R54" s="80">
        <v>12000</v>
      </c>
      <c r="S54" s="80">
        <v>747364</v>
      </c>
      <c r="T54" s="80">
        <v>151560</v>
      </c>
      <c r="U54" s="80">
        <v>22750</v>
      </c>
      <c r="V54" s="80">
        <v>585525</v>
      </c>
      <c r="W54" s="80">
        <v>1477455</v>
      </c>
      <c r="X54" s="80">
        <v>12000</v>
      </c>
      <c r="Y54" s="80">
        <v>747364</v>
      </c>
      <c r="Z54" s="80">
        <v>163043</v>
      </c>
      <c r="AA54" s="80">
        <v>22750</v>
      </c>
      <c r="AB54" s="80">
        <v>-1160750</v>
      </c>
      <c r="AC54" s="80">
        <v>0</v>
      </c>
      <c r="AD54" s="80">
        <v>27054</v>
      </c>
      <c r="AE54" s="80">
        <v>136</v>
      </c>
      <c r="AF54" s="80">
        <v>105719572</v>
      </c>
      <c r="AG54" s="80">
        <v>144194</v>
      </c>
      <c r="AH54" s="81">
        <v>0</v>
      </c>
      <c r="AI54" s="80">
        <v>5639.3442622950824</v>
      </c>
      <c r="AJ54" s="92">
        <v>0</v>
      </c>
      <c r="AK54" s="82">
        <v>36888539</v>
      </c>
      <c r="AL54" s="83">
        <v>739007</v>
      </c>
      <c r="AM54" s="80">
        <v>0</v>
      </c>
      <c r="AN54" s="80">
        <v>10958656</v>
      </c>
      <c r="AO54" s="80">
        <v>55675</v>
      </c>
      <c r="AP54" s="80">
        <v>340051</v>
      </c>
      <c r="AQ54" s="80">
        <v>14818533</v>
      </c>
      <c r="AR54" s="80">
        <v>6330170</v>
      </c>
      <c r="AS54" s="80">
        <v>0</v>
      </c>
      <c r="AT54" s="80">
        <v>2827572</v>
      </c>
      <c r="AU54" s="80">
        <v>0</v>
      </c>
      <c r="AV54" s="80">
        <v>0</v>
      </c>
      <c r="AW54" s="80">
        <v>3607187</v>
      </c>
      <c r="AX54" s="80">
        <v>0</v>
      </c>
      <c r="AY54" s="80">
        <v>0</v>
      </c>
      <c r="AZ54" s="82">
        <v>1749616.66</v>
      </c>
      <c r="BA54" s="82">
        <v>892304.5</v>
      </c>
      <c r="BB54" s="84">
        <v>10051813.470000001</v>
      </c>
      <c r="BC54" s="84">
        <v>1466616</v>
      </c>
      <c r="BD54" s="84">
        <v>2875717</v>
      </c>
      <c r="BE54" s="84">
        <v>34001220</v>
      </c>
      <c r="BF54" s="84">
        <v>34001220</v>
      </c>
      <c r="BG54" s="84">
        <v>42523133</v>
      </c>
      <c r="BH54" s="84">
        <v>29434357</v>
      </c>
      <c r="BI54" s="84">
        <v>0</v>
      </c>
      <c r="BJ54" s="84">
        <v>0</v>
      </c>
      <c r="BK54" s="85"/>
      <c r="BL54" s="86">
        <v>320002153.8442623</v>
      </c>
      <c r="BM54" s="86">
        <v>216580110.3442623</v>
      </c>
      <c r="BN54" s="87">
        <v>335700</v>
      </c>
      <c r="BO54" s="88"/>
      <c r="BP54" s="89">
        <v>190741607</v>
      </c>
      <c r="BQ54" s="90">
        <v>36888539</v>
      </c>
      <c r="BR54" s="90">
        <v>739007</v>
      </c>
      <c r="BS54" s="89">
        <v>25832864</v>
      </c>
      <c r="BT54" s="89">
        <v>254202017</v>
      </c>
    </row>
    <row r="55" spans="1:72" x14ac:dyDescent="0.25">
      <c r="A55" s="91" t="s">
        <v>109</v>
      </c>
      <c r="B55" s="80">
        <v>1116245295</v>
      </c>
      <c r="C55" s="80">
        <v>252915163</v>
      </c>
      <c r="D55" s="80">
        <v>408913133</v>
      </c>
      <c r="E55" s="80">
        <v>0</v>
      </c>
      <c r="F55" s="80">
        <v>114283300</v>
      </c>
      <c r="G55" s="80">
        <v>35753598</v>
      </c>
      <c r="H55" s="80">
        <v>15297400</v>
      </c>
      <c r="I55" s="80">
        <v>3295640</v>
      </c>
      <c r="J55" s="80">
        <v>220500</v>
      </c>
      <c r="K55" s="80">
        <v>72400</v>
      </c>
      <c r="L55" s="80">
        <v>295560626</v>
      </c>
      <c r="M55" s="80">
        <v>148111710</v>
      </c>
      <c r="N55" s="80">
        <v>3762</v>
      </c>
      <c r="O55" s="80">
        <v>1236</v>
      </c>
      <c r="P55" s="80">
        <v>14709620</v>
      </c>
      <c r="Q55" s="80">
        <v>4401500</v>
      </c>
      <c r="R55" s="80">
        <v>5150750</v>
      </c>
      <c r="S55" s="80">
        <v>17952887</v>
      </c>
      <c r="T55" s="80">
        <v>3429790</v>
      </c>
      <c r="U55" s="80">
        <v>10483241</v>
      </c>
      <c r="V55" s="80">
        <v>14709620</v>
      </c>
      <c r="W55" s="80">
        <v>7680700</v>
      </c>
      <c r="X55" s="80">
        <v>5150750</v>
      </c>
      <c r="Y55" s="80">
        <v>17952887</v>
      </c>
      <c r="Z55" s="80">
        <v>5428105</v>
      </c>
      <c r="AA55" s="80">
        <v>10483241</v>
      </c>
      <c r="AB55" s="80">
        <v>-47315</v>
      </c>
      <c r="AC55" s="80">
        <v>-3680</v>
      </c>
      <c r="AD55" s="80">
        <v>88358</v>
      </c>
      <c r="AE55" s="80">
        <v>104673</v>
      </c>
      <c r="AF55" s="80">
        <v>17266475</v>
      </c>
      <c r="AG55" s="80">
        <v>329764</v>
      </c>
      <c r="AH55" s="81">
        <v>14329204.918032788</v>
      </c>
      <c r="AI55" s="80">
        <v>688839.34426229517</v>
      </c>
      <c r="AJ55" s="92">
        <v>35936711</v>
      </c>
      <c r="AK55" s="82">
        <v>316414037</v>
      </c>
      <c r="AL55" s="83">
        <v>9367156</v>
      </c>
      <c r="AM55" s="80">
        <v>5830</v>
      </c>
      <c r="AN55" s="80">
        <v>231488258</v>
      </c>
      <c r="AO55" s="80">
        <v>10860137</v>
      </c>
      <c r="AP55" s="80">
        <v>151994262</v>
      </c>
      <c r="AQ55" s="80">
        <v>104815653</v>
      </c>
      <c r="AR55" s="80">
        <v>80003420</v>
      </c>
      <c r="AS55" s="80">
        <v>116076420</v>
      </c>
      <c r="AT55" s="80">
        <v>4917991</v>
      </c>
      <c r="AU55" s="80">
        <v>0</v>
      </c>
      <c r="AV55" s="80">
        <v>413425</v>
      </c>
      <c r="AW55" s="80">
        <v>4619239</v>
      </c>
      <c r="AX55" s="80">
        <v>3898359</v>
      </c>
      <c r="AY55" s="80">
        <v>4147986</v>
      </c>
      <c r="AZ55" s="82">
        <v>15007459.93</v>
      </c>
      <c r="BA55" s="82">
        <v>7653804.5599999996</v>
      </c>
      <c r="BB55" s="84">
        <v>1139896.3700000001</v>
      </c>
      <c r="BC55" s="84">
        <v>9427455</v>
      </c>
      <c r="BD55" s="84">
        <v>18485205</v>
      </c>
      <c r="BE55" s="84">
        <v>64310938</v>
      </c>
      <c r="BF55" s="84">
        <v>60707631</v>
      </c>
      <c r="BG55" s="84">
        <v>138655113</v>
      </c>
      <c r="BH55" s="84">
        <v>128884550</v>
      </c>
      <c r="BI55" s="84">
        <v>0</v>
      </c>
      <c r="BJ55" s="84">
        <v>0</v>
      </c>
      <c r="BK55" s="85"/>
      <c r="BL55" s="86">
        <v>2708647027.8222952</v>
      </c>
      <c r="BM55" s="86">
        <v>2176192394.2622952</v>
      </c>
      <c r="BN55" s="87">
        <v>5367000</v>
      </c>
      <c r="BO55" s="88"/>
      <c r="BP55" s="89">
        <v>1778073591</v>
      </c>
      <c r="BQ55" s="90">
        <v>316414037</v>
      </c>
      <c r="BR55" s="90">
        <v>9367156</v>
      </c>
      <c r="BS55" s="89">
        <v>463240468</v>
      </c>
      <c r="BT55" s="89">
        <v>2567095252</v>
      </c>
    </row>
    <row r="56" spans="1:72" x14ac:dyDescent="0.25">
      <c r="A56" s="91" t="s">
        <v>110</v>
      </c>
      <c r="B56" s="94">
        <v>135031181</v>
      </c>
      <c r="C56" s="94">
        <v>70626340</v>
      </c>
      <c r="D56" s="94">
        <v>39025300</v>
      </c>
      <c r="E56" s="94">
        <v>0</v>
      </c>
      <c r="F56" s="94">
        <v>23788700</v>
      </c>
      <c r="G56" s="94">
        <v>19249425</v>
      </c>
      <c r="H56" s="94">
        <v>14048150</v>
      </c>
      <c r="I56" s="94">
        <v>4751450</v>
      </c>
      <c r="J56" s="94">
        <v>66900</v>
      </c>
      <c r="K56" s="94">
        <v>36900</v>
      </c>
      <c r="L56" s="94">
        <v>111776795</v>
      </c>
      <c r="M56" s="94">
        <v>62809303</v>
      </c>
      <c r="N56" s="80">
        <v>1211</v>
      </c>
      <c r="O56" s="80">
        <v>823</v>
      </c>
      <c r="P56" s="94">
        <v>1264500</v>
      </c>
      <c r="Q56" s="94">
        <v>1344650</v>
      </c>
      <c r="R56" s="94">
        <v>450000</v>
      </c>
      <c r="S56" s="94">
        <v>1335900</v>
      </c>
      <c r="T56" s="94">
        <v>638950</v>
      </c>
      <c r="U56" s="94">
        <v>1434100</v>
      </c>
      <c r="V56" s="94">
        <v>1264500</v>
      </c>
      <c r="W56" s="94">
        <v>1448000</v>
      </c>
      <c r="X56" s="94">
        <v>450000</v>
      </c>
      <c r="Y56" s="94">
        <v>1335900</v>
      </c>
      <c r="Z56" s="94">
        <v>1049500</v>
      </c>
      <c r="AA56" s="94">
        <v>1434100</v>
      </c>
      <c r="AB56" s="94">
        <v>-2425675</v>
      </c>
      <c r="AC56" s="94">
        <v>-1506</v>
      </c>
      <c r="AD56" s="94">
        <v>75797</v>
      </c>
      <c r="AE56" s="94">
        <v>3185</v>
      </c>
      <c r="AF56" s="94">
        <v>3292001</v>
      </c>
      <c r="AG56" s="94">
        <v>143669</v>
      </c>
      <c r="AH56" s="81">
        <v>2098.3606557377052</v>
      </c>
      <c r="AI56" s="94">
        <v>279303.27868852462</v>
      </c>
      <c r="AJ56" s="92">
        <v>0</v>
      </c>
      <c r="AK56" s="82">
        <v>65765646</v>
      </c>
      <c r="AL56" s="83">
        <v>1018844</v>
      </c>
      <c r="AM56" s="94">
        <v>0</v>
      </c>
      <c r="AN56" s="94">
        <v>4343861</v>
      </c>
      <c r="AO56" s="94">
        <v>54180</v>
      </c>
      <c r="AP56" s="94">
        <v>3835258</v>
      </c>
      <c r="AQ56" s="94">
        <v>6348769</v>
      </c>
      <c r="AR56" s="94">
        <v>490216</v>
      </c>
      <c r="AS56" s="94">
        <v>0</v>
      </c>
      <c r="AT56" s="94">
        <v>313704</v>
      </c>
      <c r="AU56" s="94">
        <v>0</v>
      </c>
      <c r="AV56" s="94">
        <v>0</v>
      </c>
      <c r="AW56" s="94">
        <v>3900</v>
      </c>
      <c r="AX56" s="94">
        <v>0</v>
      </c>
      <c r="AY56" s="94">
        <v>0</v>
      </c>
      <c r="AZ56" s="82">
        <v>3119252.57</v>
      </c>
      <c r="BA56" s="82">
        <v>1590818.81</v>
      </c>
      <c r="BB56" s="84"/>
      <c r="BC56" s="84">
        <v>0</v>
      </c>
      <c r="BD56" s="84">
        <v>0</v>
      </c>
      <c r="BE56" s="84">
        <v>7240613</v>
      </c>
      <c r="BF56" s="84">
        <v>7240613</v>
      </c>
      <c r="BG56" s="84">
        <v>63756878</v>
      </c>
      <c r="BH56" s="84">
        <v>63671864</v>
      </c>
      <c r="BI56" s="84">
        <v>0</v>
      </c>
      <c r="BJ56" s="84">
        <v>0</v>
      </c>
      <c r="BK56" s="95"/>
      <c r="BL56" s="86">
        <v>394998818.44934422</v>
      </c>
      <c r="BM56" s="86">
        <v>255711032.63934425</v>
      </c>
      <c r="BN56" s="87">
        <v>3888000</v>
      </c>
      <c r="BO56" s="88"/>
      <c r="BP56" s="89">
        <v>244682821</v>
      </c>
      <c r="BQ56" s="90">
        <v>65765646</v>
      </c>
      <c r="BR56" s="90">
        <v>1018844</v>
      </c>
      <c r="BS56" s="89">
        <v>10746810</v>
      </c>
      <c r="BT56" s="89">
        <v>322214121</v>
      </c>
    </row>
    <row r="57" spans="1:72" x14ac:dyDescent="0.25">
      <c r="A57" s="91" t="s">
        <v>111</v>
      </c>
      <c r="B57" s="80">
        <v>38239993480</v>
      </c>
      <c r="C57" s="80">
        <v>128305460</v>
      </c>
      <c r="D57" s="80">
        <v>16994611430</v>
      </c>
      <c r="E57" s="80">
        <v>226029280</v>
      </c>
      <c r="F57" s="80">
        <v>2054670010</v>
      </c>
      <c r="G57" s="80">
        <v>165384830</v>
      </c>
      <c r="H57" s="80">
        <v>6457500</v>
      </c>
      <c r="I57" s="80">
        <v>369000</v>
      </c>
      <c r="J57" s="80">
        <v>4611730</v>
      </c>
      <c r="K57" s="80">
        <v>337980</v>
      </c>
      <c r="L57" s="80">
        <v>533531810</v>
      </c>
      <c r="M57" s="80">
        <v>668663770</v>
      </c>
      <c r="N57" s="80">
        <v>56688</v>
      </c>
      <c r="O57" s="80">
        <v>4714</v>
      </c>
      <c r="P57" s="80">
        <v>340989240</v>
      </c>
      <c r="Q57" s="80">
        <v>3524860</v>
      </c>
      <c r="R57" s="80">
        <v>486290080</v>
      </c>
      <c r="S57" s="80">
        <v>357111672</v>
      </c>
      <c r="T57" s="80">
        <v>10250710</v>
      </c>
      <c r="U57" s="80">
        <v>156538958</v>
      </c>
      <c r="V57" s="80">
        <v>340989240</v>
      </c>
      <c r="W57" s="80">
        <v>12731380</v>
      </c>
      <c r="X57" s="80">
        <v>486290080</v>
      </c>
      <c r="Y57" s="80">
        <v>357111672</v>
      </c>
      <c r="Z57" s="80">
        <v>32557070</v>
      </c>
      <c r="AA57" s="80">
        <v>156538958</v>
      </c>
      <c r="AB57" s="80">
        <v>-170927720</v>
      </c>
      <c r="AC57" s="80">
        <v>38075706</v>
      </c>
      <c r="AD57" s="80">
        <v>0</v>
      </c>
      <c r="AE57" s="80">
        <v>0</v>
      </c>
      <c r="AF57" s="80">
        <v>0</v>
      </c>
      <c r="AG57" s="80">
        <v>0</v>
      </c>
      <c r="AH57" s="81">
        <v>0</v>
      </c>
      <c r="AI57" s="80">
        <v>220844.26229508198</v>
      </c>
      <c r="AJ57" s="92">
        <v>0</v>
      </c>
      <c r="AK57" s="82">
        <v>4857891729</v>
      </c>
      <c r="AL57" s="83">
        <v>72085741</v>
      </c>
      <c r="AM57" s="80">
        <v>5696960</v>
      </c>
      <c r="AN57" s="80">
        <v>2579737885</v>
      </c>
      <c r="AO57" s="80">
        <v>120416782</v>
      </c>
      <c r="AP57" s="80">
        <v>2645822727</v>
      </c>
      <c r="AQ57" s="80">
        <v>2211011697</v>
      </c>
      <c r="AR57" s="80">
        <v>1439221022</v>
      </c>
      <c r="AS57" s="80">
        <v>1554023127</v>
      </c>
      <c r="AT57" s="80">
        <v>1741310934</v>
      </c>
      <c r="AU57" s="80">
        <v>0</v>
      </c>
      <c r="AV57" s="80">
        <v>0</v>
      </c>
      <c r="AW57" s="80">
        <v>56009576</v>
      </c>
      <c r="AX57" s="80">
        <v>24268367</v>
      </c>
      <c r="AY57" s="80">
        <v>127117800</v>
      </c>
      <c r="AZ57" s="82">
        <v>230408916.56</v>
      </c>
      <c r="BA57" s="82">
        <v>117508547.45</v>
      </c>
      <c r="BB57" s="84">
        <v>38756476.68</v>
      </c>
      <c r="BC57" s="84">
        <v>19235370</v>
      </c>
      <c r="BD57" s="84">
        <v>37716412</v>
      </c>
      <c r="BE57" s="84">
        <v>669447080</v>
      </c>
      <c r="BF57" s="84">
        <v>665766558</v>
      </c>
      <c r="BG57" s="84">
        <v>1616819210</v>
      </c>
      <c r="BH57" s="84">
        <v>1415351982</v>
      </c>
      <c r="BI57" s="84">
        <v>274684465</v>
      </c>
      <c r="BJ57" s="84">
        <v>0</v>
      </c>
      <c r="BK57" s="85"/>
      <c r="BL57" s="86">
        <v>67696821970.712296</v>
      </c>
      <c r="BM57" s="86">
        <v>60274297578.262299</v>
      </c>
      <c r="BN57" s="87">
        <v>149881080</v>
      </c>
      <c r="BO57" s="88"/>
      <c r="BP57" s="89">
        <v>55362910370</v>
      </c>
      <c r="BQ57" s="90">
        <v>4857891729</v>
      </c>
      <c r="BR57" s="90">
        <v>72085741</v>
      </c>
      <c r="BS57" s="89">
        <v>6465189491</v>
      </c>
      <c r="BT57" s="89">
        <v>66758077331</v>
      </c>
    </row>
    <row r="58" spans="1:72" x14ac:dyDescent="0.25">
      <c r="A58" s="91" t="s">
        <v>112</v>
      </c>
      <c r="B58" s="80">
        <v>2540663753</v>
      </c>
      <c r="C58" s="80">
        <v>241528382</v>
      </c>
      <c r="D58" s="80">
        <v>615898697</v>
      </c>
      <c r="E58" s="80">
        <v>0</v>
      </c>
      <c r="F58" s="80">
        <v>103750764</v>
      </c>
      <c r="G58" s="80">
        <v>16058805</v>
      </c>
      <c r="H58" s="80">
        <v>10355946</v>
      </c>
      <c r="I58" s="80">
        <v>1033189</v>
      </c>
      <c r="J58" s="80">
        <v>73800</v>
      </c>
      <c r="K58" s="80">
        <v>0</v>
      </c>
      <c r="L58" s="80">
        <v>555938711</v>
      </c>
      <c r="M58" s="80">
        <v>0</v>
      </c>
      <c r="N58" s="80">
        <v>3132</v>
      </c>
      <c r="O58" s="80">
        <v>485</v>
      </c>
      <c r="P58" s="80">
        <v>50979255</v>
      </c>
      <c r="Q58" s="80">
        <v>5330273</v>
      </c>
      <c r="R58" s="80">
        <v>5304700</v>
      </c>
      <c r="S58" s="80">
        <v>28649044</v>
      </c>
      <c r="T58" s="80">
        <v>1084041</v>
      </c>
      <c r="U58" s="80">
        <v>9553800</v>
      </c>
      <c r="V58" s="80">
        <v>50979255</v>
      </c>
      <c r="W58" s="80">
        <v>6137722</v>
      </c>
      <c r="X58" s="80">
        <v>5304700</v>
      </c>
      <c r="Y58" s="80">
        <v>28649044</v>
      </c>
      <c r="Z58" s="80">
        <v>5407505</v>
      </c>
      <c r="AA58" s="80">
        <v>9553800</v>
      </c>
      <c r="AB58" s="80">
        <v>-4083781</v>
      </c>
      <c r="AC58" s="80">
        <v>-2960350</v>
      </c>
      <c r="AD58" s="80">
        <v>0</v>
      </c>
      <c r="AE58" s="80">
        <v>0</v>
      </c>
      <c r="AF58" s="80">
        <v>0</v>
      </c>
      <c r="AG58" s="80">
        <v>91075.62</v>
      </c>
      <c r="AH58" s="81">
        <v>0</v>
      </c>
      <c r="AI58" s="80">
        <v>224401.63934426228</v>
      </c>
      <c r="AJ58" s="92">
        <v>0</v>
      </c>
      <c r="AK58" s="82">
        <v>340526499</v>
      </c>
      <c r="AL58" s="83">
        <v>8424269</v>
      </c>
      <c r="AM58" s="80">
        <v>38500</v>
      </c>
      <c r="AN58" s="80">
        <v>100616357</v>
      </c>
      <c r="AO58" s="80">
        <v>1955928</v>
      </c>
      <c r="AP58" s="80">
        <v>119607530</v>
      </c>
      <c r="AQ58" s="80">
        <v>102527854</v>
      </c>
      <c r="AR58" s="80">
        <v>99644292</v>
      </c>
      <c r="AS58" s="80">
        <v>44139318</v>
      </c>
      <c r="AT58" s="80">
        <v>5569785</v>
      </c>
      <c r="AU58" s="80">
        <v>0</v>
      </c>
      <c r="AV58" s="80">
        <v>0</v>
      </c>
      <c r="AW58" s="80">
        <v>95457</v>
      </c>
      <c r="AX58" s="80">
        <v>12380</v>
      </c>
      <c r="AY58" s="80">
        <v>20849500</v>
      </c>
      <c r="AZ58" s="82">
        <v>16151109.59</v>
      </c>
      <c r="BA58" s="82">
        <v>8237065.8899999997</v>
      </c>
      <c r="BB58" s="84"/>
      <c r="BC58" s="84">
        <v>1476434</v>
      </c>
      <c r="BD58" s="84">
        <v>2894969</v>
      </c>
      <c r="BE58" s="84">
        <v>40674549</v>
      </c>
      <c r="BF58" s="84">
        <v>40674549</v>
      </c>
      <c r="BG58" s="84">
        <v>62011653</v>
      </c>
      <c r="BH58" s="84">
        <v>57800009</v>
      </c>
      <c r="BI58" s="84">
        <v>30732998</v>
      </c>
      <c r="BJ58" s="84">
        <v>0</v>
      </c>
      <c r="BK58" s="85"/>
      <c r="BL58" s="86">
        <v>4091287196.5293441</v>
      </c>
      <c r="BM58" s="86">
        <v>3603415372.6393442</v>
      </c>
      <c r="BN58" s="87">
        <v>2070250</v>
      </c>
      <c r="BO58" s="88"/>
      <c r="BP58" s="89">
        <v>3398090832</v>
      </c>
      <c r="BQ58" s="90">
        <v>340526499</v>
      </c>
      <c r="BR58" s="90">
        <v>8424269</v>
      </c>
      <c r="BS58" s="89">
        <v>249239457</v>
      </c>
      <c r="BT58" s="89">
        <v>3996281057</v>
      </c>
    </row>
    <row r="59" spans="1:72" x14ac:dyDescent="0.25">
      <c r="A59" s="91" t="s">
        <v>113</v>
      </c>
      <c r="B59" s="94">
        <v>426672087</v>
      </c>
      <c r="C59" s="94">
        <v>97395058</v>
      </c>
      <c r="D59" s="94">
        <v>182450981</v>
      </c>
      <c r="E59" s="94">
        <v>0</v>
      </c>
      <c r="F59" s="94">
        <v>48437350</v>
      </c>
      <c r="G59" s="94">
        <v>35781950</v>
      </c>
      <c r="H59" s="94">
        <v>16944462</v>
      </c>
      <c r="I59" s="94">
        <v>7175756</v>
      </c>
      <c r="J59" s="94">
        <v>110700</v>
      </c>
      <c r="K59" s="94">
        <v>36900</v>
      </c>
      <c r="L59" s="94">
        <v>104520350</v>
      </c>
      <c r="M59" s="94">
        <v>93387850</v>
      </c>
      <c r="N59" s="94">
        <v>1986</v>
      </c>
      <c r="O59" s="94">
        <v>1426</v>
      </c>
      <c r="P59" s="94">
        <v>181500</v>
      </c>
      <c r="Q59" s="94">
        <v>1875</v>
      </c>
      <c r="R59" s="94">
        <v>400000</v>
      </c>
      <c r="S59" s="94">
        <v>2846000</v>
      </c>
      <c r="T59" s="94">
        <v>168800</v>
      </c>
      <c r="U59" s="94">
        <v>661500</v>
      </c>
      <c r="V59" s="94">
        <v>181500</v>
      </c>
      <c r="W59" s="94">
        <v>5000</v>
      </c>
      <c r="X59" s="94">
        <v>400000</v>
      </c>
      <c r="Y59" s="94">
        <v>2846000</v>
      </c>
      <c r="Z59" s="94">
        <v>245100</v>
      </c>
      <c r="AA59" s="94">
        <v>661500</v>
      </c>
      <c r="AB59" s="80">
        <v>-5582430</v>
      </c>
      <c r="AC59" s="80">
        <v>-191000</v>
      </c>
      <c r="AD59" s="94">
        <v>0</v>
      </c>
      <c r="AE59" s="94">
        <v>0</v>
      </c>
      <c r="AF59" s="94">
        <v>0</v>
      </c>
      <c r="AG59" s="94">
        <v>0</v>
      </c>
      <c r="AH59" s="81">
        <v>1153000.0000000002</v>
      </c>
      <c r="AI59" s="94">
        <v>9743776.2295081969</v>
      </c>
      <c r="AJ59" s="92">
        <v>21131057</v>
      </c>
      <c r="AK59" s="82">
        <v>144535230</v>
      </c>
      <c r="AL59" s="83">
        <v>4979616</v>
      </c>
      <c r="AM59" s="94">
        <v>414500</v>
      </c>
      <c r="AN59" s="94">
        <v>52631572</v>
      </c>
      <c r="AO59" s="94">
        <v>1363594</v>
      </c>
      <c r="AP59" s="94">
        <v>2887092</v>
      </c>
      <c r="AQ59" s="94">
        <v>29183692</v>
      </c>
      <c r="AR59" s="94">
        <v>18450567</v>
      </c>
      <c r="AS59" s="94">
        <v>1008367</v>
      </c>
      <c r="AT59" s="94">
        <v>5200</v>
      </c>
      <c r="AU59" s="94">
        <v>0</v>
      </c>
      <c r="AV59" s="94">
        <v>0</v>
      </c>
      <c r="AW59" s="94">
        <v>103681</v>
      </c>
      <c r="AX59" s="94">
        <v>16824</v>
      </c>
      <c r="AY59" s="94">
        <v>77000</v>
      </c>
      <c r="AZ59" s="82">
        <v>6855279.5300000003</v>
      </c>
      <c r="BA59" s="82">
        <v>3496192.56</v>
      </c>
      <c r="BB59" s="84"/>
      <c r="BC59" s="84">
        <v>2493860</v>
      </c>
      <c r="BD59" s="84">
        <v>4889922</v>
      </c>
      <c r="BE59" s="84">
        <v>68688366</v>
      </c>
      <c r="BF59" s="84">
        <v>68688366</v>
      </c>
      <c r="BG59" s="84">
        <v>117541374</v>
      </c>
      <c r="BH59" s="84">
        <v>115724455</v>
      </c>
      <c r="BI59" s="84">
        <v>0</v>
      </c>
      <c r="BJ59" s="84">
        <v>0</v>
      </c>
      <c r="BK59" s="95"/>
      <c r="BL59" s="86">
        <v>1161642536.7895081</v>
      </c>
      <c r="BM59" s="86">
        <v>821724817.22950816</v>
      </c>
      <c r="BN59" s="87">
        <v>9373195</v>
      </c>
      <c r="BO59" s="88"/>
      <c r="BP59" s="89">
        <v>706518126</v>
      </c>
      <c r="BQ59" s="90">
        <v>144535230</v>
      </c>
      <c r="BR59" s="90">
        <v>4979616</v>
      </c>
      <c r="BS59" s="89">
        <v>84187225</v>
      </c>
      <c r="BT59" s="89">
        <v>940220197</v>
      </c>
    </row>
    <row r="60" spans="1:72" x14ac:dyDescent="0.25">
      <c r="A60" s="91" t="s">
        <v>114</v>
      </c>
      <c r="B60" s="80">
        <v>7444107746</v>
      </c>
      <c r="C60" s="80">
        <v>116058730</v>
      </c>
      <c r="D60" s="80">
        <v>2405913143</v>
      </c>
      <c r="E60" s="80">
        <v>1140000</v>
      </c>
      <c r="F60" s="80">
        <v>377428100</v>
      </c>
      <c r="G60" s="80">
        <v>41113800</v>
      </c>
      <c r="H60" s="80">
        <v>6850000</v>
      </c>
      <c r="I60" s="80">
        <v>616800</v>
      </c>
      <c r="J60" s="80">
        <v>1143900</v>
      </c>
      <c r="K60" s="80">
        <v>147600</v>
      </c>
      <c r="L60" s="80">
        <v>221811970</v>
      </c>
      <c r="M60" s="80"/>
      <c r="N60" s="80">
        <v>10535</v>
      </c>
      <c r="O60" s="80">
        <v>1172</v>
      </c>
      <c r="P60" s="80">
        <v>77906600</v>
      </c>
      <c r="Q60" s="80">
        <v>2291700</v>
      </c>
      <c r="R60" s="80">
        <v>43534200</v>
      </c>
      <c r="S60" s="80">
        <v>50399300</v>
      </c>
      <c r="T60" s="80">
        <v>3064400</v>
      </c>
      <c r="U60" s="80">
        <v>42225050</v>
      </c>
      <c r="V60" s="80">
        <v>77906600</v>
      </c>
      <c r="W60" s="80">
        <v>2291700</v>
      </c>
      <c r="X60" s="80">
        <v>43534200</v>
      </c>
      <c r="Y60" s="80">
        <v>50399300</v>
      </c>
      <c r="Z60" s="80">
        <v>3064400</v>
      </c>
      <c r="AA60" s="80">
        <v>42225050</v>
      </c>
      <c r="AB60" s="80">
        <v>-11630700</v>
      </c>
      <c r="AC60" s="80">
        <v>-17398611</v>
      </c>
      <c r="AD60" s="80">
        <v>0</v>
      </c>
      <c r="AE60" s="80">
        <v>0</v>
      </c>
      <c r="AF60" s="80">
        <v>0</v>
      </c>
      <c r="AG60" s="80">
        <v>0</v>
      </c>
      <c r="AH60" s="81">
        <v>0</v>
      </c>
      <c r="AI60" s="80">
        <v>0</v>
      </c>
      <c r="AJ60" s="92">
        <v>0</v>
      </c>
      <c r="AK60" s="82">
        <v>992524176</v>
      </c>
      <c r="AL60" s="83">
        <v>17923509</v>
      </c>
      <c r="AM60" s="80">
        <v>15000</v>
      </c>
      <c r="AN60" s="80">
        <v>283891361</v>
      </c>
      <c r="AO60" s="80">
        <v>7990621</v>
      </c>
      <c r="AP60" s="80">
        <v>352081560</v>
      </c>
      <c r="AQ60" s="80">
        <v>257548053</v>
      </c>
      <c r="AR60" s="80">
        <v>244859303</v>
      </c>
      <c r="AS60" s="80">
        <v>217123709</v>
      </c>
      <c r="AT60" s="80">
        <v>69027</v>
      </c>
      <c r="AU60" s="80">
        <v>0</v>
      </c>
      <c r="AV60" s="80">
        <v>0</v>
      </c>
      <c r="AW60" s="80">
        <v>31967727</v>
      </c>
      <c r="AX60" s="80">
        <v>313622</v>
      </c>
      <c r="AY60" s="80">
        <v>0</v>
      </c>
      <c r="AZ60" s="82">
        <v>47075240.210000001</v>
      </c>
      <c r="BA60" s="82">
        <v>24008372.510000002</v>
      </c>
      <c r="BB60" s="84">
        <v>11088082.9</v>
      </c>
      <c r="BC60" s="84">
        <v>12531893</v>
      </c>
      <c r="BD60" s="84">
        <v>24572340</v>
      </c>
      <c r="BE60" s="84">
        <v>169455711</v>
      </c>
      <c r="BF60" s="84">
        <v>169455711</v>
      </c>
      <c r="BG60" s="84">
        <v>243293951</v>
      </c>
      <c r="BH60" s="84">
        <v>233041831</v>
      </c>
      <c r="BI60" s="84">
        <v>0</v>
      </c>
      <c r="BJ60" s="84">
        <v>0</v>
      </c>
      <c r="BK60" s="85"/>
      <c r="BL60" s="86">
        <v>11964995146.51</v>
      </c>
      <c r="BM60" s="86">
        <v>10515509654</v>
      </c>
      <c r="BN60" s="87">
        <v>4790700</v>
      </c>
      <c r="BO60" s="88"/>
      <c r="BP60" s="89">
        <v>9966079619</v>
      </c>
      <c r="BQ60" s="90">
        <v>992524176</v>
      </c>
      <c r="BR60" s="90">
        <v>17923509</v>
      </c>
      <c r="BS60" s="89">
        <v>766553744</v>
      </c>
      <c r="BT60" s="89">
        <v>11743081048</v>
      </c>
    </row>
    <row r="61" spans="1:72" x14ac:dyDescent="0.25">
      <c r="A61" s="91" t="s">
        <v>115</v>
      </c>
      <c r="B61" s="80">
        <v>162074909</v>
      </c>
      <c r="C61" s="80">
        <v>51352894</v>
      </c>
      <c r="D61" s="80">
        <v>88490898</v>
      </c>
      <c r="E61" s="80">
        <v>0</v>
      </c>
      <c r="F61" s="80">
        <v>36406941</v>
      </c>
      <c r="G61" s="80">
        <v>25171550</v>
      </c>
      <c r="H61" s="80">
        <v>15095021</v>
      </c>
      <c r="I61" s="80">
        <v>5816200</v>
      </c>
      <c r="J61" s="80">
        <v>147600</v>
      </c>
      <c r="K61" s="80">
        <v>36900</v>
      </c>
      <c r="L61" s="80">
        <v>64573965</v>
      </c>
      <c r="M61" s="80">
        <v>59295475</v>
      </c>
      <c r="N61" s="80">
        <v>1576</v>
      </c>
      <c r="O61" s="80">
        <v>1040</v>
      </c>
      <c r="P61" s="80">
        <v>2378900</v>
      </c>
      <c r="Q61" s="80">
        <v>893000</v>
      </c>
      <c r="R61" s="80">
        <v>5365000</v>
      </c>
      <c r="S61" s="80">
        <v>3031300</v>
      </c>
      <c r="T61" s="80">
        <v>847900</v>
      </c>
      <c r="U61" s="80">
        <v>318000</v>
      </c>
      <c r="V61" s="80">
        <v>2378900</v>
      </c>
      <c r="W61" s="80">
        <v>923000</v>
      </c>
      <c r="X61" s="80">
        <v>5365000</v>
      </c>
      <c r="Y61" s="80">
        <v>3030300</v>
      </c>
      <c r="Z61" s="80">
        <v>862000</v>
      </c>
      <c r="AA61" s="80">
        <v>318000</v>
      </c>
      <c r="AB61" s="80">
        <v>-2619592</v>
      </c>
      <c r="AC61" s="80">
        <v>-207821</v>
      </c>
      <c r="AD61" s="80">
        <v>186377</v>
      </c>
      <c r="AE61" s="80">
        <v>0</v>
      </c>
      <c r="AF61" s="80">
        <v>0</v>
      </c>
      <c r="AG61" s="80">
        <v>120454</v>
      </c>
      <c r="AH61" s="81">
        <v>7727016.3934426224</v>
      </c>
      <c r="AI61" s="80">
        <v>110691981.147541</v>
      </c>
      <c r="AJ61" s="92">
        <v>227933983</v>
      </c>
      <c r="AK61" s="82">
        <v>95727628</v>
      </c>
      <c r="AL61" s="83">
        <v>1830915</v>
      </c>
      <c r="AM61" s="80">
        <v>90000</v>
      </c>
      <c r="AN61" s="80">
        <v>78919412</v>
      </c>
      <c r="AO61" s="80">
        <v>814375</v>
      </c>
      <c r="AP61" s="80">
        <v>11486667</v>
      </c>
      <c r="AQ61" s="80">
        <v>4423555</v>
      </c>
      <c r="AR61" s="80">
        <v>531490</v>
      </c>
      <c r="AS61" s="80">
        <v>0</v>
      </c>
      <c r="AT61" s="80">
        <v>0</v>
      </c>
      <c r="AU61" s="80">
        <v>0</v>
      </c>
      <c r="AV61" s="80">
        <v>0</v>
      </c>
      <c r="AW61" s="80">
        <v>0</v>
      </c>
      <c r="AX61" s="80">
        <v>0</v>
      </c>
      <c r="AY61" s="80">
        <v>0</v>
      </c>
      <c r="AZ61" s="82">
        <v>4540343.8899999997</v>
      </c>
      <c r="BA61" s="82">
        <v>2315575.38</v>
      </c>
      <c r="BB61" s="84"/>
      <c r="BC61" s="84">
        <v>1116837</v>
      </c>
      <c r="BD61" s="84">
        <v>2189877</v>
      </c>
      <c r="BE61" s="84">
        <v>20227402</v>
      </c>
      <c r="BF61" s="84">
        <v>20227402</v>
      </c>
      <c r="BG61" s="84">
        <v>97497865</v>
      </c>
      <c r="BH61" s="84">
        <v>96784069</v>
      </c>
      <c r="BI61" s="84">
        <v>0</v>
      </c>
      <c r="BJ61" s="84">
        <v>0</v>
      </c>
      <c r="BK61" s="85"/>
      <c r="BL61" s="86">
        <v>950431449.92098367</v>
      </c>
      <c r="BM61" s="86">
        <v>732429023.54098368</v>
      </c>
      <c r="BN61" s="87">
        <v>2290650</v>
      </c>
      <c r="BO61" s="88"/>
      <c r="BP61" s="89">
        <v>301918701</v>
      </c>
      <c r="BQ61" s="90">
        <v>95727628</v>
      </c>
      <c r="BR61" s="90">
        <v>1830915</v>
      </c>
      <c r="BS61" s="89">
        <v>84157342</v>
      </c>
      <c r="BT61" s="89">
        <v>483634586</v>
      </c>
    </row>
    <row r="62" spans="1:72" x14ac:dyDescent="0.25">
      <c r="A62" s="91" t="s">
        <v>116</v>
      </c>
      <c r="B62" s="80">
        <v>505405199</v>
      </c>
      <c r="C62" s="80">
        <v>91141873</v>
      </c>
      <c r="D62" s="80">
        <v>227258903</v>
      </c>
      <c r="E62" s="80">
        <v>0</v>
      </c>
      <c r="F62" s="80">
        <v>75176171</v>
      </c>
      <c r="G62" s="80">
        <v>32075223</v>
      </c>
      <c r="H62" s="80">
        <v>17183738</v>
      </c>
      <c r="I62" s="80">
        <v>4330539</v>
      </c>
      <c r="J62" s="80">
        <v>332100</v>
      </c>
      <c r="K62" s="80">
        <v>110700</v>
      </c>
      <c r="L62" s="80">
        <v>154408666</v>
      </c>
      <c r="M62" s="80">
        <v>80070550</v>
      </c>
      <c r="N62" s="80">
        <v>2967</v>
      </c>
      <c r="O62" s="80">
        <v>1367</v>
      </c>
      <c r="P62" s="80">
        <v>7982955</v>
      </c>
      <c r="Q62" s="80">
        <v>1907000</v>
      </c>
      <c r="R62" s="80">
        <v>4950600</v>
      </c>
      <c r="S62" s="80">
        <v>3596025</v>
      </c>
      <c r="T62" s="80">
        <v>845500</v>
      </c>
      <c r="U62" s="80">
        <v>1708578</v>
      </c>
      <c r="V62" s="80">
        <v>7982955</v>
      </c>
      <c r="W62" s="80">
        <v>2169500</v>
      </c>
      <c r="X62" s="80">
        <v>4950600</v>
      </c>
      <c r="Y62" s="80">
        <v>3596025</v>
      </c>
      <c r="Z62" s="80">
        <v>998550</v>
      </c>
      <c r="AA62" s="80">
        <v>1708578</v>
      </c>
      <c r="AB62" s="80">
        <v>-5140847</v>
      </c>
      <c r="AC62" s="80">
        <v>-1744716</v>
      </c>
      <c r="AD62" s="80">
        <v>141883</v>
      </c>
      <c r="AE62" s="80">
        <v>0</v>
      </c>
      <c r="AF62" s="80">
        <v>0</v>
      </c>
      <c r="AG62" s="80">
        <v>0</v>
      </c>
      <c r="AH62" s="81">
        <v>10435491.803278688</v>
      </c>
      <c r="AI62" s="80">
        <v>17762872.131147541</v>
      </c>
      <c r="AJ62" s="92">
        <v>9199352.4590163939</v>
      </c>
      <c r="AK62" s="82">
        <v>155828173</v>
      </c>
      <c r="AL62" s="83">
        <v>3793512</v>
      </c>
      <c r="AM62" s="80">
        <v>0</v>
      </c>
      <c r="AN62" s="80">
        <v>44112611</v>
      </c>
      <c r="AO62" s="80">
        <v>3396242</v>
      </c>
      <c r="AP62" s="80">
        <v>46313493</v>
      </c>
      <c r="AQ62" s="80">
        <v>28680808</v>
      </c>
      <c r="AR62" s="80">
        <v>35269455</v>
      </c>
      <c r="AS62" s="80">
        <v>8593221</v>
      </c>
      <c r="AT62" s="80">
        <v>390654</v>
      </c>
      <c r="AU62" s="80">
        <v>0</v>
      </c>
      <c r="AV62" s="80">
        <v>0</v>
      </c>
      <c r="AW62" s="80">
        <v>0</v>
      </c>
      <c r="AX62" s="80">
        <v>265627</v>
      </c>
      <c r="AY62" s="80">
        <v>4500</v>
      </c>
      <c r="AZ62" s="82">
        <v>7390901.7599999998</v>
      </c>
      <c r="BA62" s="82">
        <v>3769359.9</v>
      </c>
      <c r="BB62" s="84"/>
      <c r="BC62" s="84">
        <v>2773070</v>
      </c>
      <c r="BD62" s="84">
        <v>5437391</v>
      </c>
      <c r="BE62" s="84">
        <v>24560954</v>
      </c>
      <c r="BF62" s="84">
        <v>24560954</v>
      </c>
      <c r="BG62" s="84">
        <v>56505186</v>
      </c>
      <c r="BH62" s="84">
        <v>53106431</v>
      </c>
      <c r="BI62" s="84">
        <v>0</v>
      </c>
      <c r="BJ62" s="84">
        <v>0</v>
      </c>
      <c r="BK62" s="85"/>
      <c r="BL62" s="86">
        <v>1181224852.2934427</v>
      </c>
      <c r="BM62" s="86">
        <v>937393352.39344263</v>
      </c>
      <c r="BN62" s="87">
        <v>243490</v>
      </c>
      <c r="BO62" s="88"/>
      <c r="BP62" s="89">
        <v>823805975</v>
      </c>
      <c r="BQ62" s="90">
        <v>155828173</v>
      </c>
      <c r="BR62" s="90">
        <v>3793512</v>
      </c>
      <c r="BS62" s="89">
        <v>84782882</v>
      </c>
      <c r="BT62" s="89">
        <v>1068210542</v>
      </c>
    </row>
    <row r="63" spans="1:72" x14ac:dyDescent="0.25">
      <c r="A63" s="91" t="s">
        <v>117</v>
      </c>
      <c r="B63" s="80">
        <v>328061563</v>
      </c>
      <c r="C63" s="80">
        <v>147217552</v>
      </c>
      <c r="D63" s="80">
        <v>80531462</v>
      </c>
      <c r="E63" s="80">
        <v>0</v>
      </c>
      <c r="F63" s="80">
        <v>37606800</v>
      </c>
      <c r="G63" s="80">
        <v>8622700</v>
      </c>
      <c r="H63" s="80">
        <v>14483540</v>
      </c>
      <c r="I63" s="80">
        <v>1442000</v>
      </c>
      <c r="J63" s="80">
        <v>110700</v>
      </c>
      <c r="K63" s="80">
        <v>36900</v>
      </c>
      <c r="L63" s="80">
        <v>264933038</v>
      </c>
      <c r="M63" s="80">
        <v>108228355</v>
      </c>
      <c r="N63" s="80">
        <v>1454</v>
      </c>
      <c r="O63" s="80">
        <v>298</v>
      </c>
      <c r="P63" s="80">
        <v>4636725</v>
      </c>
      <c r="Q63" s="80">
        <v>2544514</v>
      </c>
      <c r="R63" s="80">
        <v>21887500</v>
      </c>
      <c r="S63" s="80">
        <v>3350287</v>
      </c>
      <c r="T63" s="80">
        <v>1558722</v>
      </c>
      <c r="U63" s="80">
        <v>6802962</v>
      </c>
      <c r="V63" s="80">
        <v>4636725</v>
      </c>
      <c r="W63" s="80">
        <v>5369368</v>
      </c>
      <c r="X63" s="80">
        <v>21887500</v>
      </c>
      <c r="Y63" s="80">
        <v>3350287</v>
      </c>
      <c r="Z63" s="80">
        <v>2092576</v>
      </c>
      <c r="AA63" s="80">
        <v>6802962</v>
      </c>
      <c r="AB63" s="80">
        <v>-1556700</v>
      </c>
      <c r="AC63" s="80">
        <v>-501854</v>
      </c>
      <c r="AD63" s="80">
        <v>52416</v>
      </c>
      <c r="AE63" s="80">
        <v>0</v>
      </c>
      <c r="AF63" s="80">
        <v>0</v>
      </c>
      <c r="AG63" s="80">
        <v>152330</v>
      </c>
      <c r="AH63" s="81">
        <v>0</v>
      </c>
      <c r="AI63" s="80">
        <v>0</v>
      </c>
      <c r="AJ63" s="92">
        <v>0</v>
      </c>
      <c r="AK63" s="82">
        <v>86526036</v>
      </c>
      <c r="AL63" s="83">
        <v>2304066</v>
      </c>
      <c r="AM63" s="80">
        <v>0</v>
      </c>
      <c r="AN63" s="80">
        <v>11084361</v>
      </c>
      <c r="AO63" s="80">
        <v>221292</v>
      </c>
      <c r="AP63" s="80">
        <v>10009132</v>
      </c>
      <c r="AQ63" s="80">
        <v>12318025</v>
      </c>
      <c r="AR63" s="80">
        <v>11750326</v>
      </c>
      <c r="AS63" s="80">
        <v>3020477</v>
      </c>
      <c r="AT63" s="80">
        <v>1996851</v>
      </c>
      <c r="AU63" s="80">
        <v>0</v>
      </c>
      <c r="AV63" s="80">
        <v>17828</v>
      </c>
      <c r="AW63" s="80">
        <v>0</v>
      </c>
      <c r="AX63" s="80">
        <v>12395</v>
      </c>
      <c r="AY63" s="80">
        <v>22100</v>
      </c>
      <c r="AZ63" s="82">
        <v>4103914.07</v>
      </c>
      <c r="BA63" s="82">
        <v>2092996.18</v>
      </c>
      <c r="BB63" s="84"/>
      <c r="BC63" s="84">
        <v>74865</v>
      </c>
      <c r="BD63" s="84">
        <v>146794</v>
      </c>
      <c r="BE63" s="84">
        <v>25942180</v>
      </c>
      <c r="BF63" s="84">
        <v>25942180</v>
      </c>
      <c r="BG63" s="84">
        <v>40486544</v>
      </c>
      <c r="BH63" s="84">
        <v>40459882</v>
      </c>
      <c r="BI63" s="84">
        <v>0</v>
      </c>
      <c r="BJ63" s="84">
        <v>0</v>
      </c>
      <c r="BK63" s="85"/>
      <c r="BL63" s="86">
        <v>736834280.17999995</v>
      </c>
      <c r="BM63" s="86">
        <v>579434255</v>
      </c>
      <c r="BN63" s="87">
        <v>2109871</v>
      </c>
      <c r="BO63" s="88"/>
      <c r="BP63" s="89">
        <v>555810577</v>
      </c>
      <c r="BQ63" s="90">
        <v>86526036</v>
      </c>
      <c r="BR63" s="90">
        <v>2304066</v>
      </c>
      <c r="BS63" s="89">
        <v>26644155</v>
      </c>
      <c r="BT63" s="89">
        <v>671284834</v>
      </c>
    </row>
    <row r="64" spans="1:72" x14ac:dyDescent="0.25">
      <c r="A64" s="91" t="s">
        <v>118</v>
      </c>
      <c r="B64" s="80">
        <v>1399650339</v>
      </c>
      <c r="C64" s="80">
        <v>191101071</v>
      </c>
      <c r="D64" s="80">
        <v>711721291</v>
      </c>
      <c r="E64" s="80">
        <v>38072594</v>
      </c>
      <c r="F64" s="80">
        <v>143900276</v>
      </c>
      <c r="G64" s="80">
        <v>49813105</v>
      </c>
      <c r="H64" s="80">
        <v>28865591</v>
      </c>
      <c r="I64" s="80">
        <v>5383959</v>
      </c>
      <c r="J64" s="80">
        <v>295200</v>
      </c>
      <c r="K64" s="80">
        <v>145700</v>
      </c>
      <c r="L64" s="80">
        <v>405953580</v>
      </c>
      <c r="M64" s="80">
        <v>174546900</v>
      </c>
      <c r="N64" s="80">
        <v>5045</v>
      </c>
      <c r="O64" s="80">
        <v>1769</v>
      </c>
      <c r="P64" s="80">
        <v>7838310</v>
      </c>
      <c r="Q64" s="80">
        <v>2573400</v>
      </c>
      <c r="R64" s="80">
        <v>9490800</v>
      </c>
      <c r="S64" s="80">
        <v>7040403</v>
      </c>
      <c r="T64" s="80">
        <v>3171068</v>
      </c>
      <c r="U64" s="80">
        <v>6026900</v>
      </c>
      <c r="V64" s="80">
        <v>7838310</v>
      </c>
      <c r="W64" s="80">
        <v>3264000</v>
      </c>
      <c r="X64" s="80">
        <v>9490800</v>
      </c>
      <c r="Y64" s="80">
        <v>7040403</v>
      </c>
      <c r="Z64" s="80">
        <v>2740900</v>
      </c>
      <c r="AA64" s="80">
        <v>6026900</v>
      </c>
      <c r="AB64" s="80">
        <v>-13504637</v>
      </c>
      <c r="AC64" s="80">
        <v>-59518</v>
      </c>
      <c r="AD64" s="80">
        <v>84716</v>
      </c>
      <c r="AE64" s="80">
        <v>0</v>
      </c>
      <c r="AF64" s="80">
        <v>0</v>
      </c>
      <c r="AG64" s="80">
        <v>158838</v>
      </c>
      <c r="AH64" s="81">
        <v>659926.22950819682</v>
      </c>
      <c r="AI64" s="80">
        <v>108641.80327868855</v>
      </c>
      <c r="AJ64" s="92">
        <v>104778.68852459016</v>
      </c>
      <c r="AK64" s="82">
        <v>370018978</v>
      </c>
      <c r="AL64" s="83">
        <v>16120646</v>
      </c>
      <c r="AM64" s="80">
        <v>2146909</v>
      </c>
      <c r="AN64" s="80">
        <v>144391425</v>
      </c>
      <c r="AO64" s="80">
        <v>32178024</v>
      </c>
      <c r="AP64" s="80">
        <v>192981171</v>
      </c>
      <c r="AQ64" s="80">
        <v>122168538</v>
      </c>
      <c r="AR64" s="80">
        <v>79154539</v>
      </c>
      <c r="AS64" s="80">
        <v>35452529</v>
      </c>
      <c r="AT64" s="80">
        <v>3298234</v>
      </c>
      <c r="AU64" s="80">
        <v>0</v>
      </c>
      <c r="AV64" s="80">
        <v>63369</v>
      </c>
      <c r="AW64" s="80">
        <v>11997403</v>
      </c>
      <c r="AX64" s="80">
        <v>1512102</v>
      </c>
      <c r="AY64" s="80">
        <v>2033935</v>
      </c>
      <c r="AZ64" s="82">
        <v>17549932.48</v>
      </c>
      <c r="BA64" s="82">
        <v>8950465.5600000005</v>
      </c>
      <c r="BB64" s="84"/>
      <c r="BC64" s="84">
        <v>2310994</v>
      </c>
      <c r="BD64" s="84">
        <v>4531360</v>
      </c>
      <c r="BE64" s="84">
        <v>27199997</v>
      </c>
      <c r="BF64" s="84">
        <v>27199997</v>
      </c>
      <c r="BG64" s="84">
        <v>110010370</v>
      </c>
      <c r="BH64" s="84">
        <v>103297248</v>
      </c>
      <c r="BI64" s="84">
        <v>0</v>
      </c>
      <c r="BJ64" s="84">
        <v>0</v>
      </c>
      <c r="BK64" s="85"/>
      <c r="BL64" s="86">
        <v>3129982363.281312</v>
      </c>
      <c r="BM64" s="86">
        <v>2602084034.721312</v>
      </c>
      <c r="BN64" s="87">
        <v>2375600</v>
      </c>
      <c r="BO64" s="88"/>
      <c r="BP64" s="89">
        <v>2302472701</v>
      </c>
      <c r="BQ64" s="90">
        <v>370018978</v>
      </c>
      <c r="BR64" s="90">
        <v>16120646</v>
      </c>
      <c r="BS64" s="89">
        <v>334190516</v>
      </c>
      <c r="BT64" s="89">
        <v>3022802841</v>
      </c>
    </row>
    <row r="65" spans="1:72" x14ac:dyDescent="0.25">
      <c r="A65" s="91" t="s">
        <v>119</v>
      </c>
      <c r="B65" s="80">
        <v>244217406</v>
      </c>
      <c r="C65" s="80">
        <v>100061530</v>
      </c>
      <c r="D65" s="80">
        <v>96941504</v>
      </c>
      <c r="E65" s="80">
        <v>0</v>
      </c>
      <c r="F65" s="80">
        <v>29053165</v>
      </c>
      <c r="G65" s="80">
        <v>17292900</v>
      </c>
      <c r="H65" s="80">
        <v>15777773</v>
      </c>
      <c r="I65" s="80">
        <v>5991859</v>
      </c>
      <c r="J65" s="80">
        <v>332100</v>
      </c>
      <c r="K65" s="80">
        <v>0</v>
      </c>
      <c r="L65" s="80">
        <v>116503386</v>
      </c>
      <c r="M65" s="80">
        <v>78963050</v>
      </c>
      <c r="N65" s="80">
        <v>1427</v>
      </c>
      <c r="O65" s="80">
        <v>788</v>
      </c>
      <c r="P65" s="80">
        <v>3947500</v>
      </c>
      <c r="Q65" s="80">
        <v>1072000</v>
      </c>
      <c r="R65" s="80">
        <v>411000</v>
      </c>
      <c r="S65" s="80">
        <v>906700</v>
      </c>
      <c r="T65" s="80">
        <v>612200</v>
      </c>
      <c r="U65" s="80">
        <v>250000</v>
      </c>
      <c r="V65" s="80">
        <v>3947500</v>
      </c>
      <c r="W65" s="80">
        <v>1171400</v>
      </c>
      <c r="X65" s="80">
        <v>411000</v>
      </c>
      <c r="Y65" s="80">
        <v>906700</v>
      </c>
      <c r="Z65" s="80">
        <v>738300</v>
      </c>
      <c r="AA65" s="80">
        <v>250000</v>
      </c>
      <c r="AB65" s="80">
        <v>-4207450</v>
      </c>
      <c r="AC65" s="80">
        <v>-31770</v>
      </c>
      <c r="AD65" s="80">
        <v>188468</v>
      </c>
      <c r="AE65" s="80">
        <v>0</v>
      </c>
      <c r="AF65" s="80">
        <v>0</v>
      </c>
      <c r="AG65" s="80">
        <v>221413</v>
      </c>
      <c r="AH65" s="81">
        <v>27655770.491803281</v>
      </c>
      <c r="AI65" s="80">
        <v>10843760.655737706</v>
      </c>
      <c r="AJ65" s="92">
        <v>14473691</v>
      </c>
      <c r="AK65" s="82">
        <v>83998618</v>
      </c>
      <c r="AL65" s="83">
        <v>3552408</v>
      </c>
      <c r="AM65" s="80">
        <v>432403</v>
      </c>
      <c r="AN65" s="80">
        <v>38568661</v>
      </c>
      <c r="AO65" s="80">
        <v>369352</v>
      </c>
      <c r="AP65" s="80">
        <v>8123645</v>
      </c>
      <c r="AQ65" s="80">
        <v>17458159</v>
      </c>
      <c r="AR65" s="80">
        <v>2580931</v>
      </c>
      <c r="AS65" s="80">
        <v>0</v>
      </c>
      <c r="AT65" s="80">
        <v>282820</v>
      </c>
      <c r="AU65" s="80">
        <v>0</v>
      </c>
      <c r="AV65" s="80">
        <v>0</v>
      </c>
      <c r="AW65" s="80">
        <v>0</v>
      </c>
      <c r="AX65" s="80">
        <v>0</v>
      </c>
      <c r="AY65" s="80">
        <v>45000</v>
      </c>
      <c r="AZ65" s="82">
        <v>3984039.09</v>
      </c>
      <c r="BA65" s="82">
        <v>2031859.94</v>
      </c>
      <c r="BB65" s="84"/>
      <c r="BC65" s="84">
        <v>2857139</v>
      </c>
      <c r="BD65" s="84">
        <v>5602234</v>
      </c>
      <c r="BE65" s="84">
        <v>81054699</v>
      </c>
      <c r="BF65" s="84">
        <v>81054699</v>
      </c>
      <c r="BG65" s="84">
        <v>129853407</v>
      </c>
      <c r="BH65" s="84">
        <v>126608757</v>
      </c>
      <c r="BI65" s="84">
        <v>0</v>
      </c>
      <c r="BJ65" s="84">
        <v>0</v>
      </c>
      <c r="BK65" s="85"/>
      <c r="BL65" s="86">
        <v>850693315.0875411</v>
      </c>
      <c r="BM65" s="86">
        <v>550589834.14754105</v>
      </c>
      <c r="BN65" s="87">
        <v>541500</v>
      </c>
      <c r="BO65" s="88"/>
      <c r="BP65" s="89">
        <v>441220440</v>
      </c>
      <c r="BQ65" s="90">
        <v>83998618</v>
      </c>
      <c r="BR65" s="90">
        <v>3552408</v>
      </c>
      <c r="BS65" s="89">
        <v>56396172</v>
      </c>
      <c r="BT65" s="89">
        <v>585167638</v>
      </c>
    </row>
    <row r="66" spans="1:72" x14ac:dyDescent="0.25">
      <c r="A66" s="91" t="s">
        <v>120</v>
      </c>
      <c r="B66" s="80">
        <v>87977633</v>
      </c>
      <c r="C66" s="80">
        <v>41212360</v>
      </c>
      <c r="D66" s="80">
        <v>50697183</v>
      </c>
      <c r="E66" s="80">
        <v>0</v>
      </c>
      <c r="F66" s="80">
        <v>14527840</v>
      </c>
      <c r="G66" s="80">
        <v>9437953</v>
      </c>
      <c r="H66" s="80">
        <v>6447600</v>
      </c>
      <c r="I66" s="80">
        <v>2438611</v>
      </c>
      <c r="J66" s="80">
        <v>36900</v>
      </c>
      <c r="K66" s="80">
        <v>25002</v>
      </c>
      <c r="L66" s="80">
        <v>59884797</v>
      </c>
      <c r="M66" s="80">
        <v>29103944</v>
      </c>
      <c r="N66" s="80">
        <v>668</v>
      </c>
      <c r="O66" s="80">
        <v>468</v>
      </c>
      <c r="P66" s="80">
        <v>887530</v>
      </c>
      <c r="Q66" s="80">
        <v>329900</v>
      </c>
      <c r="R66" s="80">
        <v>157500</v>
      </c>
      <c r="S66" s="80">
        <v>1139750</v>
      </c>
      <c r="T66" s="80">
        <v>232675</v>
      </c>
      <c r="U66" s="80">
        <v>1795500</v>
      </c>
      <c r="V66" s="80">
        <v>887530</v>
      </c>
      <c r="W66" s="80">
        <v>267425</v>
      </c>
      <c r="X66" s="80">
        <v>157500</v>
      </c>
      <c r="Y66" s="80">
        <v>1139750</v>
      </c>
      <c r="Z66" s="80">
        <v>226000</v>
      </c>
      <c r="AA66" s="80">
        <v>1795500</v>
      </c>
      <c r="AB66" s="80">
        <v>-1327125</v>
      </c>
      <c r="AC66" s="80">
        <v>0</v>
      </c>
      <c r="AD66" s="80">
        <v>97226</v>
      </c>
      <c r="AE66" s="80">
        <v>0</v>
      </c>
      <c r="AF66" s="80">
        <v>0</v>
      </c>
      <c r="AG66" s="80">
        <v>107488</v>
      </c>
      <c r="AH66" s="81">
        <v>40992950.819672137</v>
      </c>
      <c r="AI66" s="80">
        <v>0</v>
      </c>
      <c r="AJ66" s="92">
        <v>470729.50819672132</v>
      </c>
      <c r="AK66" s="82">
        <v>32988788</v>
      </c>
      <c r="AL66" s="83">
        <v>660464</v>
      </c>
      <c r="AM66" s="80">
        <v>0</v>
      </c>
      <c r="AN66" s="80">
        <v>8531278</v>
      </c>
      <c r="AO66" s="80">
        <v>77496</v>
      </c>
      <c r="AP66" s="80">
        <v>750904</v>
      </c>
      <c r="AQ66" s="80">
        <v>6905587</v>
      </c>
      <c r="AR66" s="80">
        <v>666187</v>
      </c>
      <c r="AS66" s="80">
        <v>0</v>
      </c>
      <c r="AT66" s="80">
        <v>78242</v>
      </c>
      <c r="AU66" s="80">
        <v>0</v>
      </c>
      <c r="AV66" s="80">
        <v>0</v>
      </c>
      <c r="AW66" s="80">
        <v>0</v>
      </c>
      <c r="AX66" s="80">
        <v>0</v>
      </c>
      <c r="AY66" s="80">
        <v>40000</v>
      </c>
      <c r="AZ66" s="82">
        <v>1564652.18</v>
      </c>
      <c r="BA66" s="82">
        <v>797972.61</v>
      </c>
      <c r="BB66" s="84"/>
      <c r="BC66" s="84">
        <v>2051421</v>
      </c>
      <c r="BD66" s="84">
        <v>4022394</v>
      </c>
      <c r="BE66" s="84">
        <v>14095593</v>
      </c>
      <c r="BF66" s="84">
        <v>14095593</v>
      </c>
      <c r="BG66" s="84">
        <v>28203782</v>
      </c>
      <c r="BH66" s="84">
        <v>23076869</v>
      </c>
      <c r="BI66" s="84">
        <v>0</v>
      </c>
      <c r="BJ66" s="84">
        <v>0</v>
      </c>
      <c r="BK66" s="85"/>
      <c r="BL66" s="86">
        <v>310536324.93786883</v>
      </c>
      <c r="BM66" s="86">
        <v>236865217.32786885</v>
      </c>
      <c r="BN66" s="87">
        <v>160000</v>
      </c>
      <c r="BO66" s="88"/>
      <c r="BP66" s="89">
        <v>179887176</v>
      </c>
      <c r="BQ66" s="90">
        <v>32988788</v>
      </c>
      <c r="BR66" s="90">
        <v>660464</v>
      </c>
      <c r="BS66" s="89">
        <v>15514361</v>
      </c>
      <c r="BT66" s="89">
        <v>229050789</v>
      </c>
    </row>
    <row r="67" spans="1:72" x14ac:dyDescent="0.25">
      <c r="A67" s="91" t="s">
        <v>121</v>
      </c>
      <c r="B67" s="94">
        <v>114542306</v>
      </c>
      <c r="C67" s="94">
        <v>55348648</v>
      </c>
      <c r="D67" s="94">
        <v>30897965</v>
      </c>
      <c r="E67" s="94">
        <v>0</v>
      </c>
      <c r="F67" s="94">
        <v>23289380</v>
      </c>
      <c r="G67" s="94">
        <v>23780312</v>
      </c>
      <c r="H67" s="94">
        <v>7291100</v>
      </c>
      <c r="I67" s="94">
        <v>3442671</v>
      </c>
      <c r="J67" s="94">
        <v>142200</v>
      </c>
      <c r="K67" s="94">
        <v>0</v>
      </c>
      <c r="L67" s="94">
        <v>43132543</v>
      </c>
      <c r="M67" s="94">
        <v>0</v>
      </c>
      <c r="N67" s="94">
        <v>1045</v>
      </c>
      <c r="O67" s="94">
        <v>1008</v>
      </c>
      <c r="P67" s="94">
        <v>1145900</v>
      </c>
      <c r="Q67" s="94">
        <v>131800</v>
      </c>
      <c r="R67" s="94">
        <v>30500</v>
      </c>
      <c r="S67" s="94">
        <v>1296080</v>
      </c>
      <c r="T67" s="94">
        <v>94100</v>
      </c>
      <c r="U67" s="94">
        <v>96600</v>
      </c>
      <c r="V67" s="94">
        <v>1145900</v>
      </c>
      <c r="W67" s="94">
        <v>131800</v>
      </c>
      <c r="X67" s="94">
        <v>30500</v>
      </c>
      <c r="Y67" s="94">
        <v>1296080</v>
      </c>
      <c r="Z67" s="94">
        <v>94100</v>
      </c>
      <c r="AA67" s="94">
        <v>96600</v>
      </c>
      <c r="AB67" s="94">
        <v>-2119625</v>
      </c>
      <c r="AC67" s="94">
        <v>-25199</v>
      </c>
      <c r="AD67" s="94">
        <v>178153</v>
      </c>
      <c r="AE67" s="94">
        <v>0</v>
      </c>
      <c r="AF67" s="94">
        <v>0</v>
      </c>
      <c r="AG67" s="94">
        <v>189015</v>
      </c>
      <c r="AH67" s="81">
        <v>27396245.901639342</v>
      </c>
      <c r="AI67" s="94">
        <v>22974041.803278688</v>
      </c>
      <c r="AJ67" s="92">
        <v>147228502</v>
      </c>
      <c r="AK67" s="82">
        <v>65763312</v>
      </c>
      <c r="AL67" s="83">
        <v>2492371</v>
      </c>
      <c r="AM67" s="94">
        <v>0</v>
      </c>
      <c r="AN67" s="94">
        <v>26182007</v>
      </c>
      <c r="AO67" s="94">
        <v>415146</v>
      </c>
      <c r="AP67" s="94">
        <v>3070760</v>
      </c>
      <c r="AQ67" s="94">
        <v>3559409</v>
      </c>
      <c r="AR67" s="94">
        <v>169797</v>
      </c>
      <c r="AS67" s="94">
        <v>0</v>
      </c>
      <c r="AT67" s="94">
        <v>23806</v>
      </c>
      <c r="AU67" s="94">
        <v>0</v>
      </c>
      <c r="AV67" s="94">
        <v>0</v>
      </c>
      <c r="AW67" s="94">
        <v>0</v>
      </c>
      <c r="AX67" s="94">
        <v>0</v>
      </c>
      <c r="AY67" s="94">
        <v>0</v>
      </c>
      <c r="AZ67" s="82">
        <v>3119141.86</v>
      </c>
      <c r="BA67" s="82">
        <v>1590762.35</v>
      </c>
      <c r="BB67" s="84"/>
      <c r="BC67" s="84">
        <v>0</v>
      </c>
      <c r="BD67" s="84">
        <v>0</v>
      </c>
      <c r="BE67" s="84">
        <v>1616959</v>
      </c>
      <c r="BF67" s="84">
        <v>1616959</v>
      </c>
      <c r="BG67" s="84">
        <v>41288088</v>
      </c>
      <c r="BH67" s="84">
        <v>40925998</v>
      </c>
      <c r="BI67" s="84">
        <v>0</v>
      </c>
      <c r="BJ67" s="84">
        <v>0</v>
      </c>
      <c r="BK67" s="95"/>
      <c r="BL67" s="86">
        <v>540933673.05491805</v>
      </c>
      <c r="BM67" s="86">
        <v>428544270.70491803</v>
      </c>
      <c r="BN67" s="87">
        <v>542535</v>
      </c>
      <c r="BO67" s="88"/>
      <c r="BP67" s="89">
        <v>200788919</v>
      </c>
      <c r="BQ67" s="90">
        <v>65763312</v>
      </c>
      <c r="BR67" s="90">
        <v>2492371</v>
      </c>
      <c r="BS67" s="89">
        <v>30156562</v>
      </c>
      <c r="BT67" s="89">
        <v>299201164</v>
      </c>
    </row>
    <row r="68" spans="1:72" x14ac:dyDescent="0.25">
      <c r="A68" s="91" t="s">
        <v>122</v>
      </c>
      <c r="B68" s="80">
        <v>215554913</v>
      </c>
      <c r="C68" s="80">
        <v>46315936</v>
      </c>
      <c r="D68" s="80">
        <v>114999471</v>
      </c>
      <c r="E68" s="80">
        <v>0</v>
      </c>
      <c r="F68" s="80">
        <v>55908150</v>
      </c>
      <c r="G68" s="80">
        <v>27183069</v>
      </c>
      <c r="H68" s="80">
        <v>14977600</v>
      </c>
      <c r="I68" s="80">
        <v>4402550</v>
      </c>
      <c r="J68" s="80">
        <v>0</v>
      </c>
      <c r="K68" s="80">
        <v>0</v>
      </c>
      <c r="L68" s="80">
        <v>73696964</v>
      </c>
      <c r="M68" s="80">
        <v>56916</v>
      </c>
      <c r="N68" s="80">
        <v>2637</v>
      </c>
      <c r="O68" s="80">
        <v>1235</v>
      </c>
      <c r="P68" s="80">
        <v>1689650</v>
      </c>
      <c r="Q68" s="80">
        <v>119700</v>
      </c>
      <c r="R68" s="80">
        <v>80000</v>
      </c>
      <c r="S68" s="80">
        <v>1240664</v>
      </c>
      <c r="T68" s="80">
        <v>77400</v>
      </c>
      <c r="U68" s="80">
        <v>989600</v>
      </c>
      <c r="V68" s="80">
        <v>1689650</v>
      </c>
      <c r="W68" s="80">
        <v>239500</v>
      </c>
      <c r="X68" s="80">
        <v>80000</v>
      </c>
      <c r="Y68" s="80">
        <v>1240664</v>
      </c>
      <c r="Z68" s="80">
        <v>43000</v>
      </c>
      <c r="AA68" s="80">
        <v>989600</v>
      </c>
      <c r="AB68" s="80">
        <v>-4676300</v>
      </c>
      <c r="AC68" s="80">
        <v>-353961</v>
      </c>
      <c r="AD68" s="80">
        <v>0</v>
      </c>
      <c r="AE68" s="80">
        <v>0</v>
      </c>
      <c r="AF68" s="80">
        <v>0</v>
      </c>
      <c r="AG68" s="80">
        <v>0</v>
      </c>
      <c r="AH68" s="81">
        <v>21681418.032786887</v>
      </c>
      <c r="AI68" s="80">
        <v>133466427.04918033</v>
      </c>
      <c r="AJ68" s="92">
        <v>158177524.59016392</v>
      </c>
      <c r="AK68" s="82">
        <v>128538260</v>
      </c>
      <c r="AL68" s="83">
        <v>3410926</v>
      </c>
      <c r="AM68" s="80">
        <v>0</v>
      </c>
      <c r="AN68" s="80">
        <v>93314027</v>
      </c>
      <c r="AO68" s="80">
        <v>2595200</v>
      </c>
      <c r="AP68" s="80">
        <v>32311882</v>
      </c>
      <c r="AQ68" s="80">
        <v>21099928</v>
      </c>
      <c r="AR68" s="80">
        <v>4844247</v>
      </c>
      <c r="AS68" s="80">
        <v>852</v>
      </c>
      <c r="AT68" s="80">
        <v>49795</v>
      </c>
      <c r="AU68" s="80">
        <v>0</v>
      </c>
      <c r="AV68" s="80">
        <v>0</v>
      </c>
      <c r="AW68" s="80">
        <v>5081</v>
      </c>
      <c r="AX68" s="80">
        <v>0</v>
      </c>
      <c r="AY68" s="80">
        <v>0</v>
      </c>
      <c r="AZ68" s="82">
        <v>6096546.1699999999</v>
      </c>
      <c r="BA68" s="82">
        <v>3109238.55</v>
      </c>
      <c r="BB68" s="84"/>
      <c r="BC68" s="84">
        <v>2509815</v>
      </c>
      <c r="BD68" s="84">
        <v>4921206</v>
      </c>
      <c r="BE68" s="84">
        <v>20343110</v>
      </c>
      <c r="BF68" s="84">
        <v>20343110</v>
      </c>
      <c r="BG68" s="84">
        <v>58309724</v>
      </c>
      <c r="BH68" s="84">
        <v>55415771</v>
      </c>
      <c r="BI68" s="84">
        <v>0</v>
      </c>
      <c r="BJ68" s="84">
        <v>0</v>
      </c>
      <c r="BK68" s="85"/>
      <c r="BL68" s="86">
        <v>1020531965.2221311</v>
      </c>
      <c r="BM68" s="86">
        <v>807204844.67213118</v>
      </c>
      <c r="BN68" s="87">
        <v>144750</v>
      </c>
      <c r="BO68" s="88"/>
      <c r="BP68" s="89">
        <v>376870320</v>
      </c>
      <c r="BQ68" s="90">
        <v>128538260</v>
      </c>
      <c r="BR68" s="90">
        <v>3410926</v>
      </c>
      <c r="BS68" s="89">
        <v>117010007</v>
      </c>
      <c r="BT68" s="89">
        <v>625829513</v>
      </c>
    </row>
    <row r="69" spans="1:72" x14ac:dyDescent="0.25">
      <c r="A69" s="91" t="s">
        <v>123</v>
      </c>
      <c r="B69" s="80">
        <v>180244475</v>
      </c>
      <c r="C69" s="80">
        <v>110365040</v>
      </c>
      <c r="D69" s="80">
        <v>35706750</v>
      </c>
      <c r="E69" s="80">
        <v>0</v>
      </c>
      <c r="F69" s="80">
        <v>28236100</v>
      </c>
      <c r="G69" s="80">
        <v>11804400</v>
      </c>
      <c r="H69" s="80">
        <v>11250250</v>
      </c>
      <c r="I69" s="80">
        <v>1939900</v>
      </c>
      <c r="J69" s="80">
        <v>35000</v>
      </c>
      <c r="K69" s="80">
        <v>0</v>
      </c>
      <c r="L69" s="80">
        <v>160901110</v>
      </c>
      <c r="M69" s="80">
        <v>49482220</v>
      </c>
      <c r="N69" s="80">
        <v>1252</v>
      </c>
      <c r="O69" s="80">
        <v>479</v>
      </c>
      <c r="P69" s="80">
        <v>3251000</v>
      </c>
      <c r="Q69" s="80">
        <v>2048100</v>
      </c>
      <c r="R69" s="80">
        <v>425000</v>
      </c>
      <c r="S69" s="80">
        <v>3645800</v>
      </c>
      <c r="T69" s="80">
        <v>1443900</v>
      </c>
      <c r="U69" s="80">
        <v>177900</v>
      </c>
      <c r="V69" s="80">
        <v>3251000</v>
      </c>
      <c r="W69" s="80">
        <v>2248600</v>
      </c>
      <c r="X69" s="80">
        <v>425000</v>
      </c>
      <c r="Y69" s="80">
        <v>3645800</v>
      </c>
      <c r="Z69" s="80">
        <v>1860800</v>
      </c>
      <c r="AA69" s="80">
        <v>177900</v>
      </c>
      <c r="AB69" s="80">
        <v>-2434400</v>
      </c>
      <c r="AC69" s="80">
        <v>-3029</v>
      </c>
      <c r="AD69" s="80">
        <v>197416</v>
      </c>
      <c r="AE69" s="80">
        <v>0</v>
      </c>
      <c r="AF69" s="80">
        <v>0</v>
      </c>
      <c r="AG69" s="80">
        <v>288930</v>
      </c>
      <c r="AH69" s="81">
        <v>0</v>
      </c>
      <c r="AI69" s="80">
        <v>67196.721311475412</v>
      </c>
      <c r="AJ69" s="92">
        <v>0</v>
      </c>
      <c r="AK69" s="82">
        <v>71733124</v>
      </c>
      <c r="AL69" s="83">
        <v>1087125</v>
      </c>
      <c r="AM69" s="80">
        <v>0</v>
      </c>
      <c r="AN69" s="80">
        <v>13332910</v>
      </c>
      <c r="AO69" s="80">
        <v>3726344</v>
      </c>
      <c r="AP69" s="80">
        <v>13537361</v>
      </c>
      <c r="AQ69" s="80">
        <v>9352866</v>
      </c>
      <c r="AR69" s="80">
        <v>3662297</v>
      </c>
      <c r="AS69" s="80">
        <v>562689</v>
      </c>
      <c r="AT69" s="80">
        <v>58297</v>
      </c>
      <c r="AU69" s="80">
        <v>0</v>
      </c>
      <c r="AV69" s="80">
        <v>0</v>
      </c>
      <c r="AW69" s="80">
        <v>0</v>
      </c>
      <c r="AX69" s="80">
        <v>0</v>
      </c>
      <c r="AY69" s="80">
        <v>23000</v>
      </c>
      <c r="AZ69" s="82">
        <v>3402288.96</v>
      </c>
      <c r="BA69" s="82">
        <v>1735167.37</v>
      </c>
      <c r="BB69" s="84">
        <v>45595854.920000002</v>
      </c>
      <c r="BC69" s="84">
        <v>2550929</v>
      </c>
      <c r="BD69" s="84">
        <v>5001822</v>
      </c>
      <c r="BE69" s="84">
        <v>57580257</v>
      </c>
      <c r="BF69" s="84">
        <v>57580257</v>
      </c>
      <c r="BG69" s="84">
        <v>56920357</v>
      </c>
      <c r="BH69" s="84">
        <v>47826362</v>
      </c>
      <c r="BI69" s="84">
        <v>0</v>
      </c>
      <c r="BJ69" s="84">
        <v>0</v>
      </c>
      <c r="BK69" s="85"/>
      <c r="BL69" s="86">
        <v>535308546.09131145</v>
      </c>
      <c r="BM69" s="86">
        <v>352795581.72131145</v>
      </c>
      <c r="BN69" s="87">
        <v>1853000</v>
      </c>
      <c r="BO69" s="88"/>
      <c r="BP69" s="89">
        <v>326316265</v>
      </c>
      <c r="BQ69" s="90">
        <v>71733124</v>
      </c>
      <c r="BR69" s="90">
        <v>1087125</v>
      </c>
      <c r="BS69" s="89">
        <v>26974809</v>
      </c>
      <c r="BT69" s="89">
        <v>426111323</v>
      </c>
    </row>
    <row r="70" spans="1:72" x14ac:dyDescent="0.25">
      <c r="A70" s="91" t="s">
        <v>124</v>
      </c>
      <c r="B70" s="80">
        <v>468806774</v>
      </c>
      <c r="C70" s="80">
        <v>168797002</v>
      </c>
      <c r="D70" s="80">
        <v>120049342</v>
      </c>
      <c r="E70" s="80">
        <v>0</v>
      </c>
      <c r="F70" s="80">
        <v>68059805</v>
      </c>
      <c r="G70" s="80">
        <v>17619770</v>
      </c>
      <c r="H70" s="80">
        <v>21547100</v>
      </c>
      <c r="I70" s="80">
        <v>1977770</v>
      </c>
      <c r="J70" s="80">
        <v>295200</v>
      </c>
      <c r="K70" s="80">
        <v>107800</v>
      </c>
      <c r="L70" s="80">
        <v>297245791</v>
      </c>
      <c r="M70" s="80">
        <v>112517935</v>
      </c>
      <c r="N70" s="80">
        <v>2702</v>
      </c>
      <c r="O70" s="80">
        <v>673</v>
      </c>
      <c r="P70" s="80">
        <v>4836327</v>
      </c>
      <c r="Q70" s="80">
        <v>1888900</v>
      </c>
      <c r="R70" s="80">
        <v>2313100</v>
      </c>
      <c r="S70" s="80">
        <v>7366430</v>
      </c>
      <c r="T70" s="80">
        <v>1162755</v>
      </c>
      <c r="U70" s="80">
        <v>1410501</v>
      </c>
      <c r="V70" s="80">
        <v>4836327</v>
      </c>
      <c r="W70" s="80">
        <v>2125300</v>
      </c>
      <c r="X70" s="80">
        <v>2313100</v>
      </c>
      <c r="Y70" s="80">
        <v>7366430</v>
      </c>
      <c r="Z70" s="80">
        <v>2096810</v>
      </c>
      <c r="AA70" s="80">
        <v>1410501</v>
      </c>
      <c r="AB70" s="80">
        <v>-2999964</v>
      </c>
      <c r="AC70" s="80">
        <v>-1021417</v>
      </c>
      <c r="AD70" s="80">
        <v>27976</v>
      </c>
      <c r="AE70" s="80">
        <v>0</v>
      </c>
      <c r="AF70" s="80">
        <v>0</v>
      </c>
      <c r="AG70" s="80">
        <v>171401</v>
      </c>
      <c r="AH70" s="81">
        <v>137237.7049180328</v>
      </c>
      <c r="AI70" s="80">
        <v>0</v>
      </c>
      <c r="AJ70" s="92">
        <v>0</v>
      </c>
      <c r="AK70" s="82">
        <v>106518202</v>
      </c>
      <c r="AL70" s="83">
        <v>3613855</v>
      </c>
      <c r="AM70" s="80">
        <v>0</v>
      </c>
      <c r="AN70" s="80">
        <v>12064526</v>
      </c>
      <c r="AO70" s="80">
        <v>2529045</v>
      </c>
      <c r="AP70" s="80">
        <v>15959039</v>
      </c>
      <c r="AQ70" s="80">
        <v>23699132</v>
      </c>
      <c r="AR70" s="80">
        <v>14347105</v>
      </c>
      <c r="AS70" s="80">
        <v>24293</v>
      </c>
      <c r="AT70" s="80">
        <v>7762172</v>
      </c>
      <c r="AU70" s="80">
        <v>0</v>
      </c>
      <c r="AV70" s="80">
        <v>0</v>
      </c>
      <c r="AW70" s="80">
        <v>35321</v>
      </c>
      <c r="AX70" s="80">
        <v>1474547</v>
      </c>
      <c r="AY70" s="80">
        <v>0</v>
      </c>
      <c r="AZ70" s="82">
        <v>5052138.8499999996</v>
      </c>
      <c r="BA70" s="82">
        <v>2576590.81</v>
      </c>
      <c r="BB70" s="84"/>
      <c r="BC70" s="84">
        <v>2201764</v>
      </c>
      <c r="BD70" s="84">
        <v>4317185</v>
      </c>
      <c r="BE70" s="84">
        <v>45520975</v>
      </c>
      <c r="BF70" s="84">
        <v>45520975</v>
      </c>
      <c r="BG70" s="84">
        <v>74536883</v>
      </c>
      <c r="BH70" s="84">
        <v>67583000</v>
      </c>
      <c r="BI70" s="84">
        <v>0</v>
      </c>
      <c r="BJ70" s="84">
        <v>0</v>
      </c>
      <c r="BK70" s="85"/>
      <c r="BL70" s="86">
        <v>1024097445.514918</v>
      </c>
      <c r="BM70" s="86">
        <v>796083058.70491803</v>
      </c>
      <c r="BN70" s="87">
        <v>507600</v>
      </c>
      <c r="BO70" s="88"/>
      <c r="BP70" s="89">
        <v>757653118</v>
      </c>
      <c r="BQ70" s="90">
        <v>106518202</v>
      </c>
      <c r="BR70" s="90">
        <v>3613855</v>
      </c>
      <c r="BS70" s="89">
        <v>38316996</v>
      </c>
      <c r="BT70" s="89">
        <v>906102171</v>
      </c>
    </row>
    <row r="71" spans="1:72" x14ac:dyDescent="0.25">
      <c r="A71" s="91" t="s">
        <v>125</v>
      </c>
      <c r="B71" s="80">
        <v>239358724</v>
      </c>
      <c r="C71" s="80">
        <v>111336605</v>
      </c>
      <c r="D71" s="80">
        <v>89310816</v>
      </c>
      <c r="E71" s="80">
        <v>0</v>
      </c>
      <c r="F71" s="80">
        <v>30502400</v>
      </c>
      <c r="G71" s="80">
        <v>6826975</v>
      </c>
      <c r="H71" s="80">
        <v>9196400</v>
      </c>
      <c r="I71" s="80">
        <v>1232700</v>
      </c>
      <c r="J71" s="80">
        <v>73800</v>
      </c>
      <c r="K71" s="80">
        <v>0</v>
      </c>
      <c r="L71" s="80">
        <v>212107735</v>
      </c>
      <c r="M71" s="80">
        <v>65055950</v>
      </c>
      <c r="N71" s="80">
        <v>1159</v>
      </c>
      <c r="O71" s="80">
        <v>254</v>
      </c>
      <c r="P71" s="80">
        <v>3737750</v>
      </c>
      <c r="Q71" s="80">
        <v>3213650</v>
      </c>
      <c r="R71" s="80">
        <v>1107500</v>
      </c>
      <c r="S71" s="80">
        <v>1672190</v>
      </c>
      <c r="T71" s="80">
        <v>2029400</v>
      </c>
      <c r="U71" s="80">
        <v>448550</v>
      </c>
      <c r="V71" s="80">
        <v>3737750</v>
      </c>
      <c r="W71" s="80">
        <v>3399050</v>
      </c>
      <c r="X71" s="80">
        <v>1107500</v>
      </c>
      <c r="Y71" s="80">
        <v>1672190</v>
      </c>
      <c r="Z71" s="80">
        <v>2418390</v>
      </c>
      <c r="AA71" s="80">
        <v>448550</v>
      </c>
      <c r="AB71" s="80">
        <v>-1151270</v>
      </c>
      <c r="AC71" s="80">
        <v>0</v>
      </c>
      <c r="AD71" s="80">
        <v>88726</v>
      </c>
      <c r="AE71" s="80">
        <v>0</v>
      </c>
      <c r="AF71" s="80">
        <v>0</v>
      </c>
      <c r="AG71" s="80">
        <v>176566</v>
      </c>
      <c r="AH71" s="81">
        <v>0</v>
      </c>
      <c r="AI71" s="80">
        <v>17482368.852459017</v>
      </c>
      <c r="AJ71" s="92">
        <v>0</v>
      </c>
      <c r="AK71" s="82">
        <v>70324816</v>
      </c>
      <c r="AL71" s="83">
        <v>5169730</v>
      </c>
      <c r="AM71" s="80">
        <v>12160857</v>
      </c>
      <c r="AN71" s="80">
        <v>58407971</v>
      </c>
      <c r="AO71" s="80">
        <v>2003980</v>
      </c>
      <c r="AP71" s="80">
        <v>80371420</v>
      </c>
      <c r="AQ71" s="80">
        <v>32784066</v>
      </c>
      <c r="AR71" s="80">
        <v>1501893</v>
      </c>
      <c r="AS71" s="80">
        <v>9566822</v>
      </c>
      <c r="AT71" s="80">
        <v>901198</v>
      </c>
      <c r="AU71" s="80">
        <v>0</v>
      </c>
      <c r="AV71" s="80">
        <v>0</v>
      </c>
      <c r="AW71" s="80">
        <v>0</v>
      </c>
      <c r="AX71" s="80">
        <v>0</v>
      </c>
      <c r="AY71" s="80">
        <v>0</v>
      </c>
      <c r="AZ71" s="82">
        <v>3335493.17</v>
      </c>
      <c r="BA71" s="82">
        <v>1701101.52</v>
      </c>
      <c r="BB71" s="84">
        <v>81813471.5</v>
      </c>
      <c r="BC71" s="84">
        <v>350392</v>
      </c>
      <c r="BD71" s="84">
        <v>687044</v>
      </c>
      <c r="BE71" s="84">
        <v>38529389</v>
      </c>
      <c r="BF71" s="84">
        <v>38246441</v>
      </c>
      <c r="BG71" s="84">
        <v>34717538</v>
      </c>
      <c r="BH71" s="84">
        <v>33964136</v>
      </c>
      <c r="BI71" s="84">
        <v>0</v>
      </c>
      <c r="BJ71" s="84">
        <v>0</v>
      </c>
      <c r="BK71" s="85"/>
      <c r="BL71" s="86">
        <v>700441147.37245893</v>
      </c>
      <c r="BM71" s="86">
        <v>550684530.85245895</v>
      </c>
      <c r="BN71" s="87">
        <v>346401</v>
      </c>
      <c r="BO71" s="88"/>
      <c r="BP71" s="89">
        <v>440006145</v>
      </c>
      <c r="BQ71" s="90">
        <v>70324816</v>
      </c>
      <c r="BR71" s="90">
        <v>5169730</v>
      </c>
      <c r="BS71" s="89">
        <v>102762839</v>
      </c>
      <c r="BT71" s="89">
        <v>618263530</v>
      </c>
    </row>
    <row r="72" spans="1:72" x14ac:dyDescent="0.25">
      <c r="A72" s="91" t="s">
        <v>126</v>
      </c>
      <c r="B72" s="80">
        <v>573431723</v>
      </c>
      <c r="C72" s="80">
        <v>318966852</v>
      </c>
      <c r="D72" s="80">
        <v>204134985</v>
      </c>
      <c r="E72" s="80">
        <v>0</v>
      </c>
      <c r="F72" s="80">
        <v>71060075</v>
      </c>
      <c r="G72" s="80">
        <v>11537453</v>
      </c>
      <c r="H72" s="80">
        <v>15910585</v>
      </c>
      <c r="I72" s="80">
        <v>1235000</v>
      </c>
      <c r="J72" s="80">
        <v>102800</v>
      </c>
      <c r="K72" s="80">
        <v>0</v>
      </c>
      <c r="L72" s="80">
        <v>1040424218</v>
      </c>
      <c r="M72" s="80">
        <v>124895955</v>
      </c>
      <c r="N72" s="80">
        <v>2516</v>
      </c>
      <c r="O72" s="80">
        <v>393</v>
      </c>
      <c r="P72" s="80">
        <v>9126394</v>
      </c>
      <c r="Q72" s="80">
        <v>5816390</v>
      </c>
      <c r="R72" s="80">
        <v>5017752</v>
      </c>
      <c r="S72" s="80">
        <v>5443535</v>
      </c>
      <c r="T72" s="80">
        <v>2314064</v>
      </c>
      <c r="U72" s="80">
        <v>1709342</v>
      </c>
      <c r="V72" s="80">
        <v>9126394</v>
      </c>
      <c r="W72" s="80">
        <v>9200823</v>
      </c>
      <c r="X72" s="80">
        <v>5017752</v>
      </c>
      <c r="Y72" s="80">
        <v>5443535</v>
      </c>
      <c r="Z72" s="80">
        <v>5934264</v>
      </c>
      <c r="AA72" s="80">
        <v>1709342</v>
      </c>
      <c r="AB72" s="80">
        <v>-7312295</v>
      </c>
      <c r="AC72" s="80">
        <v>0</v>
      </c>
      <c r="AD72" s="80">
        <v>106319</v>
      </c>
      <c r="AE72" s="80">
        <v>0</v>
      </c>
      <c r="AF72" s="80">
        <v>625265876</v>
      </c>
      <c r="AG72" s="80">
        <v>322657</v>
      </c>
      <c r="AH72" s="81">
        <v>138172.13114754099</v>
      </c>
      <c r="AI72" s="80">
        <v>203598.36065573769</v>
      </c>
      <c r="AJ72" s="92">
        <v>0</v>
      </c>
      <c r="AK72" s="82">
        <v>162142261</v>
      </c>
      <c r="AL72" s="83">
        <v>4988019</v>
      </c>
      <c r="AM72" s="80">
        <v>0</v>
      </c>
      <c r="AN72" s="80">
        <v>42340591</v>
      </c>
      <c r="AO72" s="80">
        <v>14705775</v>
      </c>
      <c r="AP72" s="80">
        <v>438039040</v>
      </c>
      <c r="AQ72" s="80">
        <v>127555572</v>
      </c>
      <c r="AR72" s="80">
        <v>201530541</v>
      </c>
      <c r="AS72" s="80">
        <v>34031099</v>
      </c>
      <c r="AT72" s="80">
        <v>7285686</v>
      </c>
      <c r="AU72" s="80">
        <v>0</v>
      </c>
      <c r="AV72" s="80">
        <v>19416</v>
      </c>
      <c r="AW72" s="80">
        <v>9987727</v>
      </c>
      <c r="AX72" s="80">
        <v>4469807</v>
      </c>
      <c r="AY72" s="80">
        <v>187200</v>
      </c>
      <c r="AZ72" s="82">
        <v>7690377.7999999998</v>
      </c>
      <c r="BA72" s="82">
        <v>3922092.68</v>
      </c>
      <c r="BB72" s="84"/>
      <c r="BC72" s="84">
        <v>2255152</v>
      </c>
      <c r="BD72" s="84">
        <v>4421866</v>
      </c>
      <c r="BE72" s="84">
        <v>15511456</v>
      </c>
      <c r="BF72" s="84">
        <v>15511456</v>
      </c>
      <c r="BG72" s="84">
        <v>59550660</v>
      </c>
      <c r="BH72" s="84">
        <v>56975744</v>
      </c>
      <c r="BI72" s="84">
        <v>0</v>
      </c>
      <c r="BJ72" s="84">
        <v>7709620</v>
      </c>
      <c r="BK72" s="85"/>
      <c r="BL72" s="86">
        <v>1534981613.1718035</v>
      </c>
      <c r="BM72" s="86">
        <v>1281477268.4918034</v>
      </c>
      <c r="BN72" s="87">
        <v>3723392</v>
      </c>
      <c r="BO72" s="88"/>
      <c r="BP72" s="89">
        <v>1096533560</v>
      </c>
      <c r="BQ72" s="90">
        <v>162142261</v>
      </c>
      <c r="BR72" s="90">
        <v>4988019</v>
      </c>
      <c r="BS72" s="89">
        <v>218633037</v>
      </c>
      <c r="BT72" s="89">
        <v>1482296877</v>
      </c>
    </row>
    <row r="73" spans="1:72" x14ac:dyDescent="0.25">
      <c r="A73" s="91" t="s">
        <v>127</v>
      </c>
      <c r="B73" s="80">
        <v>453720759</v>
      </c>
      <c r="C73" s="80">
        <v>59513328</v>
      </c>
      <c r="D73" s="80">
        <v>77827178</v>
      </c>
      <c r="E73" s="80">
        <v>0</v>
      </c>
      <c r="F73" s="80">
        <v>30507310</v>
      </c>
      <c r="G73" s="80">
        <v>5368525</v>
      </c>
      <c r="H73" s="80">
        <v>5981282</v>
      </c>
      <c r="I73" s="80">
        <v>669050</v>
      </c>
      <c r="J73" s="80">
        <v>36900</v>
      </c>
      <c r="K73" s="80">
        <v>0</v>
      </c>
      <c r="L73" s="80">
        <v>149563997</v>
      </c>
      <c r="M73" s="80">
        <v>40650675</v>
      </c>
      <c r="N73" s="80">
        <v>1044</v>
      </c>
      <c r="O73" s="80">
        <v>188</v>
      </c>
      <c r="P73" s="80">
        <v>4362435</v>
      </c>
      <c r="Q73" s="80">
        <v>774320</v>
      </c>
      <c r="R73" s="80">
        <v>475000</v>
      </c>
      <c r="S73" s="80">
        <v>4606297</v>
      </c>
      <c r="T73" s="80">
        <v>322349</v>
      </c>
      <c r="U73" s="80">
        <v>1910981</v>
      </c>
      <c r="V73" s="80">
        <v>4362435</v>
      </c>
      <c r="W73" s="80">
        <v>1431500</v>
      </c>
      <c r="X73" s="80">
        <v>475000</v>
      </c>
      <c r="Y73" s="80">
        <v>4606297</v>
      </c>
      <c r="Z73" s="80">
        <v>2672764</v>
      </c>
      <c r="AA73" s="80">
        <v>1910981</v>
      </c>
      <c r="AB73" s="80">
        <v>-3846218</v>
      </c>
      <c r="AC73" s="80">
        <v>0</v>
      </c>
      <c r="AD73" s="80">
        <v>29163</v>
      </c>
      <c r="AE73" s="80">
        <v>0</v>
      </c>
      <c r="AF73" s="80">
        <v>0</v>
      </c>
      <c r="AG73" s="80">
        <v>30220</v>
      </c>
      <c r="AH73" s="81">
        <v>0</v>
      </c>
      <c r="AI73" s="80">
        <v>0</v>
      </c>
      <c r="AJ73" s="92">
        <v>0</v>
      </c>
      <c r="AK73" s="82">
        <v>59006684</v>
      </c>
      <c r="AL73" s="83">
        <v>13154861</v>
      </c>
      <c r="AM73" s="80">
        <v>4867696</v>
      </c>
      <c r="AN73" s="80">
        <v>13393505</v>
      </c>
      <c r="AO73" s="80">
        <v>479833</v>
      </c>
      <c r="AP73" s="80">
        <v>4725230</v>
      </c>
      <c r="AQ73" s="80">
        <v>7931114</v>
      </c>
      <c r="AR73" s="80">
        <v>6157537</v>
      </c>
      <c r="AS73" s="80">
        <v>28223016</v>
      </c>
      <c r="AT73" s="80">
        <v>1022195</v>
      </c>
      <c r="AU73" s="80">
        <v>0</v>
      </c>
      <c r="AV73" s="80">
        <v>172623</v>
      </c>
      <c r="AW73" s="80">
        <v>5648</v>
      </c>
      <c r="AX73" s="80">
        <v>6569</v>
      </c>
      <c r="AY73" s="80">
        <v>9400</v>
      </c>
      <c r="AZ73" s="82">
        <v>2798676.23</v>
      </c>
      <c r="BA73" s="82">
        <v>1427324.88</v>
      </c>
      <c r="BB73" s="84">
        <v>34455958.549999997</v>
      </c>
      <c r="BC73" s="84">
        <v>918015</v>
      </c>
      <c r="BD73" s="84">
        <v>1800030</v>
      </c>
      <c r="BE73" s="84">
        <v>8947244</v>
      </c>
      <c r="BF73" s="84">
        <v>7483838</v>
      </c>
      <c r="BG73" s="84">
        <v>18814062</v>
      </c>
      <c r="BH73" s="84">
        <v>17603641</v>
      </c>
      <c r="BI73" s="84">
        <v>0</v>
      </c>
      <c r="BJ73" s="84">
        <v>0</v>
      </c>
      <c r="BK73" s="85"/>
      <c r="BL73" s="86">
        <v>712460080.88</v>
      </c>
      <c r="BM73" s="86">
        <v>612865717</v>
      </c>
      <c r="BN73" s="87">
        <v>676625</v>
      </c>
      <c r="BO73" s="88"/>
      <c r="BP73" s="89">
        <v>591061265</v>
      </c>
      <c r="BQ73" s="90">
        <v>59006684</v>
      </c>
      <c r="BR73" s="90">
        <v>13154861</v>
      </c>
      <c r="BS73" s="89">
        <v>50027468</v>
      </c>
      <c r="BT73" s="89">
        <v>713250278</v>
      </c>
    </row>
    <row r="74" spans="1:72" x14ac:dyDescent="0.25">
      <c r="A74" s="91" t="s">
        <v>128</v>
      </c>
      <c r="B74" s="80">
        <v>2346424290</v>
      </c>
      <c r="C74" s="80">
        <v>133500601</v>
      </c>
      <c r="D74" s="80">
        <v>1137855672</v>
      </c>
      <c r="E74" s="80">
        <v>0</v>
      </c>
      <c r="F74" s="80">
        <v>193680775</v>
      </c>
      <c r="G74" s="80">
        <v>27465632</v>
      </c>
      <c r="H74" s="80">
        <v>9969690</v>
      </c>
      <c r="I74" s="80">
        <v>833338</v>
      </c>
      <c r="J74" s="80">
        <v>443500</v>
      </c>
      <c r="K74" s="80">
        <v>36900</v>
      </c>
      <c r="L74" s="80">
        <v>196693538</v>
      </c>
      <c r="M74" s="80">
        <v>0</v>
      </c>
      <c r="N74" s="80">
        <v>5802</v>
      </c>
      <c r="O74" s="80">
        <v>893</v>
      </c>
      <c r="P74" s="80">
        <v>51352431</v>
      </c>
      <c r="Q74" s="80">
        <v>6246302</v>
      </c>
      <c r="R74" s="80">
        <v>32100585</v>
      </c>
      <c r="S74" s="80">
        <v>22098791</v>
      </c>
      <c r="T74" s="80">
        <v>1645820</v>
      </c>
      <c r="U74" s="80">
        <v>19204186</v>
      </c>
      <c r="V74" s="80">
        <v>51352431</v>
      </c>
      <c r="W74" s="80">
        <v>9706568</v>
      </c>
      <c r="X74" s="80">
        <v>32100585</v>
      </c>
      <c r="Y74" s="80">
        <v>22098791</v>
      </c>
      <c r="Z74" s="80">
        <v>3987450</v>
      </c>
      <c r="AA74" s="80">
        <v>19204186</v>
      </c>
      <c r="AB74" s="80">
        <v>-24080727</v>
      </c>
      <c r="AC74" s="80">
        <v>-10260384</v>
      </c>
      <c r="AD74" s="80">
        <v>0</v>
      </c>
      <c r="AE74" s="80">
        <v>0</v>
      </c>
      <c r="AF74" s="80">
        <v>0</v>
      </c>
      <c r="AG74" s="80">
        <v>0</v>
      </c>
      <c r="AH74" s="81">
        <v>0</v>
      </c>
      <c r="AI74" s="80">
        <v>356942.62295081973</v>
      </c>
      <c r="AJ74" s="92">
        <v>0</v>
      </c>
      <c r="AK74" s="82">
        <v>474924709</v>
      </c>
      <c r="AL74" s="83">
        <v>14043471</v>
      </c>
      <c r="AM74" s="80">
        <v>88420</v>
      </c>
      <c r="AN74" s="80">
        <v>229520384</v>
      </c>
      <c r="AO74" s="80">
        <v>10265325</v>
      </c>
      <c r="AP74" s="80">
        <v>49482473</v>
      </c>
      <c r="AQ74" s="80">
        <v>281466620</v>
      </c>
      <c r="AR74" s="80">
        <v>818813753</v>
      </c>
      <c r="AS74" s="80">
        <v>415975095</v>
      </c>
      <c r="AT74" s="80">
        <v>2303691</v>
      </c>
      <c r="AU74" s="80">
        <v>0</v>
      </c>
      <c r="AV74" s="80">
        <v>0</v>
      </c>
      <c r="AW74" s="80">
        <v>173073</v>
      </c>
      <c r="AX74" s="80">
        <v>936768</v>
      </c>
      <c r="AY74" s="80">
        <v>14480583</v>
      </c>
      <c r="AZ74" s="82">
        <v>22525592.120000001</v>
      </c>
      <c r="BA74" s="82">
        <v>11488051.98</v>
      </c>
      <c r="BB74" s="84">
        <v>33264248.699999999</v>
      </c>
      <c r="BC74" s="84">
        <v>4518894</v>
      </c>
      <c r="BD74" s="84">
        <v>8860577</v>
      </c>
      <c r="BE74" s="84">
        <v>73317330</v>
      </c>
      <c r="BF74" s="84">
        <v>64413009</v>
      </c>
      <c r="BG74" s="84">
        <v>133830831</v>
      </c>
      <c r="BH74" s="84">
        <v>115154382</v>
      </c>
      <c r="BI74" s="84">
        <v>0</v>
      </c>
      <c r="BJ74" s="84">
        <v>67773279</v>
      </c>
      <c r="BK74" s="85"/>
      <c r="BL74" s="86">
        <v>4891705630.602951</v>
      </c>
      <c r="BM74" s="86">
        <v>4139389834.622951</v>
      </c>
      <c r="BN74" s="87">
        <v>3070098</v>
      </c>
      <c r="BO74" s="88"/>
      <c r="BP74" s="89">
        <v>3617780563</v>
      </c>
      <c r="BQ74" s="90">
        <v>474924709</v>
      </c>
      <c r="BR74" s="90">
        <v>14043471</v>
      </c>
      <c r="BS74" s="89">
        <v>937227424</v>
      </c>
      <c r="BT74" s="89">
        <v>5043976167</v>
      </c>
    </row>
    <row r="75" spans="1:72" x14ac:dyDescent="0.25">
      <c r="A75" s="91" t="s">
        <v>129</v>
      </c>
      <c r="B75" s="80">
        <v>211746277</v>
      </c>
      <c r="C75" s="80">
        <v>51097763</v>
      </c>
      <c r="D75" s="80">
        <v>79669635</v>
      </c>
      <c r="E75" s="80">
        <v>0</v>
      </c>
      <c r="F75" s="80">
        <v>42572700</v>
      </c>
      <c r="G75" s="80">
        <v>21505534</v>
      </c>
      <c r="H75" s="80">
        <v>6975700</v>
      </c>
      <c r="I75" s="80">
        <v>2146400</v>
      </c>
      <c r="J75" s="80">
        <v>130700</v>
      </c>
      <c r="K75" s="80">
        <v>36900</v>
      </c>
      <c r="L75" s="80">
        <v>30895792</v>
      </c>
      <c r="M75" s="80">
        <v>0</v>
      </c>
      <c r="N75" s="80">
        <v>1527</v>
      </c>
      <c r="O75" s="80">
        <v>790</v>
      </c>
      <c r="P75" s="80">
        <v>2962500</v>
      </c>
      <c r="Q75" s="80">
        <v>25500</v>
      </c>
      <c r="R75" s="80">
        <v>629000</v>
      </c>
      <c r="S75" s="80">
        <v>3371500</v>
      </c>
      <c r="T75" s="80">
        <v>2564150</v>
      </c>
      <c r="U75" s="80">
        <v>818000</v>
      </c>
      <c r="V75" s="80">
        <v>2962500</v>
      </c>
      <c r="W75" s="80">
        <v>24500</v>
      </c>
      <c r="X75" s="80">
        <v>629000</v>
      </c>
      <c r="Y75" s="80">
        <v>3371500</v>
      </c>
      <c r="Z75" s="80">
        <v>3789250</v>
      </c>
      <c r="AA75" s="80">
        <v>818750</v>
      </c>
      <c r="AB75" s="80">
        <v>-1307400</v>
      </c>
      <c r="AC75" s="80">
        <v>0</v>
      </c>
      <c r="AD75" s="80">
        <v>33463</v>
      </c>
      <c r="AE75" s="80">
        <v>0</v>
      </c>
      <c r="AF75" s="80">
        <v>0</v>
      </c>
      <c r="AG75" s="80">
        <v>65072</v>
      </c>
      <c r="AH75" s="81">
        <v>490688.52459016396</v>
      </c>
      <c r="AI75" s="80">
        <v>780248.36065573781</v>
      </c>
      <c r="AJ75" s="92">
        <v>1036139.3442622951</v>
      </c>
      <c r="AK75" s="82">
        <v>57836021</v>
      </c>
      <c r="AL75" s="83">
        <v>2038358</v>
      </c>
      <c r="AM75" s="80">
        <v>0</v>
      </c>
      <c r="AN75" s="80">
        <v>7036505</v>
      </c>
      <c r="AO75" s="80">
        <v>104056</v>
      </c>
      <c r="AP75" s="80">
        <v>4996787</v>
      </c>
      <c r="AQ75" s="80">
        <v>7126763</v>
      </c>
      <c r="AR75" s="80">
        <v>8934214</v>
      </c>
      <c r="AS75" s="80">
        <v>115</v>
      </c>
      <c r="AT75" s="80">
        <v>786925</v>
      </c>
      <c r="AU75" s="80">
        <v>0</v>
      </c>
      <c r="AV75" s="80">
        <v>0</v>
      </c>
      <c r="AW75" s="80">
        <v>0</v>
      </c>
      <c r="AX75" s="80">
        <v>9547</v>
      </c>
      <c r="AY75" s="80">
        <v>14000</v>
      </c>
      <c r="AZ75" s="82">
        <v>2743151.9</v>
      </c>
      <c r="BA75" s="82">
        <v>1399007.47</v>
      </c>
      <c r="BB75" s="84"/>
      <c r="BC75" s="84">
        <v>3302647</v>
      </c>
      <c r="BD75" s="84">
        <v>6475778</v>
      </c>
      <c r="BE75" s="84">
        <v>33448519</v>
      </c>
      <c r="BF75" s="84">
        <v>33448519</v>
      </c>
      <c r="BG75" s="84">
        <v>46736652</v>
      </c>
      <c r="BH75" s="84">
        <v>38776063</v>
      </c>
      <c r="BI75" s="84">
        <v>0</v>
      </c>
      <c r="BJ75" s="84">
        <v>0</v>
      </c>
      <c r="BK75" s="85"/>
      <c r="BL75" s="86">
        <v>495888690.69950819</v>
      </c>
      <c r="BM75" s="86">
        <v>359088075.22950816</v>
      </c>
      <c r="BN75" s="87">
        <v>617100</v>
      </c>
      <c r="BO75" s="88"/>
      <c r="BP75" s="89">
        <v>342513675</v>
      </c>
      <c r="BQ75" s="90">
        <v>57836021</v>
      </c>
      <c r="BR75" s="90">
        <v>2038358</v>
      </c>
      <c r="BS75" s="89">
        <v>14267439</v>
      </c>
      <c r="BT75" s="89">
        <v>416655493</v>
      </c>
    </row>
    <row r="76" spans="1:72" x14ac:dyDescent="0.25">
      <c r="A76" s="91" t="s">
        <v>130</v>
      </c>
      <c r="B76" s="94">
        <v>174773966</v>
      </c>
      <c r="C76" s="94">
        <v>144722123</v>
      </c>
      <c r="D76" s="94">
        <v>54663774</v>
      </c>
      <c r="E76" s="94">
        <v>0</v>
      </c>
      <c r="F76" s="94">
        <v>26471666</v>
      </c>
      <c r="G76" s="94">
        <v>7114758</v>
      </c>
      <c r="H76" s="94">
        <v>6184075</v>
      </c>
      <c r="I76" s="94">
        <v>504800</v>
      </c>
      <c r="J76" s="94">
        <v>0</v>
      </c>
      <c r="K76" s="94">
        <v>0</v>
      </c>
      <c r="L76" s="94">
        <v>253546904</v>
      </c>
      <c r="M76" s="94">
        <v>12094052</v>
      </c>
      <c r="N76" s="94">
        <v>985</v>
      </c>
      <c r="O76" s="94">
        <v>248</v>
      </c>
      <c r="P76" s="94">
        <v>1537317</v>
      </c>
      <c r="Q76" s="94">
        <v>1577948</v>
      </c>
      <c r="R76" s="94">
        <v>9528179</v>
      </c>
      <c r="S76" s="94">
        <v>1795901</v>
      </c>
      <c r="T76" s="94">
        <v>643368</v>
      </c>
      <c r="U76" s="94">
        <v>406676</v>
      </c>
      <c r="V76" s="94">
        <v>1537317</v>
      </c>
      <c r="W76" s="94">
        <v>1994083</v>
      </c>
      <c r="X76" s="94">
        <v>9528179</v>
      </c>
      <c r="Y76" s="94">
        <v>1795901</v>
      </c>
      <c r="Z76" s="94">
        <v>917923</v>
      </c>
      <c r="AA76" s="94">
        <v>406676</v>
      </c>
      <c r="AB76" s="94">
        <v>-1942940</v>
      </c>
      <c r="AC76" s="94">
        <v>0</v>
      </c>
      <c r="AD76" s="94">
        <v>15973</v>
      </c>
      <c r="AE76" s="94">
        <v>2973</v>
      </c>
      <c r="AF76" s="94">
        <v>6247514</v>
      </c>
      <c r="AG76" s="94">
        <v>154703</v>
      </c>
      <c r="AH76" s="81">
        <v>11963032.786885247</v>
      </c>
      <c r="AI76" s="94">
        <v>24004.918032786889</v>
      </c>
      <c r="AJ76" s="92">
        <v>3256573.7704918035</v>
      </c>
      <c r="AK76" s="82">
        <v>69216462</v>
      </c>
      <c r="AL76" s="83">
        <v>2589259</v>
      </c>
      <c r="AM76" s="94">
        <v>0</v>
      </c>
      <c r="AN76" s="94">
        <v>27105781</v>
      </c>
      <c r="AO76" s="94">
        <v>1201617</v>
      </c>
      <c r="AP76" s="94">
        <v>17502247</v>
      </c>
      <c r="AQ76" s="94">
        <v>10986912</v>
      </c>
      <c r="AR76" s="94">
        <v>15002162</v>
      </c>
      <c r="AS76" s="94">
        <v>0</v>
      </c>
      <c r="AT76" s="94">
        <v>15271080</v>
      </c>
      <c r="AU76" s="94">
        <v>0</v>
      </c>
      <c r="AV76" s="94">
        <v>10578017</v>
      </c>
      <c r="AW76" s="94">
        <v>2708228</v>
      </c>
      <c r="AX76" s="94">
        <v>0</v>
      </c>
      <c r="AY76" s="94">
        <v>239500</v>
      </c>
      <c r="AZ76" s="82">
        <v>3282924.14</v>
      </c>
      <c r="BA76" s="82">
        <v>1674291.31</v>
      </c>
      <c r="BB76" s="84">
        <v>14818652.85</v>
      </c>
      <c r="BC76" s="84">
        <v>0</v>
      </c>
      <c r="BD76" s="84">
        <v>0</v>
      </c>
      <c r="BE76" s="84">
        <v>5875990</v>
      </c>
      <c r="BF76" s="84">
        <v>5875990</v>
      </c>
      <c r="BG76" s="84">
        <v>22175731</v>
      </c>
      <c r="BH76" s="84">
        <v>22175731</v>
      </c>
      <c r="BI76" s="84">
        <v>0</v>
      </c>
      <c r="BJ76" s="84">
        <v>0</v>
      </c>
      <c r="BK76" s="95"/>
      <c r="BL76" s="86">
        <v>530229517.78540981</v>
      </c>
      <c r="BM76" s="86">
        <v>428697784.47540981</v>
      </c>
      <c r="BN76" s="87">
        <v>574669</v>
      </c>
      <c r="BO76" s="88"/>
      <c r="BP76" s="89">
        <v>374159863</v>
      </c>
      <c r="BQ76" s="90">
        <v>69216462</v>
      </c>
      <c r="BR76" s="90">
        <v>2589259</v>
      </c>
      <c r="BS76" s="89">
        <v>39294310</v>
      </c>
      <c r="BT76" s="89">
        <v>485259894</v>
      </c>
    </row>
    <row r="77" spans="1:72" x14ac:dyDescent="0.25">
      <c r="A77" s="91" t="s">
        <v>131</v>
      </c>
      <c r="B77" s="80">
        <v>2982280866</v>
      </c>
      <c r="C77" s="80">
        <v>262820721</v>
      </c>
      <c r="D77" s="80">
        <v>1031713963</v>
      </c>
      <c r="E77" s="80">
        <v>0</v>
      </c>
      <c r="F77" s="80">
        <v>203918695</v>
      </c>
      <c r="G77" s="80">
        <v>27534933</v>
      </c>
      <c r="H77" s="80">
        <v>20244314</v>
      </c>
      <c r="I77" s="80">
        <v>1727800</v>
      </c>
      <c r="J77" s="80">
        <v>442800</v>
      </c>
      <c r="K77" s="80">
        <v>36900</v>
      </c>
      <c r="L77" s="80">
        <v>431787099</v>
      </c>
      <c r="M77" s="80">
        <v>188511682</v>
      </c>
      <c r="N77" s="80">
        <v>6283</v>
      </c>
      <c r="O77" s="80">
        <v>861</v>
      </c>
      <c r="P77" s="80">
        <v>47218512</v>
      </c>
      <c r="Q77" s="80">
        <v>8464285</v>
      </c>
      <c r="R77" s="80">
        <v>20378292</v>
      </c>
      <c r="S77" s="80">
        <v>41418134</v>
      </c>
      <c r="T77" s="80">
        <v>4377304</v>
      </c>
      <c r="U77" s="80">
        <v>8453391</v>
      </c>
      <c r="V77" s="80">
        <v>47217512</v>
      </c>
      <c r="W77" s="80">
        <v>21254910</v>
      </c>
      <c r="X77" s="80">
        <v>20378292</v>
      </c>
      <c r="Y77" s="80">
        <v>41457334</v>
      </c>
      <c r="Z77" s="80">
        <v>4703347</v>
      </c>
      <c r="AA77" s="80">
        <v>8453391</v>
      </c>
      <c r="AB77" s="80">
        <v>-2828612</v>
      </c>
      <c r="AC77" s="80">
        <v>-6616736</v>
      </c>
      <c r="AD77" s="80">
        <v>2327</v>
      </c>
      <c r="AE77" s="80">
        <v>11447</v>
      </c>
      <c r="AF77" s="80">
        <v>87161855</v>
      </c>
      <c r="AG77" s="80">
        <v>244970</v>
      </c>
      <c r="AH77" s="81">
        <v>0</v>
      </c>
      <c r="AI77" s="80">
        <v>987229.50819672144</v>
      </c>
      <c r="AJ77" s="92">
        <v>0</v>
      </c>
      <c r="AK77" s="82">
        <v>482426930</v>
      </c>
      <c r="AL77" s="83">
        <v>10923987</v>
      </c>
      <c r="AM77" s="80">
        <v>119905</v>
      </c>
      <c r="AN77" s="80">
        <v>145307596</v>
      </c>
      <c r="AO77" s="80">
        <v>20073229</v>
      </c>
      <c r="AP77" s="80">
        <v>521195375</v>
      </c>
      <c r="AQ77" s="80">
        <v>166991916</v>
      </c>
      <c r="AR77" s="80">
        <v>172233236</v>
      </c>
      <c r="AS77" s="80">
        <v>75011286</v>
      </c>
      <c r="AT77" s="80">
        <v>84880253</v>
      </c>
      <c r="AU77" s="80">
        <v>0</v>
      </c>
      <c r="AV77" s="80">
        <v>0</v>
      </c>
      <c r="AW77" s="80">
        <v>1711102</v>
      </c>
      <c r="AX77" s="80">
        <v>210604</v>
      </c>
      <c r="AY77" s="80">
        <v>932225</v>
      </c>
      <c r="AZ77" s="82">
        <v>22881421.09</v>
      </c>
      <c r="BA77" s="82">
        <v>11669524.76</v>
      </c>
      <c r="BB77" s="84"/>
      <c r="BC77" s="84">
        <v>1805962</v>
      </c>
      <c r="BD77" s="84">
        <v>3541103</v>
      </c>
      <c r="BE77" s="84">
        <v>52915653</v>
      </c>
      <c r="BF77" s="84">
        <v>52915653</v>
      </c>
      <c r="BG77" s="84">
        <v>111330803</v>
      </c>
      <c r="BH77" s="84">
        <v>107335417</v>
      </c>
      <c r="BI77" s="84">
        <v>0</v>
      </c>
      <c r="BJ77" s="84">
        <v>0</v>
      </c>
      <c r="BK77" s="85"/>
      <c r="BL77" s="86">
        <v>5277252994.2681971</v>
      </c>
      <c r="BM77" s="86">
        <v>4610175520.5081968</v>
      </c>
      <c r="BN77" s="87">
        <v>3067810</v>
      </c>
      <c r="BO77" s="88"/>
      <c r="BP77" s="89">
        <v>4276815550</v>
      </c>
      <c r="BQ77" s="90">
        <v>482426930</v>
      </c>
      <c r="BR77" s="90">
        <v>10923987</v>
      </c>
      <c r="BS77" s="89">
        <v>407384027</v>
      </c>
      <c r="BT77" s="89">
        <v>5177550494</v>
      </c>
    </row>
    <row r="78" spans="1:72" x14ac:dyDescent="0.25">
      <c r="A78" s="91" t="s">
        <v>132</v>
      </c>
      <c r="B78" s="80">
        <v>107495495</v>
      </c>
      <c r="C78" s="80">
        <v>47534767</v>
      </c>
      <c r="D78" s="80">
        <v>44062359</v>
      </c>
      <c r="E78" s="80">
        <v>0</v>
      </c>
      <c r="F78" s="80">
        <v>20599900</v>
      </c>
      <c r="G78" s="80">
        <v>24021210</v>
      </c>
      <c r="H78" s="80">
        <v>9592771</v>
      </c>
      <c r="I78" s="80">
        <v>6962940</v>
      </c>
      <c r="J78" s="80">
        <v>15000</v>
      </c>
      <c r="K78" s="80">
        <v>0</v>
      </c>
      <c r="L78" s="80">
        <v>77804830</v>
      </c>
      <c r="M78" s="80">
        <v>37165050</v>
      </c>
      <c r="N78" s="80">
        <v>1004</v>
      </c>
      <c r="O78" s="80">
        <v>1164</v>
      </c>
      <c r="P78" s="80">
        <v>1675500</v>
      </c>
      <c r="Q78" s="80">
        <v>501200</v>
      </c>
      <c r="R78" s="80">
        <v>1095000</v>
      </c>
      <c r="S78" s="80">
        <v>1958150</v>
      </c>
      <c r="T78" s="80">
        <v>332300</v>
      </c>
      <c r="U78" s="80">
        <v>735800</v>
      </c>
      <c r="V78" s="80">
        <v>1675500</v>
      </c>
      <c r="W78" s="80">
        <v>610700</v>
      </c>
      <c r="X78" s="80">
        <v>1095000</v>
      </c>
      <c r="Y78" s="80">
        <v>1958150</v>
      </c>
      <c r="Z78" s="80">
        <v>361000</v>
      </c>
      <c r="AA78" s="80">
        <v>735800</v>
      </c>
      <c r="AB78" s="80">
        <v>-1751600</v>
      </c>
      <c r="AC78" s="80">
        <v>-24573</v>
      </c>
      <c r="AD78" s="80">
        <v>147908</v>
      </c>
      <c r="AE78" s="80">
        <v>0</v>
      </c>
      <c r="AF78" s="80">
        <v>0</v>
      </c>
      <c r="AG78" s="80">
        <v>190766</v>
      </c>
      <c r="AH78" s="81">
        <v>9268795.0819672141</v>
      </c>
      <c r="AI78" s="80">
        <v>8029069.6721311482</v>
      </c>
      <c r="AJ78" s="92">
        <v>43294926.229508199</v>
      </c>
      <c r="AK78" s="82">
        <v>72880562</v>
      </c>
      <c r="AL78" s="83">
        <v>1726222</v>
      </c>
      <c r="AM78" s="80">
        <v>0</v>
      </c>
      <c r="AN78" s="80">
        <v>20966300</v>
      </c>
      <c r="AO78" s="80">
        <v>101842</v>
      </c>
      <c r="AP78" s="80">
        <v>4785038</v>
      </c>
      <c r="AQ78" s="80">
        <v>8554078</v>
      </c>
      <c r="AR78" s="80">
        <v>2225947</v>
      </c>
      <c r="AS78" s="80">
        <v>0</v>
      </c>
      <c r="AT78" s="80">
        <v>256610</v>
      </c>
      <c r="AU78" s="80">
        <v>0</v>
      </c>
      <c r="AV78" s="80">
        <v>0</v>
      </c>
      <c r="AW78" s="80">
        <v>0</v>
      </c>
      <c r="AX78" s="80">
        <v>0</v>
      </c>
      <c r="AY78" s="80">
        <v>0</v>
      </c>
      <c r="AZ78" s="82">
        <v>3456711.73</v>
      </c>
      <c r="BA78" s="82">
        <v>1762922.98</v>
      </c>
      <c r="BB78" s="84"/>
      <c r="BC78" s="84">
        <v>0</v>
      </c>
      <c r="BD78" s="84">
        <v>0</v>
      </c>
      <c r="BE78" s="84">
        <v>1094434</v>
      </c>
      <c r="BF78" s="84">
        <v>1094434</v>
      </c>
      <c r="BG78" s="84">
        <v>43251479</v>
      </c>
      <c r="BH78" s="84">
        <v>43210996</v>
      </c>
      <c r="BI78" s="84">
        <v>0</v>
      </c>
      <c r="BJ78" s="84">
        <v>0</v>
      </c>
      <c r="BK78" s="85"/>
      <c r="BL78" s="86">
        <v>409982768.9636066</v>
      </c>
      <c r="BM78" s="86">
        <v>289307631.98360658</v>
      </c>
      <c r="BN78" s="87">
        <v>273314</v>
      </c>
      <c r="BO78" s="88"/>
      <c r="BP78" s="89">
        <v>199092621</v>
      </c>
      <c r="BQ78" s="90">
        <v>72880562</v>
      </c>
      <c r="BR78" s="90">
        <v>1726222</v>
      </c>
      <c r="BS78" s="89">
        <v>29622220</v>
      </c>
      <c r="BT78" s="89">
        <v>303321625</v>
      </c>
    </row>
    <row r="79" spans="1:72" x14ac:dyDescent="0.25">
      <c r="A79" s="91" t="s">
        <v>133</v>
      </c>
      <c r="B79" s="80">
        <v>443981251</v>
      </c>
      <c r="C79" s="80">
        <v>187066529</v>
      </c>
      <c r="D79" s="80">
        <v>250146661</v>
      </c>
      <c r="E79" s="80">
        <v>13000000</v>
      </c>
      <c r="F79" s="80">
        <v>48060550</v>
      </c>
      <c r="G79" s="80">
        <v>9933315</v>
      </c>
      <c r="H79" s="80">
        <v>14718100</v>
      </c>
      <c r="I79" s="80">
        <v>1975200</v>
      </c>
      <c r="J79" s="80">
        <v>147600</v>
      </c>
      <c r="K79" s="80">
        <v>36900</v>
      </c>
      <c r="L79" s="80">
        <v>329109838</v>
      </c>
      <c r="M79" s="80">
        <v>114650035</v>
      </c>
      <c r="N79" s="80">
        <v>1760</v>
      </c>
      <c r="O79" s="80">
        <v>364</v>
      </c>
      <c r="P79" s="80">
        <v>8435096</v>
      </c>
      <c r="Q79" s="80">
        <v>4421860</v>
      </c>
      <c r="R79" s="80">
        <v>3474000</v>
      </c>
      <c r="S79" s="80">
        <v>3322551</v>
      </c>
      <c r="T79" s="80">
        <v>2546050</v>
      </c>
      <c r="U79" s="80">
        <v>4786944</v>
      </c>
      <c r="V79" s="80">
        <v>8435096</v>
      </c>
      <c r="W79" s="80">
        <v>6084344</v>
      </c>
      <c r="X79" s="80">
        <v>3474000</v>
      </c>
      <c r="Y79" s="80">
        <v>3322551</v>
      </c>
      <c r="Z79" s="80">
        <v>4087429</v>
      </c>
      <c r="AA79" s="80">
        <v>4786944</v>
      </c>
      <c r="AB79" s="80">
        <v>-1567560</v>
      </c>
      <c r="AC79" s="80">
        <v>0</v>
      </c>
      <c r="AD79" s="80">
        <v>53684</v>
      </c>
      <c r="AE79" s="80">
        <v>0</v>
      </c>
      <c r="AF79" s="80">
        <v>0</v>
      </c>
      <c r="AG79" s="80">
        <v>204150</v>
      </c>
      <c r="AH79" s="81">
        <v>20450.819672131147</v>
      </c>
      <c r="AI79" s="80">
        <v>258221.31147540984</v>
      </c>
      <c r="AJ79" s="92">
        <v>0</v>
      </c>
      <c r="AK79" s="82">
        <v>109658269</v>
      </c>
      <c r="AL79" s="83">
        <v>1867034</v>
      </c>
      <c r="AM79" s="80">
        <v>0</v>
      </c>
      <c r="AN79" s="80">
        <v>37676023</v>
      </c>
      <c r="AO79" s="80">
        <v>4071859</v>
      </c>
      <c r="AP79" s="80">
        <v>262951845</v>
      </c>
      <c r="AQ79" s="80">
        <v>32479270</v>
      </c>
      <c r="AR79" s="80">
        <v>61830406</v>
      </c>
      <c r="AS79" s="80">
        <v>1883267</v>
      </c>
      <c r="AT79" s="80">
        <v>11524906</v>
      </c>
      <c r="AU79" s="80">
        <v>0</v>
      </c>
      <c r="AV79" s="80">
        <v>0</v>
      </c>
      <c r="AW79" s="80">
        <v>319012</v>
      </c>
      <c r="AX79" s="80">
        <v>0</v>
      </c>
      <c r="AY79" s="80">
        <v>21000</v>
      </c>
      <c r="AZ79" s="82">
        <v>5201071.6500000004</v>
      </c>
      <c r="BA79" s="82">
        <v>2652546.54</v>
      </c>
      <c r="BB79" s="84"/>
      <c r="BC79" s="84">
        <v>0</v>
      </c>
      <c r="BD79" s="84">
        <v>0</v>
      </c>
      <c r="BE79" s="84">
        <v>16242345</v>
      </c>
      <c r="BF79" s="84">
        <v>16242345</v>
      </c>
      <c r="BG79" s="84">
        <v>39457159</v>
      </c>
      <c r="BH79" s="84">
        <v>39246210</v>
      </c>
      <c r="BI79" s="84">
        <v>91382122</v>
      </c>
      <c r="BJ79" s="84">
        <v>0</v>
      </c>
      <c r="BK79" s="85"/>
      <c r="BL79" s="86">
        <v>1216748791.6711473</v>
      </c>
      <c r="BM79" s="86">
        <v>955700265.1311475</v>
      </c>
      <c r="BN79" s="87">
        <v>605000</v>
      </c>
      <c r="BO79" s="88"/>
      <c r="BP79" s="89">
        <v>881194441</v>
      </c>
      <c r="BQ79" s="90">
        <v>109658269</v>
      </c>
      <c r="BR79" s="90">
        <v>1867034</v>
      </c>
      <c r="BS79" s="89">
        <v>76110419</v>
      </c>
      <c r="BT79" s="89">
        <v>1068830163</v>
      </c>
    </row>
    <row r="80" spans="1:72" x14ac:dyDescent="0.25">
      <c r="A80" s="91" t="s">
        <v>134</v>
      </c>
      <c r="B80" s="80">
        <v>1219157761</v>
      </c>
      <c r="C80" s="80">
        <v>197025519</v>
      </c>
      <c r="D80" s="80">
        <v>367579107</v>
      </c>
      <c r="E80" s="80">
        <v>0</v>
      </c>
      <c r="F80" s="80">
        <v>110609621</v>
      </c>
      <c r="G80" s="80">
        <v>16411181</v>
      </c>
      <c r="H80" s="80">
        <v>20547267</v>
      </c>
      <c r="I80" s="80">
        <v>2010693</v>
      </c>
      <c r="J80" s="80">
        <v>518900</v>
      </c>
      <c r="K80" s="80">
        <v>36900</v>
      </c>
      <c r="L80" s="80">
        <v>203039288</v>
      </c>
      <c r="M80" s="80">
        <v>136225798</v>
      </c>
      <c r="N80" s="80">
        <v>3774</v>
      </c>
      <c r="O80" s="80">
        <v>592</v>
      </c>
      <c r="P80" s="80">
        <v>15340958</v>
      </c>
      <c r="Q80" s="80">
        <v>5523292</v>
      </c>
      <c r="R80" s="80">
        <v>11812422</v>
      </c>
      <c r="S80" s="80">
        <v>9166979</v>
      </c>
      <c r="T80" s="80">
        <v>1181347</v>
      </c>
      <c r="U80" s="80">
        <v>8200480</v>
      </c>
      <c r="V80" s="80">
        <v>15340958</v>
      </c>
      <c r="W80" s="80">
        <v>8229048</v>
      </c>
      <c r="X80" s="80">
        <v>11812422</v>
      </c>
      <c r="Y80" s="80">
        <v>9166979</v>
      </c>
      <c r="Z80" s="80">
        <v>2236869</v>
      </c>
      <c r="AA80" s="80">
        <v>8200480</v>
      </c>
      <c r="AB80" s="80">
        <v>-13607311</v>
      </c>
      <c r="AC80" s="80">
        <v>-68470</v>
      </c>
      <c r="AD80" s="80">
        <v>0</v>
      </c>
      <c r="AE80" s="80">
        <v>0</v>
      </c>
      <c r="AF80" s="80">
        <v>0</v>
      </c>
      <c r="AG80" s="80">
        <v>130570.13</v>
      </c>
      <c r="AH80" s="81">
        <v>0</v>
      </c>
      <c r="AI80" s="80">
        <v>33524.590163934423</v>
      </c>
      <c r="AJ80" s="92">
        <v>0</v>
      </c>
      <c r="AK80" s="82">
        <v>244906606</v>
      </c>
      <c r="AL80" s="83">
        <v>24325310</v>
      </c>
      <c r="AM80" s="80">
        <v>8136526</v>
      </c>
      <c r="AN80" s="80">
        <v>107763761</v>
      </c>
      <c r="AO80" s="80">
        <v>44406125</v>
      </c>
      <c r="AP80" s="80">
        <v>1144537217</v>
      </c>
      <c r="AQ80" s="80">
        <v>73598817</v>
      </c>
      <c r="AR80" s="80">
        <v>144911279</v>
      </c>
      <c r="AS80" s="80">
        <v>130430001</v>
      </c>
      <c r="AT80" s="80">
        <v>2059375</v>
      </c>
      <c r="AU80" s="80">
        <v>0</v>
      </c>
      <c r="AV80" s="80">
        <v>0</v>
      </c>
      <c r="AW80" s="80">
        <v>425424</v>
      </c>
      <c r="AX80" s="80">
        <v>389</v>
      </c>
      <c r="AY80" s="80">
        <v>46200</v>
      </c>
      <c r="AZ80" s="82">
        <v>11615875.550000001</v>
      </c>
      <c r="BA80" s="82">
        <v>5924096.5300000003</v>
      </c>
      <c r="BB80" s="84">
        <v>18290155.440000001</v>
      </c>
      <c r="BC80" s="84">
        <v>1091678</v>
      </c>
      <c r="BD80" s="84">
        <v>2140544</v>
      </c>
      <c r="BE80" s="84">
        <v>15230451</v>
      </c>
      <c r="BF80" s="84">
        <v>12720968</v>
      </c>
      <c r="BG80" s="84">
        <v>65001558</v>
      </c>
      <c r="BH80" s="84">
        <v>63524931</v>
      </c>
      <c r="BI80" s="84">
        <v>0</v>
      </c>
      <c r="BJ80" s="84">
        <v>12436814</v>
      </c>
      <c r="BK80" s="85"/>
      <c r="BL80" s="86">
        <v>2374495018.1201644</v>
      </c>
      <c r="BM80" s="86">
        <v>2009564614.5901639</v>
      </c>
      <c r="BN80" s="87">
        <v>2114345</v>
      </c>
      <c r="BO80" s="88"/>
      <c r="BP80" s="89">
        <v>1783762387</v>
      </c>
      <c r="BQ80" s="90">
        <v>244906606</v>
      </c>
      <c r="BR80" s="90">
        <v>24325310</v>
      </c>
      <c r="BS80" s="89">
        <v>356198704</v>
      </c>
      <c r="BT80" s="89">
        <v>2409193007</v>
      </c>
    </row>
    <row r="81" spans="1:72" x14ac:dyDescent="0.25">
      <c r="A81" s="91" t="s">
        <v>135</v>
      </c>
      <c r="B81" s="80">
        <v>97611013</v>
      </c>
      <c r="C81" s="80">
        <v>28934074</v>
      </c>
      <c r="D81" s="80">
        <v>80584550</v>
      </c>
      <c r="E81" s="80">
        <v>0</v>
      </c>
      <c r="F81" s="80">
        <v>19600775</v>
      </c>
      <c r="G81" s="80">
        <v>21015051</v>
      </c>
      <c r="H81" s="80">
        <v>7696650</v>
      </c>
      <c r="I81" s="80">
        <v>3805125</v>
      </c>
      <c r="J81" s="80">
        <v>110700</v>
      </c>
      <c r="K81" s="80">
        <v>0</v>
      </c>
      <c r="L81" s="80">
        <v>16165776</v>
      </c>
      <c r="M81" s="80">
        <v>3650</v>
      </c>
      <c r="N81" s="80">
        <v>959</v>
      </c>
      <c r="O81" s="80">
        <v>803</v>
      </c>
      <c r="P81" s="80">
        <v>1979675</v>
      </c>
      <c r="Q81" s="80">
        <v>319850</v>
      </c>
      <c r="R81" s="80">
        <v>362000</v>
      </c>
      <c r="S81" s="80">
        <v>2128317</v>
      </c>
      <c r="T81" s="80">
        <v>291565</v>
      </c>
      <c r="U81" s="80">
        <v>601100</v>
      </c>
      <c r="V81" s="80">
        <v>1979675</v>
      </c>
      <c r="W81" s="80">
        <v>363850</v>
      </c>
      <c r="X81" s="80">
        <v>362000</v>
      </c>
      <c r="Y81" s="80">
        <v>2128317</v>
      </c>
      <c r="Z81" s="80">
        <v>391300</v>
      </c>
      <c r="AA81" s="80">
        <v>601100</v>
      </c>
      <c r="AB81" s="80">
        <v>-1542010</v>
      </c>
      <c r="AC81" s="80">
        <v>-2645062</v>
      </c>
      <c r="AD81" s="80">
        <v>0</v>
      </c>
      <c r="AE81" s="80"/>
      <c r="AF81" s="80"/>
      <c r="AG81" s="80"/>
      <c r="AH81" s="81">
        <v>1282303.2786885246</v>
      </c>
      <c r="AI81" s="80">
        <v>58944002.45901639</v>
      </c>
      <c r="AJ81" s="92">
        <v>75883106.557377055</v>
      </c>
      <c r="AK81" s="82">
        <v>74870241</v>
      </c>
      <c r="AL81" s="83">
        <v>2984656</v>
      </c>
      <c r="AM81" s="80">
        <v>28000</v>
      </c>
      <c r="AN81" s="80">
        <v>66608605</v>
      </c>
      <c r="AO81" s="80">
        <v>197680</v>
      </c>
      <c r="AP81" s="80">
        <v>27343359</v>
      </c>
      <c r="AQ81" s="80">
        <v>11895673</v>
      </c>
      <c r="AR81" s="80">
        <v>3359822</v>
      </c>
      <c r="AS81" s="80">
        <v>1212180</v>
      </c>
      <c r="AT81" s="80">
        <v>260398</v>
      </c>
      <c r="AU81" s="80">
        <v>0</v>
      </c>
      <c r="AV81" s="80">
        <v>0</v>
      </c>
      <c r="AW81" s="80">
        <v>0</v>
      </c>
      <c r="AX81" s="80">
        <v>0</v>
      </c>
      <c r="AY81" s="80">
        <v>10631700</v>
      </c>
      <c r="AZ81" s="82">
        <v>3551081.84</v>
      </c>
      <c r="BA81" s="82">
        <v>1811051.74</v>
      </c>
      <c r="BB81" s="84"/>
      <c r="BC81" s="84">
        <v>3718699</v>
      </c>
      <c r="BD81" s="84">
        <v>7291567</v>
      </c>
      <c r="BE81" s="84">
        <v>26960238</v>
      </c>
      <c r="BF81" s="84">
        <v>26960238</v>
      </c>
      <c r="BG81" s="84">
        <v>61738278</v>
      </c>
      <c r="BH81" s="84">
        <v>55065270</v>
      </c>
      <c r="BI81" s="84">
        <v>0</v>
      </c>
      <c r="BJ81" s="84">
        <v>0</v>
      </c>
      <c r="BK81" s="85"/>
      <c r="BL81" s="86">
        <v>587351163.03508198</v>
      </c>
      <c r="BM81" s="86">
        <v>421941007.29508197</v>
      </c>
      <c r="BN81" s="87">
        <v>1288730</v>
      </c>
      <c r="BO81" s="88"/>
      <c r="BP81" s="89">
        <v>207129637</v>
      </c>
      <c r="BQ81" s="90">
        <v>74870241</v>
      </c>
      <c r="BR81" s="90">
        <v>2984656</v>
      </c>
      <c r="BS81" s="89">
        <v>79914138</v>
      </c>
      <c r="BT81" s="89">
        <v>364898672</v>
      </c>
    </row>
    <row r="82" spans="1:72" x14ac:dyDescent="0.25">
      <c r="A82" s="91" t="s">
        <v>136</v>
      </c>
      <c r="B82" s="80">
        <v>392072136</v>
      </c>
      <c r="C82" s="80">
        <v>107059440</v>
      </c>
      <c r="D82" s="80">
        <v>236080052</v>
      </c>
      <c r="E82" s="80">
        <v>26811827</v>
      </c>
      <c r="F82" s="80">
        <v>45649232</v>
      </c>
      <c r="G82" s="80">
        <v>7661789</v>
      </c>
      <c r="H82" s="80">
        <v>7188342</v>
      </c>
      <c r="I82" s="80">
        <v>799707</v>
      </c>
      <c r="J82" s="80">
        <v>109800</v>
      </c>
      <c r="K82" s="80">
        <v>0</v>
      </c>
      <c r="L82" s="80">
        <v>282250745</v>
      </c>
      <c r="M82" s="80">
        <v>69146492</v>
      </c>
      <c r="N82" s="80">
        <v>1520</v>
      </c>
      <c r="O82" s="80">
        <v>261</v>
      </c>
      <c r="P82" s="80">
        <v>2864863</v>
      </c>
      <c r="Q82" s="80">
        <v>1650515</v>
      </c>
      <c r="R82" s="80">
        <v>381359</v>
      </c>
      <c r="S82" s="80">
        <v>2577381</v>
      </c>
      <c r="T82" s="80">
        <v>162169</v>
      </c>
      <c r="U82" s="80">
        <v>4119426</v>
      </c>
      <c r="V82" s="80">
        <v>2864863</v>
      </c>
      <c r="W82" s="80">
        <v>1713839</v>
      </c>
      <c r="X82" s="80">
        <v>381359</v>
      </c>
      <c r="Y82" s="80">
        <v>2577381</v>
      </c>
      <c r="Z82" s="80">
        <v>1658348</v>
      </c>
      <c r="AA82" s="80">
        <v>4119426</v>
      </c>
      <c r="AB82" s="80">
        <v>-2502356</v>
      </c>
      <c r="AC82" s="80">
        <v>-463830</v>
      </c>
      <c r="AD82" s="80">
        <v>745</v>
      </c>
      <c r="AE82" s="80">
        <v>0</v>
      </c>
      <c r="AF82" s="80">
        <v>0</v>
      </c>
      <c r="AG82" s="80">
        <v>906904</v>
      </c>
      <c r="AH82" s="81">
        <v>0</v>
      </c>
      <c r="AI82" s="80">
        <v>2073262.2950819675</v>
      </c>
      <c r="AJ82" s="92">
        <v>0</v>
      </c>
      <c r="AK82" s="82">
        <v>109370773</v>
      </c>
      <c r="AL82" s="83">
        <v>1973849</v>
      </c>
      <c r="AM82" s="80">
        <v>0</v>
      </c>
      <c r="AN82" s="80">
        <v>73131332</v>
      </c>
      <c r="AO82" s="80">
        <v>10972207</v>
      </c>
      <c r="AP82" s="80">
        <v>179127056</v>
      </c>
      <c r="AQ82" s="80">
        <v>44215571</v>
      </c>
      <c r="AR82" s="80">
        <v>44977637</v>
      </c>
      <c r="AS82" s="80">
        <v>86768375</v>
      </c>
      <c r="AT82" s="80">
        <v>0</v>
      </c>
      <c r="AU82" s="80">
        <v>1432</v>
      </c>
      <c r="AV82" s="80">
        <v>0</v>
      </c>
      <c r="AW82" s="80">
        <v>28226467</v>
      </c>
      <c r="AX82" s="80">
        <v>57650</v>
      </c>
      <c r="AY82" s="80">
        <v>630150</v>
      </c>
      <c r="AZ82" s="82">
        <v>5187435.7699999996</v>
      </c>
      <c r="BA82" s="82">
        <v>2645592.2400000002</v>
      </c>
      <c r="BB82" s="84">
        <v>20621761.66</v>
      </c>
      <c r="BC82" s="84">
        <v>3173167</v>
      </c>
      <c r="BD82" s="84">
        <v>6221896</v>
      </c>
      <c r="BE82" s="84">
        <v>301637743</v>
      </c>
      <c r="BF82" s="84">
        <v>301637743</v>
      </c>
      <c r="BG82" s="84">
        <v>76117009</v>
      </c>
      <c r="BH82" s="84">
        <v>70949636</v>
      </c>
      <c r="BI82" s="84">
        <v>39956</v>
      </c>
      <c r="BJ82" s="84">
        <v>0</v>
      </c>
      <c r="BK82" s="85"/>
      <c r="BL82" s="86">
        <v>1355394716.5350819</v>
      </c>
      <c r="BM82" s="86">
        <v>865604000.29508197</v>
      </c>
      <c r="BN82" s="87">
        <v>496424</v>
      </c>
      <c r="BO82" s="88"/>
      <c r="BP82" s="89">
        <v>735211628</v>
      </c>
      <c r="BQ82" s="90">
        <v>109370773</v>
      </c>
      <c r="BR82" s="90">
        <v>1973849</v>
      </c>
      <c r="BS82" s="89">
        <v>215087485</v>
      </c>
      <c r="BT82" s="89">
        <v>1061643735</v>
      </c>
    </row>
    <row r="83" spans="1:72" x14ac:dyDescent="0.25">
      <c r="A83" s="91" t="s">
        <v>137</v>
      </c>
      <c r="B83" s="80">
        <v>866185802</v>
      </c>
      <c r="C83" s="80">
        <v>162314000</v>
      </c>
      <c r="D83" s="80">
        <v>112185650</v>
      </c>
      <c r="E83" s="80">
        <v>0</v>
      </c>
      <c r="F83" s="80">
        <v>60339403</v>
      </c>
      <c r="G83" s="80">
        <v>15066015</v>
      </c>
      <c r="H83" s="80">
        <v>15831500</v>
      </c>
      <c r="I83" s="80">
        <v>1127650</v>
      </c>
      <c r="J83" s="80">
        <v>110770</v>
      </c>
      <c r="K83" s="80">
        <v>22000</v>
      </c>
      <c r="L83" s="80">
        <v>381957604</v>
      </c>
      <c r="M83" s="80">
        <v>116957700</v>
      </c>
      <c r="N83" s="80">
        <v>2164</v>
      </c>
      <c r="O83" s="80">
        <v>484</v>
      </c>
      <c r="P83" s="80">
        <v>10488195</v>
      </c>
      <c r="Q83" s="80">
        <v>1904250</v>
      </c>
      <c r="R83" s="80">
        <v>6972900</v>
      </c>
      <c r="S83" s="80">
        <v>2057100</v>
      </c>
      <c r="T83" s="80">
        <v>0</v>
      </c>
      <c r="U83" s="80">
        <v>428700</v>
      </c>
      <c r="V83" s="80">
        <v>10488195</v>
      </c>
      <c r="W83" s="80">
        <v>1904250</v>
      </c>
      <c r="X83" s="80">
        <v>6972900</v>
      </c>
      <c r="Y83" s="80">
        <v>2057100</v>
      </c>
      <c r="Z83" s="80">
        <v>0</v>
      </c>
      <c r="AA83" s="80">
        <v>428700</v>
      </c>
      <c r="AB83" s="80">
        <v>-1967100</v>
      </c>
      <c r="AC83" s="80">
        <v>-19789</v>
      </c>
      <c r="AD83" s="80">
        <v>57737</v>
      </c>
      <c r="AE83" s="80">
        <v>0</v>
      </c>
      <c r="AF83" s="80">
        <v>0</v>
      </c>
      <c r="AG83" s="80">
        <v>143905</v>
      </c>
      <c r="AH83" s="81">
        <v>0</v>
      </c>
      <c r="AI83" s="80">
        <v>12223240.983606558</v>
      </c>
      <c r="AJ83" s="92">
        <v>0</v>
      </c>
      <c r="AK83" s="82">
        <v>176991083</v>
      </c>
      <c r="AL83" s="83">
        <v>8213593</v>
      </c>
      <c r="AM83" s="80">
        <v>0</v>
      </c>
      <c r="AN83" s="80">
        <v>38700442</v>
      </c>
      <c r="AO83" s="80">
        <v>2302630</v>
      </c>
      <c r="AP83" s="80">
        <v>43045240</v>
      </c>
      <c r="AQ83" s="80">
        <v>16662585</v>
      </c>
      <c r="AR83" s="80">
        <v>23887563</v>
      </c>
      <c r="AS83" s="80">
        <v>29097554</v>
      </c>
      <c r="AT83" s="80">
        <v>388712</v>
      </c>
      <c r="AU83" s="80">
        <v>0</v>
      </c>
      <c r="AV83" s="80">
        <v>0</v>
      </c>
      <c r="AW83" s="80">
        <v>477749</v>
      </c>
      <c r="AX83" s="80">
        <v>16232</v>
      </c>
      <c r="AY83" s="80">
        <v>0</v>
      </c>
      <c r="AZ83" s="82">
        <v>8394654.7100000009</v>
      </c>
      <c r="BA83" s="82">
        <v>4281273.9000000004</v>
      </c>
      <c r="BB83" s="84">
        <v>59067357.509999998</v>
      </c>
      <c r="BC83" s="84">
        <v>1688142</v>
      </c>
      <c r="BD83" s="84">
        <v>3310083</v>
      </c>
      <c r="BE83" s="84">
        <v>18969366</v>
      </c>
      <c r="BF83" s="84">
        <v>18720009</v>
      </c>
      <c r="BG83" s="84">
        <v>68304159</v>
      </c>
      <c r="BH83" s="84">
        <v>66433779</v>
      </c>
      <c r="BI83" s="84">
        <v>0</v>
      </c>
      <c r="BJ83" s="84">
        <v>0</v>
      </c>
      <c r="BK83" s="85"/>
      <c r="BL83" s="86">
        <v>1486902229.8836067</v>
      </c>
      <c r="BM83" s="86">
        <v>1210574349.9836066</v>
      </c>
      <c r="BN83" s="87">
        <v>4231050</v>
      </c>
      <c r="BO83" s="88"/>
      <c r="BP83" s="89">
        <v>1140685452</v>
      </c>
      <c r="BQ83" s="90">
        <v>176991083</v>
      </c>
      <c r="BR83" s="90">
        <v>8213593</v>
      </c>
      <c r="BS83" s="89">
        <v>86763211</v>
      </c>
      <c r="BT83" s="89">
        <v>1412653339</v>
      </c>
    </row>
    <row r="84" spans="1:72" x14ac:dyDescent="0.25">
      <c r="A84" s="91" t="s">
        <v>138</v>
      </c>
      <c r="B84" s="80">
        <v>91023353</v>
      </c>
      <c r="C84" s="80">
        <v>31264179</v>
      </c>
      <c r="D84" s="80">
        <v>8437647</v>
      </c>
      <c r="E84" s="80">
        <v>0</v>
      </c>
      <c r="F84" s="80">
        <v>11672401</v>
      </c>
      <c r="G84" s="80">
        <v>10174956</v>
      </c>
      <c r="H84" s="80">
        <v>5941915</v>
      </c>
      <c r="I84" s="80">
        <v>1677280</v>
      </c>
      <c r="J84" s="80">
        <v>0</v>
      </c>
      <c r="K84" s="80">
        <v>36900</v>
      </c>
      <c r="L84" s="80">
        <v>30044737</v>
      </c>
      <c r="M84" s="80">
        <v>21827656</v>
      </c>
      <c r="N84" s="80">
        <v>575</v>
      </c>
      <c r="O84" s="80">
        <v>425</v>
      </c>
      <c r="P84" s="80">
        <v>1211468</v>
      </c>
      <c r="Q84" s="80">
        <v>0</v>
      </c>
      <c r="R84" s="80">
        <v>0</v>
      </c>
      <c r="S84" s="80">
        <v>682066</v>
      </c>
      <c r="T84" s="80">
        <v>0</v>
      </c>
      <c r="U84" s="80">
        <v>260000</v>
      </c>
      <c r="V84" s="80">
        <v>1211468</v>
      </c>
      <c r="W84" s="80">
        <v>0</v>
      </c>
      <c r="X84" s="80">
        <v>0</v>
      </c>
      <c r="Y84" s="80">
        <v>682066</v>
      </c>
      <c r="Z84" s="80">
        <v>0</v>
      </c>
      <c r="AA84" s="80">
        <v>260000</v>
      </c>
      <c r="AB84" s="80">
        <v>-1168170</v>
      </c>
      <c r="AC84" s="80">
        <v>-3951</v>
      </c>
      <c r="AD84" s="80">
        <v>67137</v>
      </c>
      <c r="AE84" s="80">
        <v>0</v>
      </c>
      <c r="AF84" s="80">
        <v>0</v>
      </c>
      <c r="AG84" s="80">
        <v>77237</v>
      </c>
      <c r="AH84" s="81">
        <v>0</v>
      </c>
      <c r="AI84" s="80">
        <v>192860.65573770492</v>
      </c>
      <c r="AJ84" s="92">
        <v>0</v>
      </c>
      <c r="AK84" s="82">
        <v>24780182</v>
      </c>
      <c r="AL84" s="83">
        <v>1254859</v>
      </c>
      <c r="AM84" s="80">
        <v>0</v>
      </c>
      <c r="AN84" s="80">
        <v>2780060</v>
      </c>
      <c r="AO84" s="80">
        <v>4665</v>
      </c>
      <c r="AP84" s="80">
        <v>4079605</v>
      </c>
      <c r="AQ84" s="80">
        <v>2853907</v>
      </c>
      <c r="AR84" s="80">
        <v>641435</v>
      </c>
      <c r="AS84" s="80">
        <v>0</v>
      </c>
      <c r="AT84" s="80">
        <v>322324</v>
      </c>
      <c r="AU84" s="80">
        <v>0</v>
      </c>
      <c r="AV84" s="80">
        <v>0</v>
      </c>
      <c r="AW84" s="80">
        <v>0</v>
      </c>
      <c r="AX84" s="80">
        <v>0</v>
      </c>
      <c r="AY84" s="80">
        <v>0</v>
      </c>
      <c r="AZ84" s="82">
        <v>1175319.5</v>
      </c>
      <c r="BA84" s="82">
        <v>599412.94999999995</v>
      </c>
      <c r="BB84" s="84"/>
      <c r="BC84" s="84">
        <v>0</v>
      </c>
      <c r="BD84" s="84">
        <v>0</v>
      </c>
      <c r="BE84" s="84">
        <v>3225331</v>
      </c>
      <c r="BF84" s="84">
        <v>3225331</v>
      </c>
      <c r="BG84" s="84">
        <v>21363266</v>
      </c>
      <c r="BH84" s="84">
        <v>21351121</v>
      </c>
      <c r="BI84" s="84">
        <v>0</v>
      </c>
      <c r="BJ84" s="84">
        <v>0</v>
      </c>
      <c r="BK84" s="85"/>
      <c r="BL84" s="86">
        <v>187767577.60573769</v>
      </c>
      <c r="BM84" s="86">
        <v>136556671.6557377</v>
      </c>
      <c r="BN84" s="87">
        <v>214530</v>
      </c>
      <c r="BO84" s="88"/>
      <c r="BP84" s="89">
        <v>130725179</v>
      </c>
      <c r="BQ84" s="90">
        <v>24780182</v>
      </c>
      <c r="BR84" s="90">
        <v>1254859</v>
      </c>
      <c r="BS84" s="89">
        <v>5638632</v>
      </c>
      <c r="BT84" s="89">
        <v>162398852</v>
      </c>
    </row>
    <row r="85" spans="1:72" x14ac:dyDescent="0.25">
      <c r="A85" s="91" t="s">
        <v>139</v>
      </c>
      <c r="B85" s="80">
        <v>734808397</v>
      </c>
      <c r="C85" s="80">
        <v>236582894</v>
      </c>
      <c r="D85" s="80">
        <v>238995241</v>
      </c>
      <c r="E85" s="80">
        <v>0</v>
      </c>
      <c r="F85" s="80">
        <v>67058485</v>
      </c>
      <c r="G85" s="80">
        <v>9408503</v>
      </c>
      <c r="H85" s="80">
        <v>17917575</v>
      </c>
      <c r="I85" s="80">
        <v>2143423</v>
      </c>
      <c r="J85" s="80">
        <v>73800</v>
      </c>
      <c r="K85" s="80">
        <v>0</v>
      </c>
      <c r="L85" s="80">
        <v>337866565</v>
      </c>
      <c r="M85" s="80">
        <v>185683743</v>
      </c>
      <c r="N85" s="80">
        <v>2343</v>
      </c>
      <c r="O85" s="80">
        <v>323</v>
      </c>
      <c r="P85" s="80">
        <v>2611174</v>
      </c>
      <c r="Q85" s="80">
        <v>1212581</v>
      </c>
      <c r="R85" s="80">
        <v>1135546</v>
      </c>
      <c r="S85" s="80">
        <v>4499932</v>
      </c>
      <c r="T85" s="80">
        <v>1054924</v>
      </c>
      <c r="U85" s="80">
        <v>5711295</v>
      </c>
      <c r="V85" s="80">
        <v>2611174</v>
      </c>
      <c r="W85" s="80">
        <v>1212581</v>
      </c>
      <c r="X85" s="80">
        <v>1135546</v>
      </c>
      <c r="Y85" s="80">
        <v>4490292</v>
      </c>
      <c r="Z85" s="80">
        <v>3862373</v>
      </c>
      <c r="AA85" s="80">
        <v>5711295</v>
      </c>
      <c r="AB85" s="80">
        <v>-1985999</v>
      </c>
      <c r="AC85" s="80">
        <v>11845</v>
      </c>
      <c r="AD85" s="80">
        <v>3559</v>
      </c>
      <c r="AE85" s="80">
        <v>0</v>
      </c>
      <c r="AF85" s="80">
        <v>0</v>
      </c>
      <c r="AG85" s="80">
        <v>135717</v>
      </c>
      <c r="AH85" s="81">
        <v>0</v>
      </c>
      <c r="AI85" s="80">
        <v>172500</v>
      </c>
      <c r="AJ85" s="92">
        <v>0</v>
      </c>
      <c r="AK85" s="82">
        <v>143309710</v>
      </c>
      <c r="AL85" s="83">
        <v>7570468</v>
      </c>
      <c r="AM85" s="80">
        <v>434371</v>
      </c>
      <c r="AN85" s="80">
        <v>31671968</v>
      </c>
      <c r="AO85" s="80">
        <v>11738351</v>
      </c>
      <c r="AP85" s="80">
        <v>603315001</v>
      </c>
      <c r="AQ85" s="80">
        <v>19944488</v>
      </c>
      <c r="AR85" s="80">
        <v>28336503</v>
      </c>
      <c r="AS85" s="80">
        <v>7445387</v>
      </c>
      <c r="AT85" s="80">
        <v>264901128</v>
      </c>
      <c r="AU85" s="80">
        <v>0</v>
      </c>
      <c r="AV85" s="80">
        <v>0</v>
      </c>
      <c r="AW85" s="80">
        <v>13514</v>
      </c>
      <c r="AX85" s="80">
        <v>147191</v>
      </c>
      <c r="AY85" s="80">
        <v>22600</v>
      </c>
      <c r="AZ85" s="82">
        <v>6797153.3399999999</v>
      </c>
      <c r="BA85" s="82">
        <v>3466548.2</v>
      </c>
      <c r="BB85" s="84"/>
      <c r="BC85" s="84">
        <v>2110331</v>
      </c>
      <c r="BD85" s="84">
        <v>4137904</v>
      </c>
      <c r="BE85" s="84">
        <v>70963005</v>
      </c>
      <c r="BF85" s="84">
        <v>70963005</v>
      </c>
      <c r="BG85" s="84">
        <v>63748826</v>
      </c>
      <c r="BH85" s="84">
        <v>59587300</v>
      </c>
      <c r="BI85" s="84">
        <v>0</v>
      </c>
      <c r="BJ85" s="84">
        <v>0</v>
      </c>
      <c r="BK85" s="85"/>
      <c r="BL85" s="86">
        <v>1560921201.2</v>
      </c>
      <c r="BM85" s="86">
        <v>1273913839</v>
      </c>
      <c r="BN85" s="87">
        <v>823913</v>
      </c>
      <c r="BO85" s="88"/>
      <c r="BP85" s="89">
        <v>1210386532</v>
      </c>
      <c r="BQ85" s="90">
        <v>143309710</v>
      </c>
      <c r="BR85" s="90">
        <v>7570468</v>
      </c>
      <c r="BS85" s="89">
        <v>70800194</v>
      </c>
      <c r="BT85" s="89">
        <v>1432066904</v>
      </c>
    </row>
    <row r="86" spans="1:72" x14ac:dyDescent="0.25">
      <c r="A86" s="91" t="s">
        <v>140</v>
      </c>
      <c r="B86" s="80">
        <v>110627997</v>
      </c>
      <c r="C86" s="80">
        <v>112229704</v>
      </c>
      <c r="D86" s="80">
        <v>47131932</v>
      </c>
      <c r="E86" s="80">
        <v>0</v>
      </c>
      <c r="F86" s="80">
        <v>19258020</v>
      </c>
      <c r="G86" s="80">
        <v>7121850</v>
      </c>
      <c r="H86" s="80">
        <v>14004879</v>
      </c>
      <c r="I86" s="80">
        <v>2019179</v>
      </c>
      <c r="J86" s="80">
        <v>73800</v>
      </c>
      <c r="K86" s="80">
        <v>0</v>
      </c>
      <c r="L86" s="80">
        <v>183204881</v>
      </c>
      <c r="M86" s="80">
        <v>0</v>
      </c>
      <c r="N86" s="80">
        <v>996</v>
      </c>
      <c r="O86" s="80">
        <v>318</v>
      </c>
      <c r="P86" s="80">
        <v>1636706</v>
      </c>
      <c r="Q86" s="80">
        <v>722328</v>
      </c>
      <c r="R86" s="80">
        <v>117300</v>
      </c>
      <c r="S86" s="80">
        <v>1216557</v>
      </c>
      <c r="T86" s="80">
        <v>1107471</v>
      </c>
      <c r="U86" s="80">
        <v>237886</v>
      </c>
      <c r="V86" s="80">
        <v>1636706</v>
      </c>
      <c r="W86" s="80">
        <v>1647822</v>
      </c>
      <c r="X86" s="80">
        <v>117300</v>
      </c>
      <c r="Y86" s="80">
        <v>1216557</v>
      </c>
      <c r="Z86" s="80">
        <v>1794502</v>
      </c>
      <c r="AA86" s="80">
        <v>237886</v>
      </c>
      <c r="AB86" s="80">
        <v>-1170150</v>
      </c>
      <c r="AC86" s="80">
        <v>-15351018</v>
      </c>
      <c r="AD86" s="80">
        <v>73019</v>
      </c>
      <c r="AE86" s="80">
        <v>0</v>
      </c>
      <c r="AF86" s="80">
        <v>0</v>
      </c>
      <c r="AG86" s="80">
        <v>0</v>
      </c>
      <c r="AH86" s="81">
        <v>2144418.0327868853</v>
      </c>
      <c r="AI86" s="80">
        <v>0</v>
      </c>
      <c r="AJ86" s="92">
        <v>0</v>
      </c>
      <c r="AK86" s="82">
        <v>51795867</v>
      </c>
      <c r="AL86" s="83">
        <v>1001251</v>
      </c>
      <c r="AM86" s="80">
        <v>0</v>
      </c>
      <c r="AN86" s="80">
        <v>9179916</v>
      </c>
      <c r="AO86" s="80">
        <v>1830592</v>
      </c>
      <c r="AP86" s="80">
        <v>72569829</v>
      </c>
      <c r="AQ86" s="80">
        <v>7615704</v>
      </c>
      <c r="AR86" s="80">
        <v>24393030</v>
      </c>
      <c r="AS86" s="80">
        <v>4694392</v>
      </c>
      <c r="AT86" s="80">
        <v>1361808</v>
      </c>
      <c r="AU86" s="80">
        <v>0</v>
      </c>
      <c r="AV86" s="80">
        <v>0</v>
      </c>
      <c r="AW86" s="80">
        <v>0</v>
      </c>
      <c r="AX86" s="80">
        <v>0</v>
      </c>
      <c r="AY86" s="80">
        <v>9000</v>
      </c>
      <c r="AZ86" s="82">
        <v>2456668.5</v>
      </c>
      <c r="BA86" s="82">
        <v>1252900.94</v>
      </c>
      <c r="BB86" s="84"/>
      <c r="BC86" s="84">
        <v>0</v>
      </c>
      <c r="BD86" s="84">
        <v>0</v>
      </c>
      <c r="BE86" s="84">
        <v>36057355</v>
      </c>
      <c r="BF86" s="84">
        <v>36057355</v>
      </c>
      <c r="BG86" s="84">
        <v>41400102</v>
      </c>
      <c r="BH86" s="84">
        <v>41375812</v>
      </c>
      <c r="BI86" s="84">
        <v>0</v>
      </c>
      <c r="BJ86" s="84">
        <v>0</v>
      </c>
      <c r="BK86" s="85"/>
      <c r="BL86" s="86">
        <v>422243448.9727869</v>
      </c>
      <c r="BM86" s="86">
        <v>290760263.03278691</v>
      </c>
      <c r="BN86" s="87">
        <v>601398</v>
      </c>
      <c r="BO86" s="88"/>
      <c r="BP86" s="89">
        <v>269989633</v>
      </c>
      <c r="BQ86" s="90">
        <v>51795867</v>
      </c>
      <c r="BR86" s="90">
        <v>1001251</v>
      </c>
      <c r="BS86" s="89">
        <v>23320604</v>
      </c>
      <c r="BT86" s="89">
        <v>346107355</v>
      </c>
    </row>
    <row r="87" spans="1:72" x14ac:dyDescent="0.25">
      <c r="A87" s="91" t="s">
        <v>141</v>
      </c>
      <c r="B87" s="80">
        <v>145038228</v>
      </c>
      <c r="C87" s="80">
        <v>98707355</v>
      </c>
      <c r="D87" s="80">
        <v>45292274</v>
      </c>
      <c r="E87" s="80">
        <v>0</v>
      </c>
      <c r="F87" s="80">
        <v>29839350</v>
      </c>
      <c r="G87" s="80">
        <v>7576950</v>
      </c>
      <c r="H87" s="80">
        <v>10384825</v>
      </c>
      <c r="I87" s="80">
        <v>834800</v>
      </c>
      <c r="J87" s="80">
        <v>0</v>
      </c>
      <c r="K87" s="80">
        <v>0</v>
      </c>
      <c r="L87" s="80">
        <v>265959581</v>
      </c>
      <c r="M87" s="80">
        <v>48370100</v>
      </c>
      <c r="N87" s="80">
        <v>1188</v>
      </c>
      <c r="O87" s="80">
        <v>293</v>
      </c>
      <c r="P87" s="80">
        <v>822900</v>
      </c>
      <c r="Q87" s="80">
        <v>2173900</v>
      </c>
      <c r="R87" s="80">
        <v>101000</v>
      </c>
      <c r="S87" s="80">
        <v>1083936</v>
      </c>
      <c r="T87" s="80">
        <v>445100</v>
      </c>
      <c r="U87" s="80">
        <v>42500</v>
      </c>
      <c r="V87" s="80">
        <v>822900</v>
      </c>
      <c r="W87" s="80">
        <v>2121950</v>
      </c>
      <c r="X87" s="80">
        <v>101000</v>
      </c>
      <c r="Y87" s="80">
        <v>1083936</v>
      </c>
      <c r="Z87" s="80">
        <v>845000</v>
      </c>
      <c r="AA87" s="80">
        <v>42500</v>
      </c>
      <c r="AB87" s="80">
        <v>-577989</v>
      </c>
      <c r="AC87" s="80">
        <v>-3898</v>
      </c>
      <c r="AD87" s="80">
        <v>90904</v>
      </c>
      <c r="AE87" s="80">
        <v>0</v>
      </c>
      <c r="AF87" s="80">
        <v>0</v>
      </c>
      <c r="AG87" s="80">
        <v>201378</v>
      </c>
      <c r="AH87" s="81">
        <v>3166336.0655737706</v>
      </c>
      <c r="AI87" s="80">
        <v>124942.62295081968</v>
      </c>
      <c r="AJ87" s="92">
        <v>0</v>
      </c>
      <c r="AK87" s="82">
        <v>59444076</v>
      </c>
      <c r="AL87" s="83">
        <v>1017379</v>
      </c>
      <c r="AM87" s="80">
        <v>0</v>
      </c>
      <c r="AN87" s="80">
        <v>15043467</v>
      </c>
      <c r="AO87" s="80">
        <v>363297</v>
      </c>
      <c r="AP87" s="80">
        <v>16933622</v>
      </c>
      <c r="AQ87" s="80">
        <v>23163764</v>
      </c>
      <c r="AR87" s="80">
        <v>16488357</v>
      </c>
      <c r="AS87" s="80">
        <v>898982</v>
      </c>
      <c r="AT87" s="80">
        <v>654094</v>
      </c>
      <c r="AU87" s="80">
        <v>0</v>
      </c>
      <c r="AV87" s="80">
        <v>0</v>
      </c>
      <c r="AW87" s="80">
        <v>24831</v>
      </c>
      <c r="AX87" s="80">
        <v>0</v>
      </c>
      <c r="AY87" s="80">
        <v>213725</v>
      </c>
      <c r="AZ87" s="82">
        <v>2819421.66</v>
      </c>
      <c r="BA87" s="82">
        <v>1437905.05</v>
      </c>
      <c r="BB87" s="84"/>
      <c r="BC87" s="84">
        <v>0</v>
      </c>
      <c r="BD87" s="84">
        <v>0</v>
      </c>
      <c r="BE87" s="84">
        <v>13737765</v>
      </c>
      <c r="BF87" s="84">
        <v>13737765</v>
      </c>
      <c r="BG87" s="84">
        <v>35404587</v>
      </c>
      <c r="BH87" s="84">
        <v>35121635</v>
      </c>
      <c r="BI87" s="84">
        <v>0</v>
      </c>
      <c r="BJ87" s="84">
        <v>0</v>
      </c>
      <c r="BK87" s="85"/>
      <c r="BL87" s="86">
        <v>441658423.73852456</v>
      </c>
      <c r="BM87" s="86">
        <v>330899663.68852454</v>
      </c>
      <c r="BN87" s="87">
        <v>255200</v>
      </c>
      <c r="BO87" s="88"/>
      <c r="BP87" s="89">
        <v>289037857</v>
      </c>
      <c r="BQ87" s="90">
        <v>59444076</v>
      </c>
      <c r="BR87" s="90">
        <v>1017379</v>
      </c>
      <c r="BS87" s="89">
        <v>39469510</v>
      </c>
      <c r="BT87" s="89">
        <v>388968822</v>
      </c>
    </row>
    <row r="88" spans="1:72" x14ac:dyDescent="0.25">
      <c r="A88" s="91" t="s">
        <v>142</v>
      </c>
      <c r="B88" s="80">
        <v>722983913</v>
      </c>
      <c r="C88" s="80">
        <v>114308628</v>
      </c>
      <c r="D88" s="80">
        <v>321160717</v>
      </c>
      <c r="E88" s="80">
        <v>19360000</v>
      </c>
      <c r="F88" s="80">
        <v>64776900</v>
      </c>
      <c r="G88" s="80">
        <v>18901500</v>
      </c>
      <c r="H88" s="80">
        <v>10099800</v>
      </c>
      <c r="I88" s="80">
        <v>2515900</v>
      </c>
      <c r="J88" s="80">
        <v>147600</v>
      </c>
      <c r="K88" s="80">
        <v>36900</v>
      </c>
      <c r="L88" s="80">
        <v>195425425</v>
      </c>
      <c r="M88" s="80">
        <v>88854500</v>
      </c>
      <c r="N88" s="80">
        <v>2118</v>
      </c>
      <c r="O88" s="80">
        <v>651</v>
      </c>
      <c r="P88" s="80">
        <v>4593700</v>
      </c>
      <c r="Q88" s="80">
        <v>326000</v>
      </c>
      <c r="R88" s="80">
        <v>645100</v>
      </c>
      <c r="S88" s="80">
        <v>8444625</v>
      </c>
      <c r="T88" s="80">
        <v>525900</v>
      </c>
      <c r="U88" s="80">
        <v>2071700</v>
      </c>
      <c r="V88" s="80">
        <v>4593700</v>
      </c>
      <c r="W88" s="80">
        <v>542000</v>
      </c>
      <c r="X88" s="80">
        <v>645100</v>
      </c>
      <c r="Y88" s="80">
        <v>8444625</v>
      </c>
      <c r="Z88" s="80">
        <v>941650</v>
      </c>
      <c r="AA88" s="80">
        <v>2071700</v>
      </c>
      <c r="AB88" s="80">
        <v>-2871938</v>
      </c>
      <c r="AC88" s="80">
        <v>-9160152</v>
      </c>
      <c r="AD88" s="80">
        <v>4936</v>
      </c>
      <c r="AE88" s="80">
        <v>0</v>
      </c>
      <c r="AF88" s="80">
        <v>0</v>
      </c>
      <c r="AG88" s="80">
        <v>109356</v>
      </c>
      <c r="AH88" s="81">
        <v>0</v>
      </c>
      <c r="AI88" s="80">
        <v>140909.83606557376</v>
      </c>
      <c r="AJ88" s="92">
        <v>0</v>
      </c>
      <c r="AK88" s="82">
        <v>160689322</v>
      </c>
      <c r="AL88" s="83">
        <v>4037165</v>
      </c>
      <c r="AM88" s="80">
        <v>0</v>
      </c>
      <c r="AN88" s="80">
        <v>53101258</v>
      </c>
      <c r="AO88" s="80">
        <v>2259451</v>
      </c>
      <c r="AP88" s="80">
        <v>163966852</v>
      </c>
      <c r="AQ88" s="80">
        <v>49238341</v>
      </c>
      <c r="AR88" s="80">
        <v>70496628</v>
      </c>
      <c r="AS88" s="80">
        <v>19485066</v>
      </c>
      <c r="AT88" s="80">
        <v>490915</v>
      </c>
      <c r="AU88" s="80">
        <v>0</v>
      </c>
      <c r="AV88" s="80">
        <v>1353944</v>
      </c>
      <c r="AW88" s="80">
        <v>7117</v>
      </c>
      <c r="AX88" s="80">
        <v>31859</v>
      </c>
      <c r="AY88" s="80">
        <v>2047237</v>
      </c>
      <c r="AZ88" s="82">
        <v>7621465.1600000001</v>
      </c>
      <c r="BA88" s="82">
        <v>3886947.23</v>
      </c>
      <c r="BB88" s="84"/>
      <c r="BC88" s="84">
        <v>0</v>
      </c>
      <c r="BD88" s="84">
        <v>0</v>
      </c>
      <c r="BE88" s="84">
        <v>33901875</v>
      </c>
      <c r="BF88" s="84">
        <v>33901875</v>
      </c>
      <c r="BG88" s="84">
        <v>43638667</v>
      </c>
      <c r="BH88" s="84">
        <v>42622746</v>
      </c>
      <c r="BI88" s="84">
        <v>0</v>
      </c>
      <c r="BJ88" s="84">
        <v>0</v>
      </c>
      <c r="BK88" s="85"/>
      <c r="BL88" s="86">
        <v>1508331273.0660655</v>
      </c>
      <c r="BM88" s="86">
        <v>1263193217.8360655</v>
      </c>
      <c r="BN88" s="87">
        <v>1307100</v>
      </c>
      <c r="BO88" s="88"/>
      <c r="BP88" s="89">
        <v>1158453258</v>
      </c>
      <c r="BQ88" s="90">
        <v>160689322</v>
      </c>
      <c r="BR88" s="90">
        <v>4037165</v>
      </c>
      <c r="BS88" s="89">
        <v>124084116</v>
      </c>
      <c r="BT88" s="89">
        <v>1447263861</v>
      </c>
    </row>
    <row r="89" spans="1:72" x14ac:dyDescent="0.25">
      <c r="A89" s="91" t="s">
        <v>143</v>
      </c>
      <c r="B89" s="80">
        <v>125827650</v>
      </c>
      <c r="C89" s="80">
        <v>91260250</v>
      </c>
      <c r="D89" s="80">
        <v>44071040</v>
      </c>
      <c r="E89" s="80">
        <v>0</v>
      </c>
      <c r="F89" s="80">
        <v>18027800</v>
      </c>
      <c r="G89" s="80">
        <v>14447500</v>
      </c>
      <c r="H89" s="80">
        <v>12302200</v>
      </c>
      <c r="I89" s="80">
        <v>6517500</v>
      </c>
      <c r="J89" s="80">
        <v>0</v>
      </c>
      <c r="K89" s="80">
        <v>0</v>
      </c>
      <c r="L89" s="80">
        <v>69953625</v>
      </c>
      <c r="M89" s="80">
        <v>0</v>
      </c>
      <c r="N89" s="80">
        <v>1004</v>
      </c>
      <c r="O89" s="80">
        <v>727</v>
      </c>
      <c r="P89" s="80">
        <v>4041900</v>
      </c>
      <c r="Q89" s="80">
        <v>1775000</v>
      </c>
      <c r="R89" s="80">
        <v>2870000</v>
      </c>
      <c r="S89" s="80">
        <v>1807407</v>
      </c>
      <c r="T89" s="80">
        <v>1521000</v>
      </c>
      <c r="U89" s="80">
        <v>125000</v>
      </c>
      <c r="V89" s="80">
        <v>4041900</v>
      </c>
      <c r="W89" s="80">
        <v>2392500</v>
      </c>
      <c r="X89" s="80">
        <v>2870000</v>
      </c>
      <c r="Y89" s="80">
        <v>1807407</v>
      </c>
      <c r="Z89" s="80">
        <v>1666000</v>
      </c>
      <c r="AA89" s="80">
        <v>125000</v>
      </c>
      <c r="AB89" s="80">
        <v>-1586588</v>
      </c>
      <c r="AC89" s="80">
        <v>0</v>
      </c>
      <c r="AD89" s="80">
        <v>175782</v>
      </c>
      <c r="AE89" s="80">
        <v>0</v>
      </c>
      <c r="AF89" s="80">
        <v>0</v>
      </c>
      <c r="AG89" s="80">
        <v>221061</v>
      </c>
      <c r="AH89" s="81">
        <v>935549.18032786879</v>
      </c>
      <c r="AI89" s="80">
        <v>862333.60655737715</v>
      </c>
      <c r="AJ89" s="92">
        <v>1326032.7868852459</v>
      </c>
      <c r="AK89" s="87">
        <v>70736407</v>
      </c>
      <c r="AL89" s="83">
        <v>1905510</v>
      </c>
      <c r="AM89" s="80">
        <v>0</v>
      </c>
      <c r="AN89" s="80">
        <v>16315833</v>
      </c>
      <c r="AO89" s="80">
        <v>254115</v>
      </c>
      <c r="AP89" s="80">
        <v>3432875</v>
      </c>
      <c r="AQ89" s="80">
        <v>8135824</v>
      </c>
      <c r="AR89" s="80">
        <v>8656232</v>
      </c>
      <c r="AS89" s="80">
        <v>0</v>
      </c>
      <c r="AT89" s="80">
        <v>1484526</v>
      </c>
      <c r="AU89" s="80">
        <v>0</v>
      </c>
      <c r="AV89" s="80">
        <v>0</v>
      </c>
      <c r="AW89" s="80">
        <v>0</v>
      </c>
      <c r="AX89" s="80">
        <v>0</v>
      </c>
      <c r="AY89" s="80">
        <v>224431</v>
      </c>
      <c r="AZ89" s="82">
        <v>3355014.85</v>
      </c>
      <c r="BA89" s="82">
        <v>1711057.57</v>
      </c>
      <c r="BB89" s="84"/>
      <c r="BC89" s="84">
        <v>0</v>
      </c>
      <c r="BD89" s="84">
        <v>0</v>
      </c>
      <c r="BE89" s="84">
        <v>1440360</v>
      </c>
      <c r="BF89" s="84">
        <v>1440360</v>
      </c>
      <c r="BG89" s="84">
        <v>54349736</v>
      </c>
      <c r="BH89" s="84">
        <v>54337591</v>
      </c>
      <c r="BI89" s="84">
        <v>0</v>
      </c>
      <c r="BJ89" s="84">
        <v>0</v>
      </c>
      <c r="BK89" s="85"/>
      <c r="BL89" s="86">
        <v>419119553.14377046</v>
      </c>
      <c r="BM89" s="86">
        <v>288988627.57377046</v>
      </c>
      <c r="BN89" s="87">
        <v>5803500</v>
      </c>
      <c r="BO89" s="88"/>
      <c r="BP89" s="89">
        <v>261158940</v>
      </c>
      <c r="BQ89" s="90">
        <v>70736407</v>
      </c>
      <c r="BR89" s="90">
        <v>1905510</v>
      </c>
      <c r="BS89" s="89">
        <v>24705772</v>
      </c>
      <c r="BT89" s="89">
        <v>358506629</v>
      </c>
    </row>
    <row r="90" spans="1:72" x14ac:dyDescent="0.25">
      <c r="A90" s="91" t="s">
        <v>144</v>
      </c>
      <c r="B90" s="80">
        <v>581061985</v>
      </c>
      <c r="C90" s="80">
        <v>164035510</v>
      </c>
      <c r="D90" s="80">
        <v>193151293</v>
      </c>
      <c r="E90" s="80">
        <v>0</v>
      </c>
      <c r="F90" s="80">
        <v>96643680</v>
      </c>
      <c r="G90" s="80">
        <v>29035040</v>
      </c>
      <c r="H90" s="80">
        <v>14401900</v>
      </c>
      <c r="I90" s="80">
        <v>2767700</v>
      </c>
      <c r="J90" s="80">
        <v>216600</v>
      </c>
      <c r="K90" s="80">
        <v>36900</v>
      </c>
      <c r="L90" s="80">
        <v>182047971</v>
      </c>
      <c r="M90" s="80">
        <v>85893450</v>
      </c>
      <c r="N90" s="80">
        <v>3218</v>
      </c>
      <c r="O90" s="80">
        <v>988</v>
      </c>
      <c r="P90" s="80">
        <v>10863274</v>
      </c>
      <c r="Q90" s="80">
        <v>3946600</v>
      </c>
      <c r="R90" s="80">
        <v>2463700</v>
      </c>
      <c r="S90" s="80">
        <v>6013040</v>
      </c>
      <c r="T90" s="80">
        <v>2193780</v>
      </c>
      <c r="U90" s="80">
        <v>2151500</v>
      </c>
      <c r="V90" s="80">
        <v>10863274</v>
      </c>
      <c r="W90" s="80">
        <v>5337481</v>
      </c>
      <c r="X90" s="80">
        <v>2463700</v>
      </c>
      <c r="Y90" s="80">
        <v>6013040</v>
      </c>
      <c r="Z90" s="80">
        <v>3078683</v>
      </c>
      <c r="AA90" s="80">
        <v>2151500</v>
      </c>
      <c r="AB90" s="80">
        <v>-6712175</v>
      </c>
      <c r="AC90" s="80">
        <v>-1479706</v>
      </c>
      <c r="AD90" s="80">
        <v>65599</v>
      </c>
      <c r="AE90" s="80">
        <v>126968</v>
      </c>
      <c r="AF90" s="80">
        <v>12574</v>
      </c>
      <c r="AG90" s="80">
        <v>188574</v>
      </c>
      <c r="AH90" s="81">
        <v>13510647.540983608</v>
      </c>
      <c r="AI90" s="80">
        <v>333768.85245901637</v>
      </c>
      <c r="AJ90" s="92">
        <v>60538074</v>
      </c>
      <c r="AK90" s="82">
        <v>195793584</v>
      </c>
      <c r="AL90" s="83">
        <v>6119223</v>
      </c>
      <c r="AM90" s="80">
        <v>0</v>
      </c>
      <c r="AN90" s="80">
        <v>79597837</v>
      </c>
      <c r="AO90" s="80">
        <v>8536677</v>
      </c>
      <c r="AP90" s="80">
        <v>65347371</v>
      </c>
      <c r="AQ90" s="80">
        <v>87503645</v>
      </c>
      <c r="AR90" s="80">
        <v>40529891</v>
      </c>
      <c r="AS90" s="80">
        <v>9965896</v>
      </c>
      <c r="AT90" s="80">
        <v>16054104</v>
      </c>
      <c r="AU90" s="80">
        <v>0</v>
      </c>
      <c r="AV90" s="80">
        <v>0</v>
      </c>
      <c r="AW90" s="80">
        <v>270429</v>
      </c>
      <c r="AX90" s="80">
        <v>15805</v>
      </c>
      <c r="AY90" s="80">
        <v>250000</v>
      </c>
      <c r="AZ90" s="82">
        <v>9286453.8900000006</v>
      </c>
      <c r="BA90" s="82">
        <v>4736091.4800000004</v>
      </c>
      <c r="BB90" s="84">
        <v>8264248.7000000002</v>
      </c>
      <c r="BC90" s="84">
        <v>3298351</v>
      </c>
      <c r="BD90" s="84">
        <v>6467355</v>
      </c>
      <c r="BE90" s="84">
        <v>55648523</v>
      </c>
      <c r="BF90" s="84">
        <v>53512997</v>
      </c>
      <c r="BG90" s="84">
        <v>118426499</v>
      </c>
      <c r="BH90" s="84">
        <v>116256101</v>
      </c>
      <c r="BI90" s="84">
        <v>0</v>
      </c>
      <c r="BJ90" s="84">
        <v>0</v>
      </c>
      <c r="BK90" s="85"/>
      <c r="BL90" s="86">
        <v>1567985784.8734426</v>
      </c>
      <c r="BM90" s="86">
        <v>1188269437.3934426</v>
      </c>
      <c r="BN90" s="87">
        <v>840700</v>
      </c>
      <c r="BO90" s="88"/>
      <c r="BP90" s="89">
        <v>938248788</v>
      </c>
      <c r="BQ90" s="90">
        <v>195793584</v>
      </c>
      <c r="BR90" s="90">
        <v>6119223</v>
      </c>
      <c r="BS90" s="89">
        <v>185604055</v>
      </c>
      <c r="BT90" s="89">
        <v>1325765650</v>
      </c>
    </row>
    <row r="91" spans="1:72" x14ac:dyDescent="0.25">
      <c r="A91" s="91" t="s">
        <v>145</v>
      </c>
      <c r="B91" s="80">
        <v>1631016909</v>
      </c>
      <c r="C91" s="80">
        <v>331533960</v>
      </c>
      <c r="D91" s="80">
        <v>491839089</v>
      </c>
      <c r="E91" s="80">
        <v>13100000</v>
      </c>
      <c r="F91" s="80">
        <v>101937714</v>
      </c>
      <c r="G91" s="80">
        <v>19879127</v>
      </c>
      <c r="H91" s="80">
        <v>23996715</v>
      </c>
      <c r="I91" s="80">
        <v>1974735</v>
      </c>
      <c r="J91" s="80">
        <v>369000</v>
      </c>
      <c r="K91" s="80">
        <v>0</v>
      </c>
      <c r="L91" s="80">
        <v>618154817</v>
      </c>
      <c r="M91" s="80">
        <v>278623591</v>
      </c>
      <c r="N91" s="80">
        <v>3472</v>
      </c>
      <c r="O91" s="80">
        <v>627</v>
      </c>
      <c r="P91" s="80">
        <v>18404500</v>
      </c>
      <c r="Q91" s="80">
        <v>5550740</v>
      </c>
      <c r="R91" s="80">
        <v>12890600</v>
      </c>
      <c r="S91" s="80">
        <v>4835850</v>
      </c>
      <c r="T91" s="80">
        <v>228435</v>
      </c>
      <c r="U91" s="80">
        <v>5362960</v>
      </c>
      <c r="V91" s="80">
        <v>18404500</v>
      </c>
      <c r="W91" s="80">
        <v>5550740</v>
      </c>
      <c r="X91" s="80">
        <v>12890600</v>
      </c>
      <c r="Y91" s="80">
        <v>4835850</v>
      </c>
      <c r="Z91" s="80">
        <v>228435</v>
      </c>
      <c r="AA91" s="80">
        <v>5362960</v>
      </c>
      <c r="AB91" s="80">
        <v>-9961694</v>
      </c>
      <c r="AC91" s="80">
        <v>-53274</v>
      </c>
      <c r="AD91" s="80">
        <v>28693</v>
      </c>
      <c r="AE91" s="80">
        <v>0</v>
      </c>
      <c r="AF91" s="80">
        <v>0</v>
      </c>
      <c r="AG91" s="80">
        <v>254885</v>
      </c>
      <c r="AH91" s="81">
        <v>0</v>
      </c>
      <c r="AI91" s="80">
        <v>1338278.6885245903</v>
      </c>
      <c r="AJ91" s="92">
        <v>0</v>
      </c>
      <c r="AK91" s="82">
        <v>304304601</v>
      </c>
      <c r="AL91" s="83">
        <v>7688628</v>
      </c>
      <c r="AM91" s="80">
        <v>0</v>
      </c>
      <c r="AN91" s="80">
        <v>72395402</v>
      </c>
      <c r="AO91" s="80">
        <v>8447571</v>
      </c>
      <c r="AP91" s="80">
        <v>349007433</v>
      </c>
      <c r="AQ91" s="80">
        <v>62728073</v>
      </c>
      <c r="AR91" s="80">
        <v>79145276</v>
      </c>
      <c r="AS91" s="87">
        <v>11427034</v>
      </c>
      <c r="AT91" s="80">
        <v>911973</v>
      </c>
      <c r="AU91" s="80">
        <v>0</v>
      </c>
      <c r="AV91" s="80">
        <v>0</v>
      </c>
      <c r="AW91" s="80">
        <v>660039</v>
      </c>
      <c r="AX91" s="80">
        <v>95700</v>
      </c>
      <c r="AY91" s="80">
        <v>1028200</v>
      </c>
      <c r="AZ91" s="82">
        <v>14433111.59</v>
      </c>
      <c r="BA91" s="82">
        <v>7360886.9100000001</v>
      </c>
      <c r="BB91" s="84"/>
      <c r="BC91" s="84">
        <v>788536</v>
      </c>
      <c r="BD91" s="84">
        <v>1546149</v>
      </c>
      <c r="BE91" s="84">
        <v>20640986</v>
      </c>
      <c r="BF91" s="84">
        <v>19441064</v>
      </c>
      <c r="BG91" s="84">
        <v>52108582</v>
      </c>
      <c r="BH91" s="84">
        <v>51841976</v>
      </c>
      <c r="BI91" s="84">
        <v>436946763</v>
      </c>
      <c r="BJ91" s="84">
        <v>0</v>
      </c>
      <c r="BK91" s="85"/>
      <c r="BL91" s="86">
        <v>3427671737.5985246</v>
      </c>
      <c r="BM91" s="86">
        <v>2599299282.6885247</v>
      </c>
      <c r="BN91" s="87">
        <v>2636104</v>
      </c>
      <c r="BO91" s="88"/>
      <c r="BP91" s="89">
        <v>2454389958</v>
      </c>
      <c r="BQ91" s="90">
        <v>304304601</v>
      </c>
      <c r="BR91" s="90">
        <v>7688628</v>
      </c>
      <c r="BS91" s="89">
        <v>154998080</v>
      </c>
      <c r="BT91" s="89">
        <v>2921381267</v>
      </c>
    </row>
    <row r="92" spans="1:72" x14ac:dyDescent="0.25">
      <c r="A92" s="91" t="s">
        <v>146</v>
      </c>
      <c r="B92" s="80">
        <v>108928685</v>
      </c>
      <c r="C92" s="80">
        <v>92297258</v>
      </c>
      <c r="D92" s="80">
        <v>14655771</v>
      </c>
      <c r="E92" s="80">
        <v>0</v>
      </c>
      <c r="F92" s="80">
        <v>19446900</v>
      </c>
      <c r="G92" s="80">
        <v>4104935</v>
      </c>
      <c r="H92" s="80">
        <v>7247600</v>
      </c>
      <c r="I92" s="80">
        <v>1389700</v>
      </c>
      <c r="J92" s="80">
        <v>140700</v>
      </c>
      <c r="K92" s="80">
        <v>0</v>
      </c>
      <c r="L92" s="80">
        <v>85073702</v>
      </c>
      <c r="M92" s="80">
        <v>45028585</v>
      </c>
      <c r="N92" s="80">
        <v>767</v>
      </c>
      <c r="O92" s="80">
        <v>171</v>
      </c>
      <c r="P92" s="80">
        <v>827950</v>
      </c>
      <c r="Q92" s="80">
        <v>1607750</v>
      </c>
      <c r="R92" s="80">
        <v>125000</v>
      </c>
      <c r="S92" s="80">
        <v>1081917</v>
      </c>
      <c r="T92" s="80">
        <v>368650</v>
      </c>
      <c r="U92" s="80">
        <v>143500</v>
      </c>
      <c r="V92" s="80">
        <v>827950</v>
      </c>
      <c r="W92" s="80">
        <v>1609750</v>
      </c>
      <c r="X92" s="80">
        <v>125000</v>
      </c>
      <c r="Y92" s="80">
        <v>1081917</v>
      </c>
      <c r="Z92" s="80">
        <v>565750</v>
      </c>
      <c r="AA92" s="80">
        <v>143500</v>
      </c>
      <c r="AB92" s="80">
        <v>-71400</v>
      </c>
      <c r="AC92" s="80">
        <v>0</v>
      </c>
      <c r="AD92" s="80">
        <v>0</v>
      </c>
      <c r="AE92" s="80">
        <v>0</v>
      </c>
      <c r="AF92" s="80">
        <v>0</v>
      </c>
      <c r="AG92" s="80">
        <v>114015</v>
      </c>
      <c r="AH92" s="81">
        <v>0</v>
      </c>
      <c r="AI92" s="80">
        <v>0</v>
      </c>
      <c r="AJ92" s="92">
        <v>0</v>
      </c>
      <c r="AK92" s="82">
        <v>44295767</v>
      </c>
      <c r="AL92" s="83">
        <v>770094</v>
      </c>
      <c r="AM92" s="80">
        <v>25000</v>
      </c>
      <c r="AN92" s="80">
        <v>2123789</v>
      </c>
      <c r="AO92" s="80">
        <v>28109</v>
      </c>
      <c r="AP92" s="80">
        <v>1148750</v>
      </c>
      <c r="AQ92" s="80">
        <v>1773383</v>
      </c>
      <c r="AR92" s="80">
        <v>455897</v>
      </c>
      <c r="AS92" s="80">
        <v>0</v>
      </c>
      <c r="AT92" s="80">
        <v>164048</v>
      </c>
      <c r="AU92" s="80">
        <v>0</v>
      </c>
      <c r="AV92" s="80">
        <v>0</v>
      </c>
      <c r="AW92" s="80">
        <v>4981</v>
      </c>
      <c r="AX92" s="80">
        <v>0</v>
      </c>
      <c r="AY92" s="80">
        <v>0</v>
      </c>
      <c r="AZ92" s="82">
        <v>2100940.13</v>
      </c>
      <c r="BA92" s="82">
        <v>1071479.47</v>
      </c>
      <c r="BB92" s="84"/>
      <c r="BC92" s="84">
        <v>965880</v>
      </c>
      <c r="BD92" s="84">
        <v>1893882</v>
      </c>
      <c r="BE92" s="84">
        <v>13331031</v>
      </c>
      <c r="BF92" s="84">
        <v>13331031</v>
      </c>
      <c r="BG92" s="84">
        <v>17855141</v>
      </c>
      <c r="BH92" s="84">
        <v>17324593</v>
      </c>
      <c r="BI92" s="84">
        <v>0</v>
      </c>
      <c r="BJ92" s="84">
        <v>0</v>
      </c>
      <c r="BK92" s="85"/>
      <c r="BL92" s="86">
        <v>297565839.47000003</v>
      </c>
      <c r="BM92" s="86">
        <v>219806995</v>
      </c>
      <c r="BN92" s="87">
        <v>241950</v>
      </c>
      <c r="BO92" s="88"/>
      <c r="BP92" s="89">
        <v>215881714</v>
      </c>
      <c r="BQ92" s="90">
        <v>44295767</v>
      </c>
      <c r="BR92" s="90">
        <v>770094</v>
      </c>
      <c r="BS92" s="89">
        <v>3925281</v>
      </c>
      <c r="BT92" s="89">
        <v>264872856</v>
      </c>
    </row>
    <row r="93" spans="1:72" x14ac:dyDescent="0.25">
      <c r="A93" s="91" t="s">
        <v>147</v>
      </c>
      <c r="B93" s="80">
        <v>358912620</v>
      </c>
      <c r="C93" s="80">
        <v>203238311</v>
      </c>
      <c r="D93" s="80">
        <v>114555224</v>
      </c>
      <c r="E93" s="80">
        <v>0</v>
      </c>
      <c r="F93" s="80">
        <v>51594380</v>
      </c>
      <c r="G93" s="80">
        <v>17089468</v>
      </c>
      <c r="H93" s="80">
        <v>17752607</v>
      </c>
      <c r="I93" s="80">
        <v>4372295</v>
      </c>
      <c r="J93" s="80">
        <v>106470</v>
      </c>
      <c r="K93" s="80">
        <v>36900</v>
      </c>
      <c r="L93" s="80">
        <v>346121368</v>
      </c>
      <c r="M93" s="80">
        <v>14728538</v>
      </c>
      <c r="N93" s="80">
        <v>2091</v>
      </c>
      <c r="O93" s="80">
        <v>726</v>
      </c>
      <c r="P93" s="80">
        <v>3645400</v>
      </c>
      <c r="Q93" s="80">
        <v>2187475</v>
      </c>
      <c r="R93" s="80">
        <v>172000</v>
      </c>
      <c r="S93" s="80">
        <v>3118675</v>
      </c>
      <c r="T93" s="80">
        <v>893290</v>
      </c>
      <c r="U93" s="80">
        <v>1167200</v>
      </c>
      <c r="V93" s="80">
        <v>3645400</v>
      </c>
      <c r="W93" s="80">
        <v>126000</v>
      </c>
      <c r="X93" s="80">
        <v>172000</v>
      </c>
      <c r="Y93" s="80">
        <v>3118675</v>
      </c>
      <c r="Z93" s="80">
        <v>210073</v>
      </c>
      <c r="AA93" s="80">
        <v>1167200</v>
      </c>
      <c r="AB93" s="80">
        <v>-3626900</v>
      </c>
      <c r="AC93" s="80">
        <v>0</v>
      </c>
      <c r="AD93" s="80">
        <v>339456</v>
      </c>
      <c r="AE93" s="80">
        <v>19231</v>
      </c>
      <c r="AF93" s="80">
        <v>21821662</v>
      </c>
      <c r="AG93" s="80">
        <v>340155</v>
      </c>
      <c r="AH93" s="81">
        <v>9112147.5409836061</v>
      </c>
      <c r="AI93" s="80">
        <v>343221.31147540989</v>
      </c>
      <c r="AJ93" s="92">
        <v>62107426.229508199</v>
      </c>
      <c r="AK93" s="82">
        <v>128344324</v>
      </c>
      <c r="AL93" s="83">
        <v>3413934</v>
      </c>
      <c r="AM93" s="80">
        <v>6800</v>
      </c>
      <c r="AN93" s="80">
        <v>142776455</v>
      </c>
      <c r="AO93" s="80">
        <v>13474648</v>
      </c>
      <c r="AP93" s="80">
        <v>123724277</v>
      </c>
      <c r="AQ93" s="80">
        <v>31864690</v>
      </c>
      <c r="AR93" s="80">
        <v>24725981</v>
      </c>
      <c r="AS93" s="80">
        <v>2988043</v>
      </c>
      <c r="AT93" s="80">
        <v>4153907</v>
      </c>
      <c r="AU93" s="80">
        <v>0</v>
      </c>
      <c r="AV93" s="80">
        <v>3006674</v>
      </c>
      <c r="AW93" s="80">
        <v>221836</v>
      </c>
      <c r="AX93" s="80">
        <v>9818</v>
      </c>
      <c r="AY93" s="80">
        <v>4000</v>
      </c>
      <c r="AZ93" s="82">
        <v>6087347.8200000003</v>
      </c>
      <c r="BA93" s="82">
        <v>3104547.39</v>
      </c>
      <c r="BB93" s="84">
        <v>9740932.6400000006</v>
      </c>
      <c r="BC93" s="84">
        <v>1983920</v>
      </c>
      <c r="BD93" s="84">
        <v>3890039</v>
      </c>
      <c r="BE93" s="84">
        <v>48630317</v>
      </c>
      <c r="BF93" s="84">
        <v>45418240</v>
      </c>
      <c r="BG93" s="84">
        <v>65043469</v>
      </c>
      <c r="BH93" s="84">
        <v>62465070</v>
      </c>
      <c r="BI93" s="84">
        <v>0</v>
      </c>
      <c r="BJ93" s="84">
        <v>0</v>
      </c>
      <c r="BK93" s="85"/>
      <c r="BL93" s="86">
        <v>1181114778.4719672</v>
      </c>
      <c r="BM93" s="86">
        <v>936384743.08196712</v>
      </c>
      <c r="BN93" s="87">
        <v>682446</v>
      </c>
      <c r="BO93" s="88"/>
      <c r="BP93" s="89">
        <v>676706155</v>
      </c>
      <c r="BQ93" s="90">
        <v>128344324</v>
      </c>
      <c r="BR93" s="90">
        <v>3413934</v>
      </c>
      <c r="BS93" s="89">
        <v>191103836</v>
      </c>
      <c r="BT93" s="89">
        <v>999568249</v>
      </c>
    </row>
    <row r="94" spans="1:72" x14ac:dyDescent="0.25">
      <c r="A94" s="91" t="s">
        <v>148</v>
      </c>
      <c r="B94" s="80">
        <v>4773969096</v>
      </c>
      <c r="C94" s="80">
        <v>228962725</v>
      </c>
      <c r="D94" s="80">
        <v>449461870</v>
      </c>
      <c r="E94" s="80">
        <v>0</v>
      </c>
      <c r="F94" s="80">
        <v>133721500</v>
      </c>
      <c r="G94" s="80">
        <v>11347500</v>
      </c>
      <c r="H94" s="80">
        <v>6752700</v>
      </c>
      <c r="I94" s="80">
        <v>369000</v>
      </c>
      <c r="J94" s="80">
        <v>295200</v>
      </c>
      <c r="K94" s="80">
        <v>36900</v>
      </c>
      <c r="L94" s="80">
        <v>606424500</v>
      </c>
      <c r="M94" s="80">
        <v>191992450</v>
      </c>
      <c r="N94" s="80">
        <v>3831</v>
      </c>
      <c r="O94" s="80">
        <v>327</v>
      </c>
      <c r="P94" s="80">
        <v>70687100</v>
      </c>
      <c r="Q94" s="80">
        <v>1676400</v>
      </c>
      <c r="R94" s="80">
        <v>14015000</v>
      </c>
      <c r="S94" s="80">
        <v>6957500</v>
      </c>
      <c r="T94" s="80">
        <v>5365500</v>
      </c>
      <c r="U94" s="80">
        <v>8214500</v>
      </c>
      <c r="V94" s="80">
        <v>70687100</v>
      </c>
      <c r="W94" s="80">
        <v>2853000</v>
      </c>
      <c r="X94" s="80">
        <v>14015000</v>
      </c>
      <c r="Y94" s="80">
        <v>7239000</v>
      </c>
      <c r="Z94" s="80">
        <v>11564000</v>
      </c>
      <c r="AA94" s="80">
        <v>8214500</v>
      </c>
      <c r="AB94" s="80">
        <v>-10604900</v>
      </c>
      <c r="AC94" s="80">
        <v>-70120</v>
      </c>
      <c r="AD94" s="80">
        <v>0</v>
      </c>
      <c r="AE94" s="80">
        <v>0</v>
      </c>
      <c r="AF94" s="80">
        <v>0</v>
      </c>
      <c r="AG94" s="80">
        <v>64522</v>
      </c>
      <c r="AH94" s="81">
        <v>0</v>
      </c>
      <c r="AI94" s="80">
        <v>663909.83606557385</v>
      </c>
      <c r="AJ94" s="92">
        <v>0</v>
      </c>
      <c r="AK94" s="82">
        <v>488778107</v>
      </c>
      <c r="AL94" s="83">
        <v>15148677</v>
      </c>
      <c r="AM94" s="80">
        <v>5937318</v>
      </c>
      <c r="AN94" s="80">
        <v>58633560</v>
      </c>
      <c r="AO94" s="80">
        <v>3964934</v>
      </c>
      <c r="AP94" s="80">
        <v>55370592</v>
      </c>
      <c r="AQ94" s="80">
        <v>48792390</v>
      </c>
      <c r="AR94" s="80">
        <v>44076819</v>
      </c>
      <c r="AS94" s="80">
        <v>32066705</v>
      </c>
      <c r="AT94" s="80">
        <v>8561325</v>
      </c>
      <c r="AU94" s="80">
        <v>0</v>
      </c>
      <c r="AV94" s="80">
        <v>0</v>
      </c>
      <c r="AW94" s="80">
        <v>0</v>
      </c>
      <c r="AX94" s="80">
        <v>649977</v>
      </c>
      <c r="AY94" s="80">
        <v>8500</v>
      </c>
      <c r="AZ94" s="82">
        <v>23182656.25</v>
      </c>
      <c r="BA94" s="82">
        <v>11823154.689999999</v>
      </c>
      <c r="BB94" s="84">
        <v>16787564.77</v>
      </c>
      <c r="BC94" s="84">
        <v>913720</v>
      </c>
      <c r="BD94" s="84">
        <v>1791608</v>
      </c>
      <c r="BE94" s="84">
        <v>36523375</v>
      </c>
      <c r="BF94" s="84">
        <v>36523375</v>
      </c>
      <c r="BG94" s="84">
        <v>66660699</v>
      </c>
      <c r="BH94" s="84">
        <v>65279659</v>
      </c>
      <c r="BI94" s="84">
        <v>0</v>
      </c>
      <c r="BJ94" s="84">
        <v>0</v>
      </c>
      <c r="BK94" s="85"/>
      <c r="BL94" s="86">
        <v>6182915177.5260649</v>
      </c>
      <c r="BM94" s="86">
        <v>5564448484.8360653</v>
      </c>
      <c r="BN94" s="87">
        <v>1592670</v>
      </c>
      <c r="BO94" s="88"/>
      <c r="BP94" s="89">
        <v>5452393691</v>
      </c>
      <c r="BQ94" s="90">
        <v>488778107</v>
      </c>
      <c r="BR94" s="90">
        <v>15148677</v>
      </c>
      <c r="BS94" s="89">
        <v>143457589</v>
      </c>
      <c r="BT94" s="89">
        <v>6099778064</v>
      </c>
    </row>
    <row r="95" spans="1:72" x14ac:dyDescent="0.25">
      <c r="A95" s="91" t="s">
        <v>149</v>
      </c>
      <c r="B95" s="80">
        <v>266446320</v>
      </c>
      <c r="C95" s="80">
        <v>146954755</v>
      </c>
      <c r="D95" s="80">
        <v>43058300</v>
      </c>
      <c r="E95" s="80">
        <v>0</v>
      </c>
      <c r="F95" s="80">
        <v>24055200</v>
      </c>
      <c r="G95" s="80">
        <v>4591300</v>
      </c>
      <c r="H95" s="80">
        <v>12948700</v>
      </c>
      <c r="I95" s="80">
        <v>1374200</v>
      </c>
      <c r="J95" s="80">
        <v>36900</v>
      </c>
      <c r="K95" s="80">
        <v>0</v>
      </c>
      <c r="L95" s="80">
        <v>307703873</v>
      </c>
      <c r="M95" s="80">
        <v>25075800</v>
      </c>
      <c r="N95" s="80">
        <v>1052</v>
      </c>
      <c r="O95" s="80">
        <v>181</v>
      </c>
      <c r="P95" s="80">
        <v>5234900</v>
      </c>
      <c r="Q95" s="80">
        <v>4206878</v>
      </c>
      <c r="R95" s="80">
        <v>60000</v>
      </c>
      <c r="S95" s="80">
        <v>4309990</v>
      </c>
      <c r="T95" s="80">
        <v>2367600</v>
      </c>
      <c r="U95" s="80">
        <v>250000</v>
      </c>
      <c r="V95" s="80">
        <v>5234900</v>
      </c>
      <c r="W95" s="80">
        <v>4328900</v>
      </c>
      <c r="X95" s="80">
        <v>60000</v>
      </c>
      <c r="Y95" s="80">
        <v>4309990</v>
      </c>
      <c r="Z95" s="80">
        <v>4809900</v>
      </c>
      <c r="AA95" s="80">
        <v>250000</v>
      </c>
      <c r="AB95" s="80">
        <v>-2808000</v>
      </c>
      <c r="AC95" s="80">
        <v>-794</v>
      </c>
      <c r="AD95" s="80">
        <v>70764</v>
      </c>
      <c r="AE95" s="80">
        <v>0</v>
      </c>
      <c r="AF95" s="80">
        <v>0</v>
      </c>
      <c r="AG95" s="80">
        <v>199267</v>
      </c>
      <c r="AH95" s="81">
        <v>0</v>
      </c>
      <c r="AI95" s="80">
        <v>0</v>
      </c>
      <c r="AJ95" s="92">
        <v>0</v>
      </c>
      <c r="AK95" s="82">
        <v>71544534</v>
      </c>
      <c r="AL95" s="83">
        <v>2332439</v>
      </c>
      <c r="AM95" s="80">
        <v>0</v>
      </c>
      <c r="AN95" s="80">
        <v>9720887</v>
      </c>
      <c r="AO95" s="80">
        <v>2307899</v>
      </c>
      <c r="AP95" s="80">
        <v>7434555</v>
      </c>
      <c r="AQ95" s="80">
        <v>5382215</v>
      </c>
      <c r="AR95" s="80">
        <v>12099142</v>
      </c>
      <c r="AS95" s="80">
        <v>752572</v>
      </c>
      <c r="AT95" s="80">
        <v>1017315</v>
      </c>
      <c r="AU95" s="80">
        <v>0</v>
      </c>
      <c r="AV95" s="80">
        <v>18812</v>
      </c>
      <c r="AW95" s="80">
        <v>0</v>
      </c>
      <c r="AX95" s="80">
        <v>0</v>
      </c>
      <c r="AY95" s="80">
        <v>130000</v>
      </c>
      <c r="AZ95" s="82">
        <v>3393344.17</v>
      </c>
      <c r="BA95" s="82">
        <v>1730605.53</v>
      </c>
      <c r="BB95" s="84">
        <v>5129533.68</v>
      </c>
      <c r="BC95" s="84">
        <v>0</v>
      </c>
      <c r="BD95" s="84">
        <v>0</v>
      </c>
      <c r="BE95" s="84">
        <v>73661569</v>
      </c>
      <c r="BF95" s="84">
        <v>73661569</v>
      </c>
      <c r="BG95" s="84">
        <v>50669531</v>
      </c>
      <c r="BH95" s="84">
        <v>50639169</v>
      </c>
      <c r="BI95" s="84">
        <v>0</v>
      </c>
      <c r="BJ95" s="84">
        <v>0</v>
      </c>
      <c r="BK95" s="85"/>
      <c r="BL95" s="86">
        <v>673778692.52999997</v>
      </c>
      <c r="BM95" s="86">
        <v>473870376</v>
      </c>
      <c r="BN95" s="87">
        <v>246300</v>
      </c>
      <c r="BO95" s="88"/>
      <c r="BP95" s="89">
        <v>456459375</v>
      </c>
      <c r="BQ95" s="90">
        <v>71544534</v>
      </c>
      <c r="BR95" s="90">
        <v>2332439</v>
      </c>
      <c r="BS95" s="89">
        <v>18163573</v>
      </c>
      <c r="BT95" s="89">
        <v>548499921</v>
      </c>
    </row>
    <row r="96" spans="1:72" x14ac:dyDescent="0.25">
      <c r="A96" s="91" t="s">
        <v>150</v>
      </c>
      <c r="B96" s="80">
        <v>35437759</v>
      </c>
      <c r="C96" s="80">
        <v>36333104</v>
      </c>
      <c r="D96" s="80">
        <v>11956950</v>
      </c>
      <c r="E96" s="80">
        <v>0</v>
      </c>
      <c r="F96" s="80">
        <v>7050600</v>
      </c>
      <c r="G96" s="80">
        <v>8916300</v>
      </c>
      <c r="H96" s="80">
        <v>4902400</v>
      </c>
      <c r="I96" s="80">
        <v>3558000</v>
      </c>
      <c r="J96" s="80">
        <v>26000</v>
      </c>
      <c r="K96" s="80">
        <v>0</v>
      </c>
      <c r="L96" s="80">
        <v>20418862</v>
      </c>
      <c r="M96" s="80">
        <v>21721202</v>
      </c>
      <c r="N96" s="80">
        <v>355</v>
      </c>
      <c r="O96" s="80">
        <v>384</v>
      </c>
      <c r="P96" s="80">
        <v>1167800</v>
      </c>
      <c r="Q96" s="80">
        <v>279000</v>
      </c>
      <c r="R96" s="80">
        <v>916500</v>
      </c>
      <c r="S96" s="80">
        <v>392800</v>
      </c>
      <c r="T96" s="80">
        <v>444100</v>
      </c>
      <c r="U96" s="80">
        <v>0</v>
      </c>
      <c r="V96" s="80">
        <v>1167800</v>
      </c>
      <c r="W96" s="80">
        <v>20000</v>
      </c>
      <c r="X96" s="80">
        <v>916500</v>
      </c>
      <c r="Y96" s="80">
        <v>392800</v>
      </c>
      <c r="Z96" s="80">
        <v>0</v>
      </c>
      <c r="AA96" s="80">
        <v>0</v>
      </c>
      <c r="AB96" s="80">
        <v>-922200</v>
      </c>
      <c r="AC96" s="80">
        <v>0</v>
      </c>
      <c r="AD96" s="80">
        <v>50399</v>
      </c>
      <c r="AE96" s="80">
        <v>0</v>
      </c>
      <c r="AF96" s="80">
        <v>0</v>
      </c>
      <c r="AG96" s="80">
        <v>105287</v>
      </c>
      <c r="AH96" s="81">
        <v>1950.8196721311476</v>
      </c>
      <c r="AI96" s="80">
        <v>136084.42622950822</v>
      </c>
      <c r="AJ96" s="92">
        <v>1094508.1967213114</v>
      </c>
      <c r="AK96" s="82">
        <v>17629188</v>
      </c>
      <c r="AL96" s="83">
        <v>415833</v>
      </c>
      <c r="AM96" s="80">
        <v>0</v>
      </c>
      <c r="AN96" s="80">
        <v>1591187</v>
      </c>
      <c r="AO96" s="80">
        <v>3566</v>
      </c>
      <c r="AP96" s="80">
        <v>1102082</v>
      </c>
      <c r="AQ96" s="80">
        <v>1440321</v>
      </c>
      <c r="AR96" s="80">
        <v>0</v>
      </c>
      <c r="AS96" s="80">
        <v>0</v>
      </c>
      <c r="AT96" s="80">
        <v>55530</v>
      </c>
      <c r="AU96" s="80">
        <v>0</v>
      </c>
      <c r="AV96" s="80">
        <v>0</v>
      </c>
      <c r="AW96" s="80">
        <v>0</v>
      </c>
      <c r="AX96" s="80">
        <v>0</v>
      </c>
      <c r="AY96" s="80">
        <v>0</v>
      </c>
      <c r="AZ96" s="82">
        <v>836149.16</v>
      </c>
      <c r="BA96" s="82">
        <v>426436.07</v>
      </c>
      <c r="BB96" s="84"/>
      <c r="BC96" s="84">
        <v>0</v>
      </c>
      <c r="BD96" s="84">
        <v>0</v>
      </c>
      <c r="BE96" s="84">
        <v>1463938</v>
      </c>
      <c r="BF96" s="84">
        <v>1463938</v>
      </c>
      <c r="BG96" s="84">
        <v>20713908</v>
      </c>
      <c r="BH96" s="84">
        <v>20661280</v>
      </c>
      <c r="BI96" s="84">
        <v>0</v>
      </c>
      <c r="BJ96" s="84">
        <v>0</v>
      </c>
      <c r="BK96" s="85"/>
      <c r="BL96" s="86">
        <v>128592105.51262295</v>
      </c>
      <c r="BM96" s="86">
        <v>87995430.44262296</v>
      </c>
      <c r="BN96" s="87">
        <v>311100</v>
      </c>
      <c r="BO96" s="88"/>
      <c r="BP96" s="89">
        <v>83727813</v>
      </c>
      <c r="BQ96" s="90">
        <v>17629188</v>
      </c>
      <c r="BR96" s="90">
        <v>415833</v>
      </c>
      <c r="BS96" s="89">
        <v>3035074</v>
      </c>
      <c r="BT96" s="89">
        <v>104807908</v>
      </c>
    </row>
    <row r="97" spans="1:72" x14ac:dyDescent="0.25">
      <c r="A97" s="91" t="s">
        <v>151</v>
      </c>
      <c r="B97" s="80">
        <v>276605414</v>
      </c>
      <c r="C97" s="80">
        <v>172357735</v>
      </c>
      <c r="D97" s="80">
        <v>61761120</v>
      </c>
      <c r="E97" s="80">
        <v>0</v>
      </c>
      <c r="F97" s="80">
        <v>27719430</v>
      </c>
      <c r="G97" s="80">
        <v>6488930</v>
      </c>
      <c r="H97" s="80">
        <v>17103000</v>
      </c>
      <c r="I97" s="80">
        <v>1928600</v>
      </c>
      <c r="J97" s="80">
        <v>136700</v>
      </c>
      <c r="K97" s="80">
        <v>0</v>
      </c>
      <c r="L97" s="80">
        <v>245254008</v>
      </c>
      <c r="M97" s="80">
        <v>136128130</v>
      </c>
      <c r="N97" s="80">
        <v>1266</v>
      </c>
      <c r="O97" s="80">
        <v>252</v>
      </c>
      <c r="P97" s="80">
        <v>1806054</v>
      </c>
      <c r="Q97" s="80">
        <v>4942265</v>
      </c>
      <c r="R97" s="80">
        <v>469000</v>
      </c>
      <c r="S97" s="80">
        <v>6261233</v>
      </c>
      <c r="T97" s="80">
        <v>1385360</v>
      </c>
      <c r="U97" s="80">
        <v>1494998</v>
      </c>
      <c r="V97" s="80">
        <v>1806054</v>
      </c>
      <c r="W97" s="80">
        <v>5801180</v>
      </c>
      <c r="X97" s="80">
        <v>469000</v>
      </c>
      <c r="Y97" s="80">
        <v>6261233</v>
      </c>
      <c r="Z97" s="80">
        <v>4496373</v>
      </c>
      <c r="AA97" s="80">
        <v>1494998</v>
      </c>
      <c r="AB97" s="80">
        <v>-739400</v>
      </c>
      <c r="AC97" s="80">
        <v>-94920</v>
      </c>
      <c r="AD97" s="80">
        <v>62</v>
      </c>
      <c r="AE97" s="80">
        <v>0</v>
      </c>
      <c r="AF97" s="80">
        <v>0</v>
      </c>
      <c r="AG97" s="80">
        <v>158372</v>
      </c>
      <c r="AH97" s="81">
        <v>0</v>
      </c>
      <c r="AI97" s="80">
        <v>2464606.5573770492</v>
      </c>
      <c r="AJ97" s="92">
        <v>0</v>
      </c>
      <c r="AK97" s="82">
        <v>94023857</v>
      </c>
      <c r="AL97" s="83">
        <v>2136189</v>
      </c>
      <c r="AM97" s="80">
        <v>0</v>
      </c>
      <c r="AN97" s="80">
        <v>24067594</v>
      </c>
      <c r="AO97" s="80">
        <v>2594468</v>
      </c>
      <c r="AP97" s="80">
        <v>72136945</v>
      </c>
      <c r="AQ97" s="80">
        <v>4462576</v>
      </c>
      <c r="AR97" s="80">
        <v>7158253</v>
      </c>
      <c r="AS97" s="80">
        <v>2322480</v>
      </c>
      <c r="AT97" s="80">
        <v>338452</v>
      </c>
      <c r="AU97" s="80">
        <v>0</v>
      </c>
      <c r="AV97" s="80">
        <v>0</v>
      </c>
      <c r="AW97" s="80">
        <v>12305</v>
      </c>
      <c r="AX97" s="80">
        <v>0</v>
      </c>
      <c r="AY97" s="80">
        <v>388435</v>
      </c>
      <c r="AZ97" s="82">
        <v>4459534.3499999996</v>
      </c>
      <c r="BA97" s="82">
        <v>2274362.52</v>
      </c>
      <c r="BB97" s="84">
        <v>3523316.06</v>
      </c>
      <c r="BC97" s="84">
        <v>2552770</v>
      </c>
      <c r="BD97" s="84">
        <v>5005432</v>
      </c>
      <c r="BE97" s="84">
        <v>20473450</v>
      </c>
      <c r="BF97" s="84">
        <v>20473450</v>
      </c>
      <c r="BG97" s="84">
        <v>51651597</v>
      </c>
      <c r="BH97" s="84">
        <v>46578528</v>
      </c>
      <c r="BI97" s="84">
        <v>0</v>
      </c>
      <c r="BJ97" s="84">
        <v>0</v>
      </c>
      <c r="BK97" s="85"/>
      <c r="BL97" s="86">
        <v>712352670.07737708</v>
      </c>
      <c r="BM97" s="86">
        <v>544313513.5573771</v>
      </c>
      <c r="BN97" s="87">
        <v>455525</v>
      </c>
      <c r="BO97" s="88"/>
      <c r="BP97" s="89">
        <v>510724269</v>
      </c>
      <c r="BQ97" s="90">
        <v>94023857</v>
      </c>
      <c r="BR97" s="90">
        <v>2136189</v>
      </c>
      <c r="BS97" s="89">
        <v>33447118</v>
      </c>
      <c r="BT97" s="89">
        <v>640331433</v>
      </c>
    </row>
    <row r="98" spans="1:72" x14ac:dyDescent="0.25">
      <c r="A98" s="91" t="s">
        <v>152</v>
      </c>
      <c r="B98" s="80">
        <v>456951447</v>
      </c>
      <c r="C98" s="80">
        <v>58560768</v>
      </c>
      <c r="D98" s="80">
        <v>279270815</v>
      </c>
      <c r="E98" s="80">
        <v>0</v>
      </c>
      <c r="F98" s="80">
        <v>69560400</v>
      </c>
      <c r="G98" s="80">
        <v>43443763</v>
      </c>
      <c r="H98" s="80">
        <v>12205725</v>
      </c>
      <c r="I98" s="80">
        <v>3967700</v>
      </c>
      <c r="J98" s="80">
        <v>538500</v>
      </c>
      <c r="K98" s="80">
        <v>184400</v>
      </c>
      <c r="L98" s="80">
        <v>62748007</v>
      </c>
      <c r="M98" s="80">
        <v>42999325</v>
      </c>
      <c r="N98" s="80">
        <v>2572</v>
      </c>
      <c r="O98" s="80">
        <v>1639</v>
      </c>
      <c r="P98" s="80">
        <v>1945000</v>
      </c>
      <c r="Q98" s="80">
        <v>0</v>
      </c>
      <c r="R98" s="80">
        <v>680000</v>
      </c>
      <c r="S98" s="80">
        <v>2148400</v>
      </c>
      <c r="T98" s="80">
        <v>239200</v>
      </c>
      <c r="U98" s="80">
        <v>196000</v>
      </c>
      <c r="V98" s="80">
        <v>1945000</v>
      </c>
      <c r="W98" s="80">
        <v>0</v>
      </c>
      <c r="X98" s="80">
        <v>680000</v>
      </c>
      <c r="Y98" s="80">
        <v>2148400</v>
      </c>
      <c r="Z98" s="80">
        <v>60000</v>
      </c>
      <c r="AA98" s="80">
        <v>196000</v>
      </c>
      <c r="AB98" s="80">
        <v>-10163200</v>
      </c>
      <c r="AC98" s="80">
        <v>-300680</v>
      </c>
      <c r="AD98" s="80">
        <v>143849</v>
      </c>
      <c r="AE98" s="80">
        <v>35</v>
      </c>
      <c r="AF98" s="80">
        <v>0</v>
      </c>
      <c r="AG98" s="80">
        <v>168685</v>
      </c>
      <c r="AH98" s="81">
        <v>19716336.065573771</v>
      </c>
      <c r="AI98" s="80">
        <v>75324068.852459013</v>
      </c>
      <c r="AJ98" s="92">
        <v>227958076</v>
      </c>
      <c r="AK98" s="82">
        <v>191778380</v>
      </c>
      <c r="AL98" s="83">
        <v>4751127</v>
      </c>
      <c r="AM98" s="80">
        <v>46000</v>
      </c>
      <c r="AN98" s="80">
        <v>182506572</v>
      </c>
      <c r="AO98" s="80">
        <v>5062893</v>
      </c>
      <c r="AP98" s="80">
        <v>33849579</v>
      </c>
      <c r="AQ98" s="80">
        <v>58688611</v>
      </c>
      <c r="AR98" s="80">
        <v>34895038</v>
      </c>
      <c r="AS98" s="80">
        <v>21894</v>
      </c>
      <c r="AT98" s="80">
        <v>79143</v>
      </c>
      <c r="AU98" s="80">
        <v>1607</v>
      </c>
      <c r="AV98" s="80">
        <v>0</v>
      </c>
      <c r="AW98" s="80">
        <v>0</v>
      </c>
      <c r="AX98" s="80">
        <v>20536</v>
      </c>
      <c r="AY98" s="80">
        <v>25639164</v>
      </c>
      <c r="AZ98" s="82">
        <v>9096013.5</v>
      </c>
      <c r="BA98" s="82">
        <v>4638966.8899999997</v>
      </c>
      <c r="BB98" s="84"/>
      <c r="BC98" s="84">
        <v>6488700</v>
      </c>
      <c r="BD98" s="84">
        <v>12722942</v>
      </c>
      <c r="BE98" s="84">
        <v>33859904</v>
      </c>
      <c r="BF98" s="84">
        <v>33859904</v>
      </c>
      <c r="BG98" s="84">
        <v>132796922</v>
      </c>
      <c r="BH98" s="84">
        <v>124651841</v>
      </c>
      <c r="BI98" s="84">
        <v>0</v>
      </c>
      <c r="BJ98" s="84">
        <v>0</v>
      </c>
      <c r="BK98" s="85"/>
      <c r="BL98" s="86">
        <v>1730208505.808033</v>
      </c>
      <c r="BM98" s="86">
        <v>1364039586.9180329</v>
      </c>
      <c r="BN98" s="87">
        <v>1160600</v>
      </c>
      <c r="BO98" s="88"/>
      <c r="BP98" s="89">
        <v>794783030</v>
      </c>
      <c r="BQ98" s="90">
        <v>191778380</v>
      </c>
      <c r="BR98" s="90">
        <v>4751127</v>
      </c>
      <c r="BS98" s="89">
        <v>246279970</v>
      </c>
      <c r="BT98" s="89">
        <v>1237592507</v>
      </c>
    </row>
    <row r="99" spans="1:72" x14ac:dyDescent="0.25">
      <c r="A99" s="91" t="s">
        <v>153</v>
      </c>
      <c r="B99" s="94">
        <v>991612855</v>
      </c>
      <c r="C99" s="94">
        <v>147392018</v>
      </c>
      <c r="D99" s="94">
        <v>402707482</v>
      </c>
      <c r="E99" s="94">
        <v>0</v>
      </c>
      <c r="F99" s="94">
        <v>145608900</v>
      </c>
      <c r="G99" s="94">
        <v>133426600</v>
      </c>
      <c r="H99" s="94">
        <v>31272650</v>
      </c>
      <c r="I99" s="94">
        <v>19558450</v>
      </c>
      <c r="J99" s="94">
        <v>588500</v>
      </c>
      <c r="K99" s="94">
        <v>256400</v>
      </c>
      <c r="L99" s="94">
        <v>159384315</v>
      </c>
      <c r="M99" s="94">
        <v>152789611</v>
      </c>
      <c r="N99" s="94">
        <v>5698</v>
      </c>
      <c r="O99" s="94">
        <v>5437</v>
      </c>
      <c r="P99" s="94">
        <v>9032277</v>
      </c>
      <c r="Q99" s="94">
        <v>870300</v>
      </c>
      <c r="R99" s="94">
        <v>5957653</v>
      </c>
      <c r="S99" s="94">
        <v>7234530</v>
      </c>
      <c r="T99" s="94">
        <v>1236650</v>
      </c>
      <c r="U99" s="94">
        <v>501000</v>
      </c>
      <c r="V99" s="94">
        <v>9032277</v>
      </c>
      <c r="W99" s="94">
        <v>1017800</v>
      </c>
      <c r="X99" s="94">
        <v>5957653</v>
      </c>
      <c r="Y99" s="94">
        <v>7234530</v>
      </c>
      <c r="Z99" s="94">
        <v>1517600</v>
      </c>
      <c r="AA99" s="94">
        <v>501000</v>
      </c>
      <c r="AB99" s="94">
        <v>-1864000</v>
      </c>
      <c r="AC99" s="94">
        <v>-15338748</v>
      </c>
      <c r="AD99" s="94">
        <v>374368</v>
      </c>
      <c r="AE99" s="94">
        <v>0</v>
      </c>
      <c r="AF99" s="94">
        <v>0</v>
      </c>
      <c r="AG99" s="94">
        <v>452118</v>
      </c>
      <c r="AH99" s="81">
        <v>12707532.786885247</v>
      </c>
      <c r="AI99" s="94">
        <v>293835911.47540987</v>
      </c>
      <c r="AJ99" s="92">
        <v>394484639.3442623</v>
      </c>
      <c r="AK99" s="82">
        <v>458873772</v>
      </c>
      <c r="AL99" s="83">
        <v>10802335</v>
      </c>
      <c r="AM99" s="94">
        <v>0</v>
      </c>
      <c r="AN99" s="94">
        <v>385091520</v>
      </c>
      <c r="AO99" s="94">
        <v>14287858</v>
      </c>
      <c r="AP99" s="94">
        <v>201103957</v>
      </c>
      <c r="AQ99" s="94">
        <v>130409911</v>
      </c>
      <c r="AR99" s="94">
        <v>74020425</v>
      </c>
      <c r="AS99" s="94">
        <v>7381401</v>
      </c>
      <c r="AT99" s="94">
        <v>10150</v>
      </c>
      <c r="AU99" s="94">
        <v>0</v>
      </c>
      <c r="AV99" s="94">
        <v>0</v>
      </c>
      <c r="AW99" s="94">
        <v>0</v>
      </c>
      <c r="AX99" s="94">
        <v>28636</v>
      </c>
      <c r="AY99" s="94">
        <v>807000</v>
      </c>
      <c r="AZ99" s="82">
        <v>21764299.109999999</v>
      </c>
      <c r="BA99" s="82">
        <v>11099792.550000001</v>
      </c>
      <c r="BB99" s="84"/>
      <c r="BC99" s="84">
        <v>7289509</v>
      </c>
      <c r="BD99" s="84">
        <v>14293156</v>
      </c>
      <c r="BE99" s="84">
        <v>88919903</v>
      </c>
      <c r="BF99" s="84">
        <v>88919903</v>
      </c>
      <c r="BG99" s="84">
        <v>406821149</v>
      </c>
      <c r="BH99" s="84">
        <v>396569527</v>
      </c>
      <c r="BI99" s="84">
        <v>0</v>
      </c>
      <c r="BJ99" s="84">
        <v>0</v>
      </c>
      <c r="BK99" s="95"/>
      <c r="BL99" s="86">
        <v>3746084566.1565576</v>
      </c>
      <c r="BM99" s="86">
        <v>2772529727.6065574</v>
      </c>
      <c r="BN99" s="87">
        <v>10687469</v>
      </c>
      <c r="BO99" s="88"/>
      <c r="BP99" s="89">
        <v>1541712355</v>
      </c>
      <c r="BQ99" s="90">
        <v>458873772</v>
      </c>
      <c r="BR99" s="90">
        <v>10802335</v>
      </c>
      <c r="BS99" s="89">
        <v>537170690</v>
      </c>
      <c r="BT99" s="89">
        <v>2548559152</v>
      </c>
    </row>
    <row r="100" spans="1:72" x14ac:dyDescent="0.25">
      <c r="A100" s="91" t="s">
        <v>154</v>
      </c>
      <c r="B100" s="80">
        <v>244052607</v>
      </c>
      <c r="C100" s="80">
        <v>53962257</v>
      </c>
      <c r="D100" s="80">
        <v>80783823</v>
      </c>
      <c r="E100" s="80">
        <v>0</v>
      </c>
      <c r="F100" s="80">
        <v>27523796</v>
      </c>
      <c r="G100" s="80">
        <v>13861442</v>
      </c>
      <c r="H100" s="80">
        <v>5250465</v>
      </c>
      <c r="I100" s="80">
        <v>1238725</v>
      </c>
      <c r="J100" s="80">
        <v>73800</v>
      </c>
      <c r="K100" s="80">
        <v>22500</v>
      </c>
      <c r="L100" s="80">
        <v>28821186</v>
      </c>
      <c r="M100" s="80">
        <v>28416543</v>
      </c>
      <c r="N100" s="80">
        <v>1017</v>
      </c>
      <c r="O100" s="80">
        <v>497</v>
      </c>
      <c r="P100" s="80">
        <v>3081275</v>
      </c>
      <c r="Q100" s="80">
        <v>258700</v>
      </c>
      <c r="R100" s="80">
        <v>116000</v>
      </c>
      <c r="S100" s="80">
        <v>2205571</v>
      </c>
      <c r="T100" s="80">
        <v>555700</v>
      </c>
      <c r="U100" s="80">
        <v>388605</v>
      </c>
      <c r="V100" s="80">
        <v>3081275</v>
      </c>
      <c r="W100" s="80">
        <v>0</v>
      </c>
      <c r="X100" s="80">
        <v>116000</v>
      </c>
      <c r="Y100" s="80">
        <v>2205571</v>
      </c>
      <c r="Z100" s="80">
        <v>146600</v>
      </c>
      <c r="AA100" s="80">
        <v>388605</v>
      </c>
      <c r="AB100" s="80">
        <v>-2203792</v>
      </c>
      <c r="AC100" s="80">
        <v>0</v>
      </c>
      <c r="AD100" s="80">
        <v>63286</v>
      </c>
      <c r="AE100" s="80">
        <v>0</v>
      </c>
      <c r="AF100" s="80">
        <v>0</v>
      </c>
      <c r="AG100" s="80">
        <v>77626</v>
      </c>
      <c r="AH100" s="81">
        <v>928008.19672131154</v>
      </c>
      <c r="AI100" s="80">
        <v>376319.67213114753</v>
      </c>
      <c r="AJ100" s="92">
        <v>0</v>
      </c>
      <c r="AK100" s="82">
        <v>73006562</v>
      </c>
      <c r="AL100" s="83">
        <v>1479379</v>
      </c>
      <c r="AM100" s="80">
        <v>0</v>
      </c>
      <c r="AN100" s="80">
        <v>10046821</v>
      </c>
      <c r="AO100" s="80">
        <v>178364</v>
      </c>
      <c r="AP100" s="80">
        <v>16912256</v>
      </c>
      <c r="AQ100" s="80">
        <v>11046739</v>
      </c>
      <c r="AR100" s="80">
        <v>4557042</v>
      </c>
      <c r="AS100" s="80">
        <v>0</v>
      </c>
      <c r="AT100" s="80">
        <v>0</v>
      </c>
      <c r="AU100" s="80">
        <v>0</v>
      </c>
      <c r="AV100" s="80">
        <v>0</v>
      </c>
      <c r="AW100" s="80">
        <v>0</v>
      </c>
      <c r="AX100" s="80">
        <v>3495789</v>
      </c>
      <c r="AY100" s="80">
        <v>109500</v>
      </c>
      <c r="AZ100" s="82">
        <v>3462687.89</v>
      </c>
      <c r="BA100" s="82">
        <v>1765970.82</v>
      </c>
      <c r="BB100" s="84"/>
      <c r="BC100" s="84">
        <v>0</v>
      </c>
      <c r="BD100" s="84">
        <v>0</v>
      </c>
      <c r="BE100" s="84">
        <v>10623416</v>
      </c>
      <c r="BF100" s="84">
        <v>10623416</v>
      </c>
      <c r="BG100" s="84">
        <v>50802489</v>
      </c>
      <c r="BH100" s="84">
        <v>50675166</v>
      </c>
      <c r="BI100" s="84">
        <v>0</v>
      </c>
      <c r="BJ100" s="84">
        <v>0</v>
      </c>
      <c r="BK100" s="85"/>
      <c r="BL100" s="86">
        <v>538925432.68885243</v>
      </c>
      <c r="BM100" s="86">
        <v>401374938.86885244</v>
      </c>
      <c r="BN100" s="87">
        <v>832990</v>
      </c>
      <c r="BO100" s="88"/>
      <c r="BP100" s="89">
        <v>378798687</v>
      </c>
      <c r="BQ100" s="90">
        <v>73006562</v>
      </c>
      <c r="BR100" s="90">
        <v>1479379</v>
      </c>
      <c r="BS100" s="89">
        <v>21271924</v>
      </c>
      <c r="BT100" s="89">
        <v>474556552</v>
      </c>
    </row>
    <row r="101" spans="1:72" x14ac:dyDescent="0.25">
      <c r="A101" s="91" t="s">
        <v>155</v>
      </c>
      <c r="B101" s="80">
        <v>2075844934</v>
      </c>
      <c r="C101" s="80">
        <v>332355751</v>
      </c>
      <c r="D101" s="80">
        <v>753449608</v>
      </c>
      <c r="E101" s="80">
        <v>0</v>
      </c>
      <c r="F101" s="80">
        <v>184081874</v>
      </c>
      <c r="G101" s="80">
        <v>37786802</v>
      </c>
      <c r="H101" s="80">
        <v>34125625</v>
      </c>
      <c r="I101" s="80">
        <v>3613400</v>
      </c>
      <c r="J101" s="80">
        <v>332100</v>
      </c>
      <c r="K101" s="80">
        <v>73800</v>
      </c>
      <c r="L101" s="80">
        <v>628026683</v>
      </c>
      <c r="M101" s="80">
        <v>221921786</v>
      </c>
      <c r="N101" s="80">
        <v>6262</v>
      </c>
      <c r="O101" s="80">
        <v>1294</v>
      </c>
      <c r="P101" s="80">
        <v>18241209</v>
      </c>
      <c r="Q101" s="80">
        <v>3726564</v>
      </c>
      <c r="R101" s="80">
        <v>4448816</v>
      </c>
      <c r="S101" s="80">
        <v>2882674</v>
      </c>
      <c r="T101" s="80">
        <v>204000</v>
      </c>
      <c r="U101" s="80">
        <v>1609750</v>
      </c>
      <c r="V101" s="80">
        <v>18241209</v>
      </c>
      <c r="W101" s="80">
        <v>3726564</v>
      </c>
      <c r="X101" s="80">
        <v>4448816</v>
      </c>
      <c r="Y101" s="80">
        <v>2882674</v>
      </c>
      <c r="Z101" s="80">
        <v>204000</v>
      </c>
      <c r="AA101" s="80">
        <v>1609750</v>
      </c>
      <c r="AB101" s="80">
        <v>-10097190</v>
      </c>
      <c r="AC101" s="80">
        <v>-80046107</v>
      </c>
      <c r="AD101" s="80">
        <v>42205</v>
      </c>
      <c r="AE101" s="80">
        <v>0</v>
      </c>
      <c r="AF101" s="80">
        <v>0</v>
      </c>
      <c r="AG101" s="80">
        <v>305031</v>
      </c>
      <c r="AH101" s="81">
        <v>107221.31147540985</v>
      </c>
      <c r="AI101" s="80">
        <v>683918.03278688528</v>
      </c>
      <c r="AJ101" s="92">
        <v>18991.803278688527</v>
      </c>
      <c r="AK101" s="82">
        <v>407439845</v>
      </c>
      <c r="AL101" s="83">
        <v>28439623</v>
      </c>
      <c r="AM101" s="80">
        <v>11961871</v>
      </c>
      <c r="AN101" s="80">
        <v>139116517</v>
      </c>
      <c r="AO101" s="80">
        <v>15997021</v>
      </c>
      <c r="AP101" s="80">
        <v>261487899</v>
      </c>
      <c r="AQ101" s="80">
        <v>130051682</v>
      </c>
      <c r="AR101" s="80">
        <v>157368480</v>
      </c>
      <c r="AS101" s="80">
        <v>7409043</v>
      </c>
      <c r="AT101" s="80">
        <v>9846619</v>
      </c>
      <c r="AU101" s="80">
        <v>0</v>
      </c>
      <c r="AV101" s="80">
        <v>61690</v>
      </c>
      <c r="AW101" s="80">
        <v>0</v>
      </c>
      <c r="AX101" s="80">
        <v>2300530</v>
      </c>
      <c r="AY101" s="80">
        <v>2183928</v>
      </c>
      <c r="AZ101" s="82">
        <v>19324797.359999999</v>
      </c>
      <c r="BA101" s="82">
        <v>9855646.6500000004</v>
      </c>
      <c r="BB101" s="84"/>
      <c r="BC101" s="84">
        <v>4644078</v>
      </c>
      <c r="BD101" s="84">
        <v>9106036</v>
      </c>
      <c r="BE101" s="84">
        <v>72341667</v>
      </c>
      <c r="BF101" s="84">
        <v>72341667</v>
      </c>
      <c r="BG101" s="84">
        <v>145922516</v>
      </c>
      <c r="BH101" s="84">
        <v>133379041</v>
      </c>
      <c r="BI101" s="84">
        <v>0</v>
      </c>
      <c r="BJ101" s="84">
        <v>0</v>
      </c>
      <c r="BK101" s="85"/>
      <c r="BL101" s="86">
        <v>4103725544.7975411</v>
      </c>
      <c r="BM101" s="86">
        <v>3447625644.147541</v>
      </c>
      <c r="BN101" s="87">
        <v>4647500</v>
      </c>
      <c r="BO101" s="88"/>
      <c r="BP101" s="89">
        <v>3161650293</v>
      </c>
      <c r="BQ101" s="90">
        <v>407439845</v>
      </c>
      <c r="BR101" s="90">
        <v>28439623</v>
      </c>
      <c r="BS101" s="89">
        <v>292574263</v>
      </c>
      <c r="BT101" s="89">
        <v>3890104024</v>
      </c>
    </row>
    <row r="102" spans="1:72" x14ac:dyDescent="0.25">
      <c r="A102" s="91" t="s">
        <v>156</v>
      </c>
      <c r="B102" s="80">
        <v>21175125</v>
      </c>
      <c r="C102" s="80">
        <v>37853742</v>
      </c>
      <c r="D102" s="80">
        <v>3284441</v>
      </c>
      <c r="E102" s="80">
        <v>0</v>
      </c>
      <c r="F102" s="80">
        <v>3804522</v>
      </c>
      <c r="G102" s="80">
        <v>1040900</v>
      </c>
      <c r="H102" s="80">
        <v>3124047</v>
      </c>
      <c r="I102" s="80">
        <v>1147005</v>
      </c>
      <c r="J102" s="80">
        <v>0</v>
      </c>
      <c r="K102" s="80">
        <v>0</v>
      </c>
      <c r="L102" s="80">
        <v>55051947</v>
      </c>
      <c r="M102" s="80">
        <v>21644906</v>
      </c>
      <c r="N102" s="80">
        <v>200</v>
      </c>
      <c r="O102" s="80">
        <v>67</v>
      </c>
      <c r="P102" s="80">
        <v>209000</v>
      </c>
      <c r="Q102" s="80">
        <v>295192</v>
      </c>
      <c r="R102" s="80">
        <v>0</v>
      </c>
      <c r="S102" s="80">
        <v>95265</v>
      </c>
      <c r="T102" s="80">
        <v>75883</v>
      </c>
      <c r="U102" s="80">
        <v>0</v>
      </c>
      <c r="V102" s="80">
        <v>209000</v>
      </c>
      <c r="W102" s="80">
        <v>274779</v>
      </c>
      <c r="X102" s="80">
        <v>0</v>
      </c>
      <c r="Y102" s="80">
        <v>95265</v>
      </c>
      <c r="Z102" s="80">
        <v>77113</v>
      </c>
      <c r="AA102" s="80">
        <v>0</v>
      </c>
      <c r="AB102" s="80">
        <v>-321345</v>
      </c>
      <c r="AC102" s="80">
        <v>-1798</v>
      </c>
      <c r="AD102" s="80">
        <v>0</v>
      </c>
      <c r="AE102" s="80">
        <v>0</v>
      </c>
      <c r="AF102" s="80">
        <v>0</v>
      </c>
      <c r="AG102" s="80">
        <v>0</v>
      </c>
      <c r="AH102" s="81">
        <v>0</v>
      </c>
      <c r="AI102" s="80">
        <v>0</v>
      </c>
      <c r="AJ102" s="92">
        <v>0</v>
      </c>
      <c r="AK102" s="82">
        <v>13031051</v>
      </c>
      <c r="AL102" s="83">
        <v>210431</v>
      </c>
      <c r="AM102" s="80">
        <v>0</v>
      </c>
      <c r="AN102" s="80">
        <v>728067</v>
      </c>
      <c r="AO102" s="80">
        <v>21078</v>
      </c>
      <c r="AP102" s="80">
        <v>0</v>
      </c>
      <c r="AQ102" s="80">
        <v>636619</v>
      </c>
      <c r="AR102" s="80">
        <v>18</v>
      </c>
      <c r="AS102" s="80">
        <v>0</v>
      </c>
      <c r="AT102" s="80">
        <v>36011</v>
      </c>
      <c r="AU102" s="80">
        <v>0</v>
      </c>
      <c r="AV102" s="80">
        <v>0</v>
      </c>
      <c r="AW102" s="80">
        <v>0</v>
      </c>
      <c r="AX102" s="80">
        <v>0</v>
      </c>
      <c r="AY102" s="80">
        <v>0</v>
      </c>
      <c r="AZ102" s="82">
        <v>618060.37</v>
      </c>
      <c r="BA102" s="82">
        <v>315210.78999999998</v>
      </c>
      <c r="BB102" s="84"/>
      <c r="BC102" s="84">
        <v>0</v>
      </c>
      <c r="BD102" s="84">
        <v>0</v>
      </c>
      <c r="BE102" s="84">
        <v>4922937</v>
      </c>
      <c r="BF102" s="84">
        <v>4922937</v>
      </c>
      <c r="BG102" s="84">
        <v>10003940</v>
      </c>
      <c r="BH102" s="84">
        <v>9997867</v>
      </c>
      <c r="BI102" s="84">
        <v>0</v>
      </c>
      <c r="BJ102" s="84">
        <v>0</v>
      </c>
      <c r="BK102" s="85"/>
      <c r="BL102" s="86">
        <v>92176568.790000007</v>
      </c>
      <c r="BM102" s="86">
        <v>63699072</v>
      </c>
      <c r="BN102" s="87">
        <v>71800</v>
      </c>
      <c r="BO102" s="88"/>
      <c r="BP102" s="89">
        <v>62313308</v>
      </c>
      <c r="BQ102" s="90">
        <v>13031051</v>
      </c>
      <c r="BR102" s="90">
        <v>210431</v>
      </c>
      <c r="BS102" s="89">
        <v>1385764</v>
      </c>
      <c r="BT102" s="89">
        <v>76940554</v>
      </c>
    </row>
    <row r="103" spans="1:72" x14ac:dyDescent="0.25">
      <c r="A103" s="91" t="s">
        <v>157</v>
      </c>
      <c r="B103" s="80">
        <v>237265857</v>
      </c>
      <c r="C103" s="80">
        <v>85741310</v>
      </c>
      <c r="D103" s="80">
        <v>66589306</v>
      </c>
      <c r="E103" s="80">
        <v>0</v>
      </c>
      <c r="F103" s="80">
        <v>38068600</v>
      </c>
      <c r="G103" s="80">
        <v>18425400</v>
      </c>
      <c r="H103" s="80">
        <v>13310200</v>
      </c>
      <c r="I103" s="80">
        <v>2417000</v>
      </c>
      <c r="J103" s="80">
        <v>73800</v>
      </c>
      <c r="K103" s="80">
        <v>0</v>
      </c>
      <c r="L103" s="80">
        <v>118268689</v>
      </c>
      <c r="M103" s="80">
        <v>62212900</v>
      </c>
      <c r="N103" s="80">
        <v>1467</v>
      </c>
      <c r="O103" s="80">
        <v>638</v>
      </c>
      <c r="P103" s="80">
        <v>2735320</v>
      </c>
      <c r="Q103" s="80">
        <v>1032800</v>
      </c>
      <c r="R103" s="80">
        <v>683600</v>
      </c>
      <c r="S103" s="80">
        <v>3647800</v>
      </c>
      <c r="T103" s="80">
        <v>587700</v>
      </c>
      <c r="U103" s="80">
        <v>140000</v>
      </c>
      <c r="V103" s="80">
        <v>2735320</v>
      </c>
      <c r="W103" s="80">
        <v>1189000</v>
      </c>
      <c r="X103" s="80">
        <v>683600</v>
      </c>
      <c r="Y103" s="80">
        <v>3647800</v>
      </c>
      <c r="Z103" s="80">
        <v>276000</v>
      </c>
      <c r="AA103" s="80">
        <v>140000</v>
      </c>
      <c r="AB103" s="80">
        <v>-2127900</v>
      </c>
      <c r="AC103" s="80">
        <v>0</v>
      </c>
      <c r="AD103" s="80">
        <v>80530</v>
      </c>
      <c r="AE103" s="80">
        <v>0</v>
      </c>
      <c r="AF103" s="80">
        <v>0</v>
      </c>
      <c r="AG103" s="80">
        <v>0</v>
      </c>
      <c r="AH103" s="81">
        <v>94262.295081967211</v>
      </c>
      <c r="AI103" s="80">
        <v>248024.59016393442</v>
      </c>
      <c r="AJ103" s="92">
        <v>15844.262295081966</v>
      </c>
      <c r="AK103" s="82">
        <v>81078126</v>
      </c>
      <c r="AL103" s="83">
        <v>2181067</v>
      </c>
      <c r="AM103" s="80">
        <v>15780</v>
      </c>
      <c r="AN103" s="80">
        <v>12706111</v>
      </c>
      <c r="AO103" s="80">
        <v>271045</v>
      </c>
      <c r="AP103" s="80">
        <v>9677226</v>
      </c>
      <c r="AQ103" s="80">
        <v>6993321</v>
      </c>
      <c r="AR103" s="80">
        <v>3792965</v>
      </c>
      <c r="AS103" s="80">
        <v>0</v>
      </c>
      <c r="AT103" s="80">
        <v>0</v>
      </c>
      <c r="AU103" s="80">
        <v>0</v>
      </c>
      <c r="AV103" s="80">
        <v>0</v>
      </c>
      <c r="AW103" s="80">
        <v>0</v>
      </c>
      <c r="AX103" s="80">
        <v>98362</v>
      </c>
      <c r="AY103" s="80">
        <v>8000</v>
      </c>
      <c r="AZ103" s="82">
        <v>3845520.69</v>
      </c>
      <c r="BA103" s="82">
        <v>1961215.55</v>
      </c>
      <c r="BB103" s="84"/>
      <c r="BC103" s="84">
        <v>2474224</v>
      </c>
      <c r="BD103" s="84">
        <v>4851419</v>
      </c>
      <c r="BE103" s="84">
        <v>8563289</v>
      </c>
      <c r="BF103" s="84">
        <v>8563289</v>
      </c>
      <c r="BG103" s="84">
        <v>37409028</v>
      </c>
      <c r="BH103" s="84">
        <v>34108524</v>
      </c>
      <c r="BI103" s="84">
        <v>0</v>
      </c>
      <c r="BJ103" s="84">
        <v>0</v>
      </c>
      <c r="BK103" s="85"/>
      <c r="BL103" s="86">
        <v>540291526.697541</v>
      </c>
      <c r="BM103" s="86">
        <v>409925081.14754099</v>
      </c>
      <c r="BN103" s="87">
        <v>1154306</v>
      </c>
      <c r="BO103" s="88"/>
      <c r="BP103" s="89">
        <v>389596473</v>
      </c>
      <c r="BQ103" s="90">
        <v>81078126</v>
      </c>
      <c r="BR103" s="90">
        <v>2181067</v>
      </c>
      <c r="BS103" s="89">
        <v>19970477</v>
      </c>
      <c r="BT103" s="89">
        <v>492826143</v>
      </c>
    </row>
    <row r="104" spans="1:72" x14ac:dyDescent="0.25">
      <c r="A104" s="91" t="s">
        <v>158</v>
      </c>
      <c r="B104" s="80">
        <v>541534823</v>
      </c>
      <c r="C104" s="80">
        <v>100887577</v>
      </c>
      <c r="D104" s="80">
        <v>298355149</v>
      </c>
      <c r="E104" s="80">
        <v>0</v>
      </c>
      <c r="F104" s="80">
        <v>47836935</v>
      </c>
      <c r="G104" s="80">
        <v>11405085</v>
      </c>
      <c r="H104" s="80">
        <v>13568252</v>
      </c>
      <c r="I104" s="80">
        <v>1393250</v>
      </c>
      <c r="J104" s="80">
        <v>36900</v>
      </c>
      <c r="K104" s="80">
        <v>0</v>
      </c>
      <c r="L104" s="80">
        <v>89236435</v>
      </c>
      <c r="M104" s="80">
        <v>1950</v>
      </c>
      <c r="N104" s="80">
        <v>1818</v>
      </c>
      <c r="O104" s="80">
        <v>430</v>
      </c>
      <c r="P104" s="80">
        <v>10177319</v>
      </c>
      <c r="Q104" s="80">
        <v>3172551</v>
      </c>
      <c r="R104" s="80">
        <v>11640373</v>
      </c>
      <c r="S104" s="80">
        <v>6962079</v>
      </c>
      <c r="T104" s="80">
        <v>1605917</v>
      </c>
      <c r="U104" s="80">
        <v>3733864</v>
      </c>
      <c r="V104" s="80">
        <v>10177319</v>
      </c>
      <c r="W104" s="80">
        <v>2219914</v>
      </c>
      <c r="X104" s="80">
        <v>11640373</v>
      </c>
      <c r="Y104" s="80">
        <v>6962079</v>
      </c>
      <c r="Z104" s="80">
        <v>4422924</v>
      </c>
      <c r="AA104" s="80">
        <v>3733864</v>
      </c>
      <c r="AB104" s="80">
        <v>-2329280</v>
      </c>
      <c r="AC104" s="80">
        <v>-16211</v>
      </c>
      <c r="AD104" s="80">
        <v>56625</v>
      </c>
      <c r="AE104" s="80">
        <v>0</v>
      </c>
      <c r="AF104" s="80">
        <v>0</v>
      </c>
      <c r="AG104" s="80">
        <v>80647</v>
      </c>
      <c r="AH104" s="81">
        <v>0</v>
      </c>
      <c r="AI104" s="80">
        <v>70803.278688524588</v>
      </c>
      <c r="AJ104" s="92">
        <v>0</v>
      </c>
      <c r="AK104" s="82">
        <v>119578546</v>
      </c>
      <c r="AL104" s="83">
        <v>5158266</v>
      </c>
      <c r="AM104" s="80">
        <v>1350650</v>
      </c>
      <c r="AN104" s="80">
        <v>41481691</v>
      </c>
      <c r="AO104" s="80">
        <v>10197730</v>
      </c>
      <c r="AP104" s="80">
        <v>72829580</v>
      </c>
      <c r="AQ104" s="80">
        <v>48481109</v>
      </c>
      <c r="AR104" s="80">
        <v>22087931</v>
      </c>
      <c r="AS104" s="80">
        <v>25996445</v>
      </c>
      <c r="AT104" s="80">
        <v>71402</v>
      </c>
      <c r="AU104" s="80">
        <v>2756004</v>
      </c>
      <c r="AV104" s="80">
        <v>0</v>
      </c>
      <c r="AW104" s="80">
        <v>11818</v>
      </c>
      <c r="AX104" s="80">
        <v>14484</v>
      </c>
      <c r="AY104" s="80">
        <v>276400</v>
      </c>
      <c r="AZ104" s="82">
        <v>5671588.5700000003</v>
      </c>
      <c r="BA104" s="82">
        <v>2892510.17</v>
      </c>
      <c r="BB104" s="84"/>
      <c r="BC104" s="84">
        <v>0</v>
      </c>
      <c r="BD104" s="84">
        <v>0</v>
      </c>
      <c r="BE104" s="84">
        <v>31765758</v>
      </c>
      <c r="BF104" s="84">
        <v>31765758</v>
      </c>
      <c r="BG104" s="84">
        <v>55852207</v>
      </c>
      <c r="BH104" s="84">
        <v>55829941</v>
      </c>
      <c r="BI104" s="84">
        <v>0</v>
      </c>
      <c r="BJ104" s="84">
        <v>0</v>
      </c>
      <c r="BK104" s="85"/>
      <c r="BL104" s="86">
        <v>1256233903.4486885</v>
      </c>
      <c r="BM104" s="86">
        <v>1041008882.2786885</v>
      </c>
      <c r="BN104" s="87">
        <v>3817662</v>
      </c>
      <c r="BO104" s="88"/>
      <c r="BP104" s="89">
        <v>940777549</v>
      </c>
      <c r="BQ104" s="90">
        <v>119578546</v>
      </c>
      <c r="BR104" s="90">
        <v>5158266</v>
      </c>
      <c r="BS104" s="89">
        <v>126156975</v>
      </c>
      <c r="BT104" s="89">
        <v>1191671336</v>
      </c>
    </row>
    <row r="105" spans="1:72" x14ac:dyDescent="0.25">
      <c r="A105" s="91" t="s">
        <v>159</v>
      </c>
      <c r="B105" s="80">
        <v>526769601</v>
      </c>
      <c r="C105" s="80">
        <v>123632472</v>
      </c>
      <c r="D105" s="80">
        <v>159943418</v>
      </c>
      <c r="E105" s="80">
        <v>0</v>
      </c>
      <c r="F105" s="80">
        <v>53760200</v>
      </c>
      <c r="G105" s="80">
        <v>13623350</v>
      </c>
      <c r="H105" s="80">
        <v>16715400</v>
      </c>
      <c r="I105" s="80">
        <v>1546500</v>
      </c>
      <c r="J105" s="80">
        <v>194500</v>
      </c>
      <c r="K105" s="80">
        <v>36900</v>
      </c>
      <c r="L105" s="80">
        <v>261506683</v>
      </c>
      <c r="M105" s="80">
        <v>97780880</v>
      </c>
      <c r="N105" s="80">
        <v>2040</v>
      </c>
      <c r="O105" s="80">
        <v>496</v>
      </c>
      <c r="P105" s="80">
        <v>3109955</v>
      </c>
      <c r="Q105" s="80">
        <v>3248200</v>
      </c>
      <c r="R105" s="80">
        <v>2199200</v>
      </c>
      <c r="S105" s="80">
        <v>3997050</v>
      </c>
      <c r="T105" s="80">
        <v>640700</v>
      </c>
      <c r="U105" s="80">
        <v>1645450</v>
      </c>
      <c r="V105" s="80">
        <v>3109955</v>
      </c>
      <c r="W105" s="80">
        <v>2611600</v>
      </c>
      <c r="X105" s="80">
        <v>2199200</v>
      </c>
      <c r="Y105" s="80">
        <v>3997050</v>
      </c>
      <c r="Z105" s="80">
        <v>1235500</v>
      </c>
      <c r="AA105" s="80">
        <v>1645450</v>
      </c>
      <c r="AB105" s="80">
        <v>-2093400</v>
      </c>
      <c r="AC105" s="80">
        <v>-1415787</v>
      </c>
      <c r="AD105" s="80">
        <v>0</v>
      </c>
      <c r="AE105" s="80">
        <v>0</v>
      </c>
      <c r="AF105" s="80">
        <v>0</v>
      </c>
      <c r="AG105" s="80">
        <v>0</v>
      </c>
      <c r="AH105" s="81">
        <v>643024.59016393451</v>
      </c>
      <c r="AI105" s="80">
        <v>0</v>
      </c>
      <c r="AJ105" s="92">
        <v>0</v>
      </c>
      <c r="AK105" s="82">
        <v>95180907</v>
      </c>
      <c r="AL105" s="83">
        <v>20043235</v>
      </c>
      <c r="AM105" s="80">
        <v>32054000</v>
      </c>
      <c r="AN105" s="80">
        <v>27387297</v>
      </c>
      <c r="AO105" s="80">
        <v>6549655</v>
      </c>
      <c r="AP105" s="80">
        <v>79451053</v>
      </c>
      <c r="AQ105" s="80">
        <v>25895821</v>
      </c>
      <c r="AR105" s="80">
        <v>59259061</v>
      </c>
      <c r="AS105" s="80">
        <v>7548321</v>
      </c>
      <c r="AT105" s="80">
        <v>0</v>
      </c>
      <c r="AU105" s="80">
        <v>0</v>
      </c>
      <c r="AV105" s="80">
        <v>0</v>
      </c>
      <c r="AW105" s="80">
        <v>0</v>
      </c>
      <c r="AX105" s="80">
        <v>6000</v>
      </c>
      <c r="AY105" s="80">
        <v>2494000</v>
      </c>
      <c r="AZ105" s="82">
        <v>4514413.0199999996</v>
      </c>
      <c r="BA105" s="82">
        <v>2302350.64</v>
      </c>
      <c r="BB105" s="84"/>
      <c r="BC105" s="84">
        <v>0</v>
      </c>
      <c r="BD105" s="84">
        <v>0</v>
      </c>
      <c r="BE105" s="84">
        <v>2835906</v>
      </c>
      <c r="BF105" s="84">
        <v>2835906</v>
      </c>
      <c r="BG105" s="84">
        <v>75669050</v>
      </c>
      <c r="BH105" s="84">
        <v>75300491</v>
      </c>
      <c r="BI105" s="84">
        <v>0</v>
      </c>
      <c r="BJ105" s="84">
        <v>0</v>
      </c>
      <c r="BK105" s="85"/>
      <c r="BL105" s="86">
        <v>1066484178.2301639</v>
      </c>
      <c r="BM105" s="86">
        <v>870821288.59016395</v>
      </c>
      <c r="BN105" s="87">
        <v>4894100</v>
      </c>
      <c r="BO105" s="88"/>
      <c r="BP105" s="89">
        <v>810345491</v>
      </c>
      <c r="BQ105" s="90">
        <v>95180907</v>
      </c>
      <c r="BR105" s="90">
        <v>20043235</v>
      </c>
      <c r="BS105" s="89">
        <v>67381094</v>
      </c>
      <c r="BT105" s="89">
        <v>992950727</v>
      </c>
    </row>
    <row r="106" spans="1:72" x14ac:dyDescent="0.25">
      <c r="A106" s="91" t="s">
        <v>160</v>
      </c>
      <c r="B106" s="80">
        <v>2383318713</v>
      </c>
      <c r="C106" s="80">
        <v>305036143</v>
      </c>
      <c r="D106" s="80">
        <v>993240107</v>
      </c>
      <c r="E106" s="80">
        <v>0</v>
      </c>
      <c r="F106" s="80">
        <v>89924190</v>
      </c>
      <c r="G106" s="80">
        <v>8468114</v>
      </c>
      <c r="H106" s="80">
        <v>15477387</v>
      </c>
      <c r="I106" s="80">
        <v>1027193</v>
      </c>
      <c r="J106" s="80">
        <v>0</v>
      </c>
      <c r="K106" s="80">
        <v>0</v>
      </c>
      <c r="L106" s="80">
        <v>573659266</v>
      </c>
      <c r="M106" s="80">
        <v>250724215</v>
      </c>
      <c r="N106" s="80">
        <v>2893</v>
      </c>
      <c r="O106" s="80">
        <v>266</v>
      </c>
      <c r="P106" s="80">
        <v>55708209</v>
      </c>
      <c r="Q106" s="80">
        <v>5255313</v>
      </c>
      <c r="R106" s="80">
        <v>55452725</v>
      </c>
      <c r="S106" s="80">
        <v>8201251</v>
      </c>
      <c r="T106" s="80">
        <v>2393637</v>
      </c>
      <c r="U106" s="80">
        <v>47395131</v>
      </c>
      <c r="V106" s="80">
        <v>55708209</v>
      </c>
      <c r="W106" s="80">
        <v>6846720</v>
      </c>
      <c r="X106" s="80">
        <v>55452725</v>
      </c>
      <c r="Y106" s="80">
        <v>8201251</v>
      </c>
      <c r="Z106" s="80">
        <v>4308654</v>
      </c>
      <c r="AA106" s="80">
        <v>47395131</v>
      </c>
      <c r="AB106" s="80">
        <v>24851155</v>
      </c>
      <c r="AC106" s="80">
        <v>-176520</v>
      </c>
      <c r="AD106" s="80">
        <v>0</v>
      </c>
      <c r="AE106" s="80">
        <v>0</v>
      </c>
      <c r="AF106" s="80">
        <v>0</v>
      </c>
      <c r="AG106" s="80">
        <v>0</v>
      </c>
      <c r="AH106" s="81">
        <v>0</v>
      </c>
      <c r="AI106" s="80">
        <v>369131.14754098363</v>
      </c>
      <c r="AJ106" s="92">
        <v>0</v>
      </c>
      <c r="AK106" s="82">
        <v>397376700</v>
      </c>
      <c r="AL106" s="83">
        <v>6108192</v>
      </c>
      <c r="AM106" s="80">
        <v>0</v>
      </c>
      <c r="AN106" s="80">
        <v>88096878</v>
      </c>
      <c r="AO106" s="80">
        <v>9685238</v>
      </c>
      <c r="AP106" s="80">
        <v>190075345</v>
      </c>
      <c r="AQ106" s="80">
        <v>99979313</v>
      </c>
      <c r="AR106" s="80">
        <v>104796869</v>
      </c>
      <c r="AS106" s="80">
        <v>7861058</v>
      </c>
      <c r="AT106" s="80">
        <v>1343140149</v>
      </c>
      <c r="AU106" s="80">
        <v>134423</v>
      </c>
      <c r="AV106" s="80">
        <v>24919</v>
      </c>
      <c r="AW106" s="80">
        <v>9272</v>
      </c>
      <c r="AX106" s="80">
        <v>3215542</v>
      </c>
      <c r="AY106" s="80">
        <v>5025451</v>
      </c>
      <c r="AZ106" s="82">
        <v>18847504.23</v>
      </c>
      <c r="BA106" s="82">
        <v>9612227.1600000001</v>
      </c>
      <c r="BB106" s="84"/>
      <c r="BC106" s="84">
        <v>3925498</v>
      </c>
      <c r="BD106" s="84">
        <v>7697055</v>
      </c>
      <c r="BE106" s="84">
        <v>86513750</v>
      </c>
      <c r="BF106" s="84">
        <v>86390191</v>
      </c>
      <c r="BG106" s="84">
        <v>85468086</v>
      </c>
      <c r="BH106" s="84">
        <v>78972145</v>
      </c>
      <c r="BI106" s="84">
        <v>0</v>
      </c>
      <c r="BJ106" s="84">
        <v>0</v>
      </c>
      <c r="BK106" s="85"/>
      <c r="BL106" s="86">
        <v>4462110476.3075409</v>
      </c>
      <c r="BM106" s="86">
        <v>3879725523.147541</v>
      </c>
      <c r="BN106" s="87">
        <v>2964350</v>
      </c>
      <c r="BO106" s="88"/>
      <c r="BP106" s="89">
        <v>3681594963</v>
      </c>
      <c r="BQ106" s="90">
        <v>397376700</v>
      </c>
      <c r="BR106" s="90">
        <v>6108192</v>
      </c>
      <c r="BS106" s="89">
        <v>205622487</v>
      </c>
      <c r="BT106" s="89">
        <v>4290702342</v>
      </c>
    </row>
    <row r="107" spans="1:72" x14ac:dyDescent="0.25">
      <c r="A107" s="91" t="s">
        <v>161</v>
      </c>
      <c r="B107" s="80">
        <v>1810007819</v>
      </c>
      <c r="C107" s="80">
        <v>472164059</v>
      </c>
      <c r="D107" s="80">
        <v>509801346</v>
      </c>
      <c r="E107" s="80">
        <v>27955150</v>
      </c>
      <c r="F107" s="80">
        <v>90995761</v>
      </c>
      <c r="G107" s="80">
        <v>11419700</v>
      </c>
      <c r="H107" s="80">
        <v>22237700</v>
      </c>
      <c r="I107" s="80">
        <v>1648100</v>
      </c>
      <c r="J107" s="80">
        <v>36900</v>
      </c>
      <c r="K107" s="80">
        <v>0</v>
      </c>
      <c r="L107" s="80">
        <v>768464467</v>
      </c>
      <c r="M107" s="80">
        <v>314919596</v>
      </c>
      <c r="N107" s="80">
        <v>3089</v>
      </c>
      <c r="O107" s="80">
        <v>358</v>
      </c>
      <c r="P107" s="80">
        <v>38916893</v>
      </c>
      <c r="Q107" s="80">
        <v>9677321</v>
      </c>
      <c r="R107" s="80">
        <v>44871900</v>
      </c>
      <c r="S107" s="80">
        <v>9519519</v>
      </c>
      <c r="T107" s="80">
        <v>4043410</v>
      </c>
      <c r="U107" s="80">
        <v>6896512</v>
      </c>
      <c r="V107" s="80">
        <v>38916893</v>
      </c>
      <c r="W107" s="80">
        <v>11043591</v>
      </c>
      <c r="X107" s="80">
        <v>44871900</v>
      </c>
      <c r="Y107" s="80">
        <v>9519519</v>
      </c>
      <c r="Z107" s="80">
        <v>10252036</v>
      </c>
      <c r="AA107" s="80">
        <v>6896512</v>
      </c>
      <c r="AB107" s="80">
        <v>-15012900</v>
      </c>
      <c r="AC107" s="80">
        <v>-27511491</v>
      </c>
      <c r="AD107" s="80">
        <v>0</v>
      </c>
      <c r="AE107" s="80">
        <v>0</v>
      </c>
      <c r="AF107" s="80">
        <v>34266193</v>
      </c>
      <c r="AG107" s="80">
        <v>235109</v>
      </c>
      <c r="AH107" s="81">
        <v>0</v>
      </c>
      <c r="AI107" s="80">
        <v>0</v>
      </c>
      <c r="AJ107" s="92">
        <v>0</v>
      </c>
      <c r="AK107" s="82">
        <v>302241452</v>
      </c>
      <c r="AL107" s="83">
        <v>6110951</v>
      </c>
      <c r="AM107" s="80">
        <v>0</v>
      </c>
      <c r="AN107" s="80">
        <v>154506642</v>
      </c>
      <c r="AO107" s="80">
        <v>13970213</v>
      </c>
      <c r="AP107" s="80">
        <v>356558435</v>
      </c>
      <c r="AQ107" s="80">
        <v>107078776</v>
      </c>
      <c r="AR107" s="80">
        <v>121674524</v>
      </c>
      <c r="AS107" s="80">
        <v>34097760</v>
      </c>
      <c r="AT107" s="80">
        <v>8042169</v>
      </c>
      <c r="AU107" s="80">
        <v>0</v>
      </c>
      <c r="AV107" s="80">
        <v>0</v>
      </c>
      <c r="AW107" s="80">
        <v>18797608</v>
      </c>
      <c r="AX107" s="80">
        <v>812075</v>
      </c>
      <c r="AY107" s="80">
        <v>142440</v>
      </c>
      <c r="AZ107" s="82">
        <v>14335256.810000001</v>
      </c>
      <c r="BA107" s="82">
        <v>7310980.9699999997</v>
      </c>
      <c r="BB107" s="84"/>
      <c r="BC107" s="84">
        <v>4590691</v>
      </c>
      <c r="BD107" s="84">
        <v>9001355</v>
      </c>
      <c r="BE107" s="84">
        <v>53966488</v>
      </c>
      <c r="BF107" s="84">
        <v>51698191</v>
      </c>
      <c r="BG107" s="84">
        <v>133899569</v>
      </c>
      <c r="BH107" s="84">
        <v>129797165</v>
      </c>
      <c r="BI107" s="84">
        <v>0</v>
      </c>
      <c r="BJ107" s="84">
        <v>0</v>
      </c>
      <c r="BK107" s="85"/>
      <c r="BL107" s="86">
        <v>3569278285.9699998</v>
      </c>
      <c r="BM107" s="86">
        <v>3067528855</v>
      </c>
      <c r="BN107" s="87">
        <v>1940564</v>
      </c>
      <c r="BO107" s="88"/>
      <c r="BP107" s="89">
        <v>2791973224</v>
      </c>
      <c r="BQ107" s="90">
        <v>302241452</v>
      </c>
      <c r="BR107" s="90">
        <v>6110951</v>
      </c>
      <c r="BS107" s="89">
        <v>309653391</v>
      </c>
      <c r="BT107" s="89">
        <v>3409979018</v>
      </c>
    </row>
    <row r="108" spans="1:72" x14ac:dyDescent="0.25">
      <c r="A108" s="91" t="s">
        <v>162</v>
      </c>
      <c r="B108" s="80">
        <v>555259455</v>
      </c>
      <c r="C108" s="80">
        <v>178399600</v>
      </c>
      <c r="D108" s="80">
        <v>305032266</v>
      </c>
      <c r="E108" s="80">
        <v>4147804</v>
      </c>
      <c r="F108" s="80">
        <v>48185215</v>
      </c>
      <c r="G108" s="80">
        <v>5093700</v>
      </c>
      <c r="H108" s="80">
        <v>7859700</v>
      </c>
      <c r="I108" s="80">
        <v>442800</v>
      </c>
      <c r="J108" s="80">
        <v>36900</v>
      </c>
      <c r="K108" s="80">
        <v>0</v>
      </c>
      <c r="L108" s="80">
        <v>376610031</v>
      </c>
      <c r="M108" s="80">
        <v>91397725</v>
      </c>
      <c r="N108" s="80">
        <v>1553</v>
      </c>
      <c r="O108" s="80">
        <v>156</v>
      </c>
      <c r="P108" s="80">
        <v>6516990</v>
      </c>
      <c r="Q108" s="80">
        <v>3199000</v>
      </c>
      <c r="R108" s="80">
        <v>8836436</v>
      </c>
      <c r="S108" s="80">
        <v>4579440</v>
      </c>
      <c r="T108" s="80">
        <v>1626250</v>
      </c>
      <c r="U108" s="80">
        <v>1501679</v>
      </c>
      <c r="V108" s="80">
        <v>6516990</v>
      </c>
      <c r="W108" s="80">
        <v>3453216</v>
      </c>
      <c r="X108" s="80">
        <v>8836436</v>
      </c>
      <c r="Y108" s="80">
        <v>4579440</v>
      </c>
      <c r="Z108" s="80">
        <v>2081770</v>
      </c>
      <c r="AA108" s="80">
        <v>1501679</v>
      </c>
      <c r="AB108" s="80">
        <v>-2854600</v>
      </c>
      <c r="AC108" s="80">
        <v>-700000</v>
      </c>
      <c r="AD108" s="80">
        <v>0</v>
      </c>
      <c r="AE108" s="80">
        <v>0</v>
      </c>
      <c r="AF108" s="80">
        <v>0</v>
      </c>
      <c r="AG108" s="80">
        <v>0</v>
      </c>
      <c r="AH108" s="81">
        <v>130860.65573770493</v>
      </c>
      <c r="AI108" s="80">
        <v>209008.19672131148</v>
      </c>
      <c r="AJ108" s="92">
        <v>0</v>
      </c>
      <c r="AK108" s="82">
        <v>112692806</v>
      </c>
      <c r="AL108" s="83">
        <v>2457070</v>
      </c>
      <c r="AM108" s="80">
        <v>0</v>
      </c>
      <c r="AN108" s="80">
        <v>59439703</v>
      </c>
      <c r="AO108" s="80">
        <v>7100432</v>
      </c>
      <c r="AP108" s="80">
        <v>264256106</v>
      </c>
      <c r="AQ108" s="80">
        <v>63264530</v>
      </c>
      <c r="AR108" s="80">
        <v>91416183</v>
      </c>
      <c r="AS108" s="80">
        <v>52683293</v>
      </c>
      <c r="AT108" s="80">
        <v>23886942</v>
      </c>
      <c r="AU108" s="80">
        <v>0</v>
      </c>
      <c r="AV108" s="80">
        <v>6243225</v>
      </c>
      <c r="AW108" s="80">
        <v>7493259</v>
      </c>
      <c r="AX108" s="80">
        <v>752110</v>
      </c>
      <c r="AY108" s="80">
        <v>27500</v>
      </c>
      <c r="AZ108" s="82">
        <v>5344999.1900000004</v>
      </c>
      <c r="BA108" s="82">
        <v>2725949.59</v>
      </c>
      <c r="BB108" s="84"/>
      <c r="BC108" s="84">
        <v>888560</v>
      </c>
      <c r="BD108" s="84">
        <v>1742275</v>
      </c>
      <c r="BE108" s="84">
        <v>14771567</v>
      </c>
      <c r="BF108" s="84">
        <v>14771567</v>
      </c>
      <c r="BG108" s="84">
        <v>22865904</v>
      </c>
      <c r="BH108" s="84">
        <v>20870093</v>
      </c>
      <c r="BI108" s="84">
        <v>0</v>
      </c>
      <c r="BJ108" s="84">
        <v>5461549</v>
      </c>
      <c r="BK108" s="85"/>
      <c r="BL108" s="86">
        <v>1328703449.4424589</v>
      </c>
      <c r="BM108" s="86">
        <v>1168835854.852459</v>
      </c>
      <c r="BN108" s="87">
        <v>1753478</v>
      </c>
      <c r="BO108" s="88"/>
      <c r="BP108" s="89">
        <v>1038691321</v>
      </c>
      <c r="BQ108" s="90">
        <v>112692806</v>
      </c>
      <c r="BR108" s="90">
        <v>2457070</v>
      </c>
      <c r="BS108" s="89">
        <v>182487958</v>
      </c>
      <c r="BT108" s="89">
        <v>1336329155</v>
      </c>
    </row>
    <row r="109" spans="1:72" x14ac:dyDescent="0.25">
      <c r="A109" s="91" t="s">
        <v>163</v>
      </c>
      <c r="B109" s="80">
        <v>821190903</v>
      </c>
      <c r="C109" s="80">
        <v>171720495</v>
      </c>
      <c r="D109" s="80">
        <v>52664898</v>
      </c>
      <c r="E109" s="80">
        <v>0</v>
      </c>
      <c r="F109" s="80">
        <v>35307225</v>
      </c>
      <c r="G109" s="80">
        <v>6488750</v>
      </c>
      <c r="H109" s="80">
        <v>10303668</v>
      </c>
      <c r="I109" s="80">
        <v>1417900</v>
      </c>
      <c r="J109" s="80">
        <v>61900</v>
      </c>
      <c r="K109" s="80">
        <v>0</v>
      </c>
      <c r="L109" s="80">
        <v>195840272</v>
      </c>
      <c r="M109" s="80">
        <v>126149317</v>
      </c>
      <c r="N109" s="80">
        <v>1259</v>
      </c>
      <c r="O109" s="80">
        <v>229</v>
      </c>
      <c r="P109" s="80">
        <v>18110606</v>
      </c>
      <c r="Q109" s="80">
        <v>7407763</v>
      </c>
      <c r="R109" s="80">
        <v>0</v>
      </c>
      <c r="S109" s="80">
        <v>8482251</v>
      </c>
      <c r="T109" s="80">
        <v>1497632</v>
      </c>
      <c r="U109" s="80">
        <v>1894200</v>
      </c>
      <c r="V109" s="80">
        <v>18110606</v>
      </c>
      <c r="W109" s="80">
        <v>8891990</v>
      </c>
      <c r="X109" s="80">
        <v>0</v>
      </c>
      <c r="Y109" s="80">
        <v>8482251</v>
      </c>
      <c r="Z109" s="80">
        <v>1853744</v>
      </c>
      <c r="AA109" s="80">
        <v>1894200</v>
      </c>
      <c r="AB109" s="80">
        <v>-2816800</v>
      </c>
      <c r="AC109" s="80">
        <v>-84444</v>
      </c>
      <c r="AD109" s="80">
        <v>4864</v>
      </c>
      <c r="AE109" s="80">
        <v>0</v>
      </c>
      <c r="AF109" s="80">
        <v>190826900</v>
      </c>
      <c r="AG109" s="80">
        <v>93318</v>
      </c>
      <c r="AH109" s="81">
        <v>0</v>
      </c>
      <c r="AI109" s="80">
        <v>0</v>
      </c>
      <c r="AJ109" s="92">
        <v>0</v>
      </c>
      <c r="AK109" s="82">
        <v>127213492</v>
      </c>
      <c r="AL109" s="83">
        <v>7311226</v>
      </c>
      <c r="AM109" s="80">
        <v>769105</v>
      </c>
      <c r="AN109" s="80">
        <v>8362695</v>
      </c>
      <c r="AO109" s="80">
        <v>285644</v>
      </c>
      <c r="AP109" s="80">
        <v>127218</v>
      </c>
      <c r="AQ109" s="80">
        <v>3371363</v>
      </c>
      <c r="AR109" s="80">
        <v>229224</v>
      </c>
      <c r="AS109" s="80">
        <v>0</v>
      </c>
      <c r="AT109" s="80">
        <v>1716751</v>
      </c>
      <c r="AU109" s="80">
        <v>0</v>
      </c>
      <c r="AV109" s="80">
        <v>0</v>
      </c>
      <c r="AW109" s="80">
        <v>0</v>
      </c>
      <c r="AX109" s="80">
        <v>3992</v>
      </c>
      <c r="AY109" s="80">
        <v>156900</v>
      </c>
      <c r="AZ109" s="82">
        <v>6033712.6699999999</v>
      </c>
      <c r="BA109" s="82">
        <v>3077193.46</v>
      </c>
      <c r="BB109" s="84"/>
      <c r="BC109" s="84">
        <v>0</v>
      </c>
      <c r="BD109" s="84">
        <v>0</v>
      </c>
      <c r="BE109" s="84">
        <v>2950040</v>
      </c>
      <c r="BF109" s="84">
        <v>2950040</v>
      </c>
      <c r="BG109" s="84">
        <v>19027546</v>
      </c>
      <c r="BH109" s="84">
        <v>19007305</v>
      </c>
      <c r="BI109" s="84">
        <v>0</v>
      </c>
      <c r="BJ109" s="84">
        <v>0</v>
      </c>
      <c r="BK109" s="85"/>
      <c r="BL109" s="86">
        <v>1217155254.46</v>
      </c>
      <c r="BM109" s="86">
        <v>1057595998</v>
      </c>
      <c r="BN109" s="87">
        <v>219439</v>
      </c>
      <c r="BO109" s="88"/>
      <c r="BP109" s="89">
        <v>1045576296</v>
      </c>
      <c r="BQ109" s="90">
        <v>127213492</v>
      </c>
      <c r="BR109" s="90">
        <v>7311226</v>
      </c>
      <c r="BS109" s="89">
        <v>12019702</v>
      </c>
      <c r="BT109" s="89">
        <v>1192120716</v>
      </c>
    </row>
    <row r="110" spans="1:72" x14ac:dyDescent="0.25">
      <c r="A110" s="91" t="s">
        <v>164</v>
      </c>
      <c r="B110" s="80">
        <v>583353793</v>
      </c>
      <c r="C110" s="80">
        <v>128412675</v>
      </c>
      <c r="D110" s="80">
        <v>271315554</v>
      </c>
      <c r="E110" s="80">
        <v>0</v>
      </c>
      <c r="F110" s="80">
        <v>74311600</v>
      </c>
      <c r="G110" s="80">
        <v>15774291</v>
      </c>
      <c r="H110" s="80">
        <v>14677500</v>
      </c>
      <c r="I110" s="80">
        <v>1534530</v>
      </c>
      <c r="J110" s="80">
        <v>209500</v>
      </c>
      <c r="K110" s="80">
        <v>36900</v>
      </c>
      <c r="L110" s="80">
        <v>269178452</v>
      </c>
      <c r="M110" s="80">
        <v>92329003</v>
      </c>
      <c r="N110" s="80">
        <v>2520</v>
      </c>
      <c r="O110" s="80">
        <v>528</v>
      </c>
      <c r="P110" s="80">
        <v>5544866</v>
      </c>
      <c r="Q110" s="80">
        <v>1486524</v>
      </c>
      <c r="R110" s="80">
        <v>1143000</v>
      </c>
      <c r="S110" s="80">
        <v>3465363</v>
      </c>
      <c r="T110" s="80">
        <v>408030</v>
      </c>
      <c r="U110" s="80">
        <v>1483136</v>
      </c>
      <c r="V110" s="80">
        <v>5544866</v>
      </c>
      <c r="W110" s="80">
        <v>1494500</v>
      </c>
      <c r="X110" s="80">
        <v>1143000</v>
      </c>
      <c r="Y110" s="80">
        <v>3465363</v>
      </c>
      <c r="Z110" s="80">
        <v>502908</v>
      </c>
      <c r="AA110" s="80">
        <v>1483136</v>
      </c>
      <c r="AB110" s="80">
        <v>-1646897</v>
      </c>
      <c r="AC110" s="80">
        <v>-1764574</v>
      </c>
      <c r="AD110" s="80">
        <v>48414</v>
      </c>
      <c r="AE110" s="80">
        <v>0</v>
      </c>
      <c r="AF110" s="80">
        <v>0</v>
      </c>
      <c r="AG110" s="80">
        <v>178610</v>
      </c>
      <c r="AH110" s="81">
        <v>0</v>
      </c>
      <c r="AI110" s="80">
        <v>6311.4754098360663</v>
      </c>
      <c r="AJ110" s="92">
        <v>0</v>
      </c>
      <c r="AK110" s="82">
        <v>131523352</v>
      </c>
      <c r="AL110" s="83">
        <v>6239029</v>
      </c>
      <c r="AM110" s="80">
        <v>9318271</v>
      </c>
      <c r="AN110" s="80">
        <v>51625304</v>
      </c>
      <c r="AO110" s="80">
        <v>926696</v>
      </c>
      <c r="AP110" s="80">
        <v>38044639</v>
      </c>
      <c r="AQ110" s="80">
        <v>38523773</v>
      </c>
      <c r="AR110" s="80">
        <v>31611607</v>
      </c>
      <c r="AS110" s="80">
        <v>106952605</v>
      </c>
      <c r="AT110" s="80">
        <v>505728</v>
      </c>
      <c r="AU110" s="80">
        <v>0</v>
      </c>
      <c r="AV110" s="80">
        <v>0</v>
      </c>
      <c r="AW110" s="80">
        <v>2261610</v>
      </c>
      <c r="AX110" s="80">
        <v>13712</v>
      </c>
      <c r="AY110" s="80">
        <v>87000</v>
      </c>
      <c r="AZ110" s="82">
        <v>6238128.54</v>
      </c>
      <c r="BA110" s="82">
        <v>3181445.56</v>
      </c>
      <c r="BB110" s="84"/>
      <c r="BC110" s="84">
        <v>0</v>
      </c>
      <c r="BD110" s="84">
        <v>0</v>
      </c>
      <c r="BE110" s="84">
        <v>20236849</v>
      </c>
      <c r="BF110" s="84">
        <v>20236849</v>
      </c>
      <c r="BG110" s="84">
        <v>60059641</v>
      </c>
      <c r="BH110" s="84">
        <v>58110220</v>
      </c>
      <c r="BI110" s="84">
        <v>0</v>
      </c>
      <c r="BJ110" s="84">
        <v>0</v>
      </c>
      <c r="BK110" s="85"/>
      <c r="BL110" s="86">
        <v>1293455002.0354099</v>
      </c>
      <c r="BM110" s="86">
        <v>1074164106.47541</v>
      </c>
      <c r="BN110" s="87">
        <v>1441000</v>
      </c>
      <c r="BO110" s="88"/>
      <c r="BP110" s="89">
        <v>983082022</v>
      </c>
      <c r="BQ110" s="90">
        <v>131523352</v>
      </c>
      <c r="BR110" s="90">
        <v>6239029</v>
      </c>
      <c r="BS110" s="89">
        <v>198028378</v>
      </c>
      <c r="BT110" s="89">
        <v>1318872781</v>
      </c>
    </row>
    <row r="111" spans="1:72" x14ac:dyDescent="0.25">
      <c r="A111" s="91" t="s">
        <v>165</v>
      </c>
      <c r="B111" s="80">
        <v>213898180</v>
      </c>
      <c r="C111" s="80">
        <v>158439224</v>
      </c>
      <c r="D111" s="80">
        <v>67980638</v>
      </c>
      <c r="E111" s="80">
        <v>0</v>
      </c>
      <c r="F111" s="80">
        <v>29903219</v>
      </c>
      <c r="G111" s="80">
        <v>4380837</v>
      </c>
      <c r="H111" s="80">
        <v>9153622</v>
      </c>
      <c r="I111" s="80">
        <v>362541</v>
      </c>
      <c r="J111" s="80">
        <v>0</v>
      </c>
      <c r="K111" s="80">
        <v>0</v>
      </c>
      <c r="L111" s="80">
        <v>551006770</v>
      </c>
      <c r="M111" s="80">
        <v>61426372</v>
      </c>
      <c r="N111" s="80">
        <v>1134</v>
      </c>
      <c r="O111" s="80">
        <v>153</v>
      </c>
      <c r="P111" s="80">
        <v>1765160</v>
      </c>
      <c r="Q111" s="80">
        <v>665100</v>
      </c>
      <c r="R111" s="80">
        <v>1589420</v>
      </c>
      <c r="S111" s="80">
        <v>1599985</v>
      </c>
      <c r="T111" s="80">
        <v>19842</v>
      </c>
      <c r="U111" s="80">
        <v>146400</v>
      </c>
      <c r="V111" s="80">
        <v>1765160</v>
      </c>
      <c r="W111" s="80">
        <v>0</v>
      </c>
      <c r="X111" s="80">
        <v>1589420</v>
      </c>
      <c r="Y111" s="80">
        <v>1599985</v>
      </c>
      <c r="Z111" s="80">
        <v>1120630</v>
      </c>
      <c r="AA111" s="80">
        <v>146400</v>
      </c>
      <c r="AB111" s="80">
        <v>-686685</v>
      </c>
      <c r="AC111" s="80">
        <v>0</v>
      </c>
      <c r="AD111" s="80">
        <v>70280</v>
      </c>
      <c r="AE111" s="80">
        <v>95777</v>
      </c>
      <c r="AF111" s="80">
        <v>90703850</v>
      </c>
      <c r="AG111" s="80">
        <v>227100</v>
      </c>
      <c r="AH111" s="81">
        <v>263155.73770491808</v>
      </c>
      <c r="AI111" s="80">
        <v>370540.98360655742</v>
      </c>
      <c r="AJ111" s="92">
        <v>0</v>
      </c>
      <c r="AK111" s="82">
        <v>68072840</v>
      </c>
      <c r="AL111" s="83">
        <v>1270655</v>
      </c>
      <c r="AM111" s="80">
        <v>0</v>
      </c>
      <c r="AN111" s="80">
        <v>17918444</v>
      </c>
      <c r="AO111" s="80">
        <v>3000413</v>
      </c>
      <c r="AP111" s="80">
        <v>17611885</v>
      </c>
      <c r="AQ111" s="80">
        <v>17294467</v>
      </c>
      <c r="AR111" s="80">
        <v>11216436</v>
      </c>
      <c r="AS111" s="80">
        <v>48688</v>
      </c>
      <c r="AT111" s="80">
        <v>1082712</v>
      </c>
      <c r="AU111" s="80">
        <v>0</v>
      </c>
      <c r="AV111" s="80">
        <v>7703823</v>
      </c>
      <c r="AW111" s="80">
        <v>5664598</v>
      </c>
      <c r="AX111" s="80">
        <v>3806</v>
      </c>
      <c r="AY111" s="80">
        <v>312500</v>
      </c>
      <c r="AZ111" s="82">
        <v>3228682.36</v>
      </c>
      <c r="BA111" s="82">
        <v>1646628</v>
      </c>
      <c r="BB111" s="84"/>
      <c r="BC111" s="84">
        <v>1364137</v>
      </c>
      <c r="BD111" s="84">
        <v>2674778</v>
      </c>
      <c r="BE111" s="84">
        <v>13385561</v>
      </c>
      <c r="BF111" s="84">
        <v>13385561</v>
      </c>
      <c r="BG111" s="84">
        <v>41112918</v>
      </c>
      <c r="BH111" s="84">
        <v>32837771</v>
      </c>
      <c r="BI111" s="84">
        <v>0</v>
      </c>
      <c r="BJ111" s="84">
        <v>0</v>
      </c>
      <c r="BK111" s="85"/>
      <c r="BL111" s="86">
        <v>597742654.72131157</v>
      </c>
      <c r="BM111" s="86">
        <v>479165062.72131151</v>
      </c>
      <c r="BN111" s="87">
        <v>900372</v>
      </c>
      <c r="BO111" s="88"/>
      <c r="BP111" s="89">
        <v>440318042</v>
      </c>
      <c r="BQ111" s="90">
        <v>68072840</v>
      </c>
      <c r="BR111" s="90">
        <v>1270655</v>
      </c>
      <c r="BS111" s="89">
        <v>38262012</v>
      </c>
      <c r="BT111" s="89">
        <v>547923549</v>
      </c>
    </row>
    <row r="112" spans="1:72" x14ac:dyDescent="0.25">
      <c r="A112" s="91" t="s">
        <v>166</v>
      </c>
      <c r="B112" s="80">
        <v>617474588</v>
      </c>
      <c r="C112" s="80">
        <v>94661712</v>
      </c>
      <c r="D112" s="80">
        <v>80557743</v>
      </c>
      <c r="E112" s="80">
        <v>0</v>
      </c>
      <c r="F112" s="80">
        <v>49493985</v>
      </c>
      <c r="G112" s="80">
        <v>6985125</v>
      </c>
      <c r="H112" s="80">
        <v>5728360</v>
      </c>
      <c r="I112" s="80">
        <v>688609</v>
      </c>
      <c r="J112" s="80">
        <v>221400</v>
      </c>
      <c r="K112" s="80">
        <v>36900</v>
      </c>
      <c r="L112" s="80">
        <v>497568306</v>
      </c>
      <c r="M112" s="80">
        <v>55967447</v>
      </c>
      <c r="N112" s="80">
        <v>1600</v>
      </c>
      <c r="O112" s="80">
        <v>239</v>
      </c>
      <c r="P112" s="80">
        <v>8758660</v>
      </c>
      <c r="Q112" s="80">
        <v>2533862</v>
      </c>
      <c r="R112" s="80">
        <v>2583771</v>
      </c>
      <c r="S112" s="80">
        <v>1861870</v>
      </c>
      <c r="T112" s="80">
        <v>1028368</v>
      </c>
      <c r="U112" s="80">
        <v>840500</v>
      </c>
      <c r="V112" s="80">
        <v>8758660</v>
      </c>
      <c r="W112" s="80">
        <v>3382814</v>
      </c>
      <c r="X112" s="80">
        <v>2583771</v>
      </c>
      <c r="Y112" s="80">
        <v>1861870</v>
      </c>
      <c r="Z112" s="80">
        <v>1627862</v>
      </c>
      <c r="AA112" s="80">
        <v>840500</v>
      </c>
      <c r="AB112" s="80">
        <v>-3890321</v>
      </c>
      <c r="AC112" s="80">
        <v>0</v>
      </c>
      <c r="AD112" s="80">
        <v>67376</v>
      </c>
      <c r="AE112" s="80">
        <v>0</v>
      </c>
      <c r="AF112" s="80">
        <v>0</v>
      </c>
      <c r="AG112" s="80">
        <v>0</v>
      </c>
      <c r="AH112" s="81">
        <v>0</v>
      </c>
      <c r="AI112" s="80">
        <v>143008.19672131148</v>
      </c>
      <c r="AJ112" s="92">
        <v>0</v>
      </c>
      <c r="AK112" s="82">
        <v>95416953</v>
      </c>
      <c r="AL112" s="83">
        <v>13904353</v>
      </c>
      <c r="AM112" s="80">
        <v>2183000</v>
      </c>
      <c r="AN112" s="80">
        <v>11100562</v>
      </c>
      <c r="AO112" s="80">
        <v>380769</v>
      </c>
      <c r="AP112" s="80">
        <v>11247297</v>
      </c>
      <c r="AQ112" s="80">
        <v>15401732</v>
      </c>
      <c r="AR112" s="80">
        <v>13856534</v>
      </c>
      <c r="AS112" s="80">
        <v>0</v>
      </c>
      <c r="AT112" s="80">
        <v>1902872</v>
      </c>
      <c r="AU112" s="80">
        <v>0</v>
      </c>
      <c r="AV112" s="80">
        <v>9338</v>
      </c>
      <c r="AW112" s="80">
        <v>162596520</v>
      </c>
      <c r="AX112" s="80">
        <v>10590</v>
      </c>
      <c r="AY112" s="80">
        <v>103000</v>
      </c>
      <c r="AZ112" s="82">
        <v>4525608.6399999997</v>
      </c>
      <c r="BA112" s="82">
        <v>2308060.41</v>
      </c>
      <c r="BB112" s="84">
        <v>28134715.030000001</v>
      </c>
      <c r="BC112" s="84">
        <v>0</v>
      </c>
      <c r="BD112" s="84">
        <v>0</v>
      </c>
      <c r="BE112" s="84">
        <v>3749453</v>
      </c>
      <c r="BF112" s="84">
        <v>3749453</v>
      </c>
      <c r="BG112" s="84">
        <v>24792434</v>
      </c>
      <c r="BH112" s="84">
        <v>24116622</v>
      </c>
      <c r="BI112" s="84">
        <v>0</v>
      </c>
      <c r="BJ112" s="84">
        <v>0</v>
      </c>
      <c r="BK112" s="85"/>
      <c r="BL112" s="86">
        <v>959215555.60672128</v>
      </c>
      <c r="BM112" s="86">
        <v>819720114.19672132</v>
      </c>
      <c r="BN112" s="87">
        <v>674237</v>
      </c>
      <c r="BO112" s="88"/>
      <c r="BP112" s="89">
        <v>792694043</v>
      </c>
      <c r="BQ112" s="90">
        <v>95416953</v>
      </c>
      <c r="BR112" s="90">
        <v>13904353</v>
      </c>
      <c r="BS112" s="89">
        <v>26883063</v>
      </c>
      <c r="BT112" s="89">
        <v>928898412</v>
      </c>
    </row>
    <row r="113" spans="1:72" x14ac:dyDescent="0.25">
      <c r="A113" s="91" t="s">
        <v>167</v>
      </c>
      <c r="B113" s="80">
        <v>193411600</v>
      </c>
      <c r="C113" s="80">
        <v>83949900</v>
      </c>
      <c r="D113" s="80">
        <v>20569800</v>
      </c>
      <c r="E113" s="80">
        <v>0</v>
      </c>
      <c r="F113" s="80">
        <v>20191900</v>
      </c>
      <c r="G113" s="80">
        <v>4261800</v>
      </c>
      <c r="H113" s="80">
        <v>7785100</v>
      </c>
      <c r="I113" s="80">
        <v>527100</v>
      </c>
      <c r="J113" s="80">
        <v>36900</v>
      </c>
      <c r="K113" s="80">
        <v>0</v>
      </c>
      <c r="L113" s="80">
        <v>156078200</v>
      </c>
      <c r="M113" s="80">
        <v>64416900</v>
      </c>
      <c r="N113" s="80">
        <v>797</v>
      </c>
      <c r="O113" s="80">
        <v>147</v>
      </c>
      <c r="P113" s="80">
        <v>3492400</v>
      </c>
      <c r="Q113" s="80">
        <v>1874600</v>
      </c>
      <c r="R113" s="80">
        <v>358500</v>
      </c>
      <c r="S113" s="80">
        <v>2590600</v>
      </c>
      <c r="T113" s="80">
        <v>1224200</v>
      </c>
      <c r="U113" s="80">
        <v>665000</v>
      </c>
      <c r="V113" s="80">
        <v>3492400</v>
      </c>
      <c r="W113" s="80">
        <v>2145900</v>
      </c>
      <c r="X113" s="80">
        <v>358500</v>
      </c>
      <c r="Y113" s="80">
        <v>2590600</v>
      </c>
      <c r="Z113" s="80">
        <v>1712900</v>
      </c>
      <c r="AA113" s="80">
        <v>665000</v>
      </c>
      <c r="AB113" s="80">
        <v>-1612300</v>
      </c>
      <c r="AC113" s="80">
        <v>-22205</v>
      </c>
      <c r="AD113" s="80">
        <v>50297</v>
      </c>
      <c r="AE113" s="80">
        <v>8863</v>
      </c>
      <c r="AF113" s="80">
        <v>43445800</v>
      </c>
      <c r="AG113" s="80">
        <v>82930</v>
      </c>
      <c r="AH113" s="81">
        <v>0</v>
      </c>
      <c r="AI113" s="80">
        <v>0</v>
      </c>
      <c r="AJ113" s="92">
        <v>0</v>
      </c>
      <c r="AK113" s="82">
        <v>56607498</v>
      </c>
      <c r="AL113" s="83">
        <v>1438971</v>
      </c>
      <c r="AM113" s="80">
        <v>19000</v>
      </c>
      <c r="AN113" s="80">
        <v>4521370</v>
      </c>
      <c r="AO113" s="80">
        <v>59209</v>
      </c>
      <c r="AP113" s="80">
        <v>1313166</v>
      </c>
      <c r="AQ113" s="80">
        <v>1427676</v>
      </c>
      <c r="AR113" s="80">
        <v>290698</v>
      </c>
      <c r="AS113" s="80">
        <v>0</v>
      </c>
      <c r="AT113" s="80">
        <v>79086</v>
      </c>
      <c r="AU113" s="80">
        <v>0</v>
      </c>
      <c r="AV113" s="80">
        <v>0</v>
      </c>
      <c r="AW113" s="80">
        <v>0</v>
      </c>
      <c r="AX113" s="80">
        <v>594</v>
      </c>
      <c r="AY113" s="80">
        <v>0</v>
      </c>
      <c r="AZ113" s="82">
        <v>2684883.28</v>
      </c>
      <c r="BA113" s="82">
        <v>1369290.47</v>
      </c>
      <c r="BB113" s="84">
        <v>21761658.030000001</v>
      </c>
      <c r="BC113" s="84">
        <v>0</v>
      </c>
      <c r="BD113" s="84">
        <v>0</v>
      </c>
      <c r="BE113" s="84">
        <v>141444646</v>
      </c>
      <c r="BF113" s="84">
        <v>141444646</v>
      </c>
      <c r="BG113" s="84">
        <v>55649796</v>
      </c>
      <c r="BH113" s="84">
        <v>54777390</v>
      </c>
      <c r="BI113" s="84">
        <v>0</v>
      </c>
      <c r="BJ113" s="84">
        <v>0</v>
      </c>
      <c r="BK113" s="85"/>
      <c r="BL113" s="86">
        <v>559577350.47000003</v>
      </c>
      <c r="BM113" s="86">
        <v>303939555</v>
      </c>
      <c r="BN113" s="87">
        <v>296600</v>
      </c>
      <c r="BO113" s="88"/>
      <c r="BP113" s="89">
        <v>297931300</v>
      </c>
      <c r="BQ113" s="90">
        <v>56607498</v>
      </c>
      <c r="BR113" s="90">
        <v>1438971</v>
      </c>
      <c r="BS113" s="89">
        <v>6008255</v>
      </c>
      <c r="BT113" s="89">
        <v>361986024</v>
      </c>
    </row>
    <row r="114" spans="1:72" x14ac:dyDescent="0.25">
      <c r="A114" s="91" t="s">
        <v>168</v>
      </c>
      <c r="B114" s="80">
        <v>276678580</v>
      </c>
      <c r="C114" s="80">
        <v>153563605</v>
      </c>
      <c r="D114" s="80">
        <v>105877162</v>
      </c>
      <c r="E114" s="80">
        <v>1310000</v>
      </c>
      <c r="F114" s="80">
        <v>38288353</v>
      </c>
      <c r="G114" s="80">
        <v>7405202</v>
      </c>
      <c r="H114" s="80">
        <v>5429530</v>
      </c>
      <c r="I114" s="80">
        <v>413844</v>
      </c>
      <c r="J114" s="80">
        <v>73800</v>
      </c>
      <c r="K114" s="80">
        <v>36900</v>
      </c>
      <c r="L114" s="80">
        <v>547625168</v>
      </c>
      <c r="M114" s="80">
        <v>50947347</v>
      </c>
      <c r="N114" s="80">
        <v>1265</v>
      </c>
      <c r="O114" s="80">
        <v>244</v>
      </c>
      <c r="P114" s="80">
        <v>1287672</v>
      </c>
      <c r="Q114" s="80">
        <v>1148455</v>
      </c>
      <c r="R114" s="80">
        <v>3607949</v>
      </c>
      <c r="S114" s="80">
        <v>891664</v>
      </c>
      <c r="T114" s="80">
        <v>124363</v>
      </c>
      <c r="U114" s="80">
        <v>547135</v>
      </c>
      <c r="V114" s="80">
        <v>1287672</v>
      </c>
      <c r="W114" s="80">
        <v>1189580</v>
      </c>
      <c r="X114" s="80">
        <v>3607949</v>
      </c>
      <c r="Y114" s="80">
        <v>891664</v>
      </c>
      <c r="Z114" s="80">
        <v>299062</v>
      </c>
      <c r="AA114" s="80">
        <v>547135</v>
      </c>
      <c r="AB114" s="80">
        <v>-1444794</v>
      </c>
      <c r="AC114" s="80">
        <v>1276635</v>
      </c>
      <c r="AD114" s="80">
        <v>7907</v>
      </c>
      <c r="AE114" s="80">
        <v>13361</v>
      </c>
      <c r="AF114" s="80">
        <v>40049667</v>
      </c>
      <c r="AG114" s="80">
        <v>203557</v>
      </c>
      <c r="AH114" s="81">
        <v>37472196.72131148</v>
      </c>
      <c r="AI114" s="80">
        <v>0</v>
      </c>
      <c r="AJ114" s="92">
        <v>85390744</v>
      </c>
      <c r="AK114" s="82">
        <v>117575324</v>
      </c>
      <c r="AL114" s="83">
        <v>4496059</v>
      </c>
      <c r="AM114" s="80">
        <v>47000</v>
      </c>
      <c r="AN114" s="80">
        <v>163528894</v>
      </c>
      <c r="AO114" s="80">
        <v>7734448</v>
      </c>
      <c r="AP114" s="80">
        <v>86427309</v>
      </c>
      <c r="AQ114" s="80">
        <v>46219146</v>
      </c>
      <c r="AR114" s="80">
        <v>20814400</v>
      </c>
      <c r="AS114" s="80">
        <v>22546239</v>
      </c>
      <c r="AT114" s="80">
        <v>3281299</v>
      </c>
      <c r="AU114" s="80">
        <v>0</v>
      </c>
      <c r="AV114" s="80">
        <v>119639</v>
      </c>
      <c r="AW114" s="80">
        <v>8239359</v>
      </c>
      <c r="AX114" s="80">
        <v>1276452</v>
      </c>
      <c r="AY114" s="80">
        <v>2687971</v>
      </c>
      <c r="AZ114" s="82">
        <v>5576576.1200000001</v>
      </c>
      <c r="BA114" s="82">
        <v>2844053.82</v>
      </c>
      <c r="BB114" s="84">
        <v>43212435.229999997</v>
      </c>
      <c r="BC114" s="84">
        <v>0</v>
      </c>
      <c r="BD114" s="84">
        <v>0</v>
      </c>
      <c r="BE114" s="84">
        <v>4279257</v>
      </c>
      <c r="BF114" s="84">
        <v>4279257</v>
      </c>
      <c r="BG114" s="84">
        <v>30037319</v>
      </c>
      <c r="BH114" s="84">
        <v>30016246</v>
      </c>
      <c r="BI114" s="84">
        <v>0</v>
      </c>
      <c r="BJ114" s="84">
        <v>0</v>
      </c>
      <c r="BK114" s="85"/>
      <c r="BL114" s="86">
        <v>1035675715.5413115</v>
      </c>
      <c r="BM114" s="86">
        <v>876464775.72131145</v>
      </c>
      <c r="BN114" s="87">
        <v>887631</v>
      </c>
      <c r="BO114" s="88"/>
      <c r="BP114" s="89">
        <v>536119347</v>
      </c>
      <c r="BQ114" s="90">
        <v>117575324</v>
      </c>
      <c r="BR114" s="90">
        <v>4496059</v>
      </c>
      <c r="BS114" s="89">
        <v>240028727</v>
      </c>
      <c r="BT114" s="89">
        <v>898219457</v>
      </c>
    </row>
    <row r="115" spans="1:72" x14ac:dyDescent="0.25">
      <c r="A115" s="91" t="s">
        <v>169</v>
      </c>
      <c r="B115" s="80">
        <v>4483986394</v>
      </c>
      <c r="C115" s="80">
        <v>443759360</v>
      </c>
      <c r="D115" s="80">
        <v>2510574990</v>
      </c>
      <c r="E115" s="80">
        <v>58726000</v>
      </c>
      <c r="F115" s="80">
        <v>224009580</v>
      </c>
      <c r="G115" s="80">
        <v>22305410</v>
      </c>
      <c r="H115" s="80">
        <v>27628040</v>
      </c>
      <c r="I115" s="80">
        <v>1982150</v>
      </c>
      <c r="J115" s="80">
        <v>516600</v>
      </c>
      <c r="K115" s="80">
        <v>0</v>
      </c>
      <c r="L115" s="80">
        <v>872674240</v>
      </c>
      <c r="M115" s="80">
        <v>0</v>
      </c>
      <c r="N115" s="80">
        <v>6942</v>
      </c>
      <c r="O115" s="80">
        <v>724</v>
      </c>
      <c r="P115" s="80">
        <v>95766050</v>
      </c>
      <c r="Q115" s="80">
        <v>4977100</v>
      </c>
      <c r="R115" s="80">
        <v>51953660</v>
      </c>
      <c r="S115" s="80">
        <v>2432900</v>
      </c>
      <c r="T115" s="80">
        <v>68000</v>
      </c>
      <c r="U115" s="80">
        <v>11239600</v>
      </c>
      <c r="V115" s="80">
        <v>95766050</v>
      </c>
      <c r="W115" s="80">
        <v>4977100</v>
      </c>
      <c r="X115" s="80">
        <v>51953660</v>
      </c>
      <c r="Y115" s="80">
        <v>2432900</v>
      </c>
      <c r="Z115" s="80">
        <v>68000</v>
      </c>
      <c r="AA115" s="80">
        <v>11239600</v>
      </c>
      <c r="AB115" s="80">
        <v>-21665560</v>
      </c>
      <c r="AC115" s="80">
        <v>-3794220</v>
      </c>
      <c r="AD115" s="80">
        <v>71590</v>
      </c>
      <c r="AE115" s="80">
        <v>0</v>
      </c>
      <c r="AF115" s="80">
        <v>0</v>
      </c>
      <c r="AG115" s="80">
        <v>0</v>
      </c>
      <c r="AH115" s="81">
        <v>9069745.9016393442</v>
      </c>
      <c r="AI115" s="80">
        <v>914827.86885245901</v>
      </c>
      <c r="AJ115" s="92">
        <v>0</v>
      </c>
      <c r="AK115" s="82">
        <v>719884873</v>
      </c>
      <c r="AL115" s="83">
        <v>15887302</v>
      </c>
      <c r="AM115" s="80">
        <v>0</v>
      </c>
      <c r="AN115" s="80">
        <v>346023246</v>
      </c>
      <c r="AO115" s="80">
        <v>74738778</v>
      </c>
      <c r="AP115" s="80">
        <v>919225667</v>
      </c>
      <c r="AQ115" s="80">
        <v>355688556</v>
      </c>
      <c r="AR115" s="80">
        <v>306712990</v>
      </c>
      <c r="AS115" s="80">
        <v>156690514</v>
      </c>
      <c r="AT115" s="80">
        <v>3481243</v>
      </c>
      <c r="AU115" s="80">
        <v>0</v>
      </c>
      <c r="AV115" s="80">
        <v>226087</v>
      </c>
      <c r="AW115" s="80">
        <v>113910558</v>
      </c>
      <c r="AX115" s="80">
        <v>1457791</v>
      </c>
      <c r="AY115" s="80">
        <v>30791554</v>
      </c>
      <c r="AZ115" s="82">
        <v>34144007.909999996</v>
      </c>
      <c r="BA115" s="82">
        <v>17413444.030000001</v>
      </c>
      <c r="BB115" s="84"/>
      <c r="BC115" s="84">
        <v>2838116</v>
      </c>
      <c r="BD115" s="84">
        <v>5564933</v>
      </c>
      <c r="BE115" s="84">
        <v>48798605</v>
      </c>
      <c r="BF115" s="84">
        <v>48798605</v>
      </c>
      <c r="BG115" s="84">
        <v>123870987</v>
      </c>
      <c r="BH115" s="84">
        <v>116302835</v>
      </c>
      <c r="BI115" s="84">
        <v>400079</v>
      </c>
      <c r="BJ115" s="84">
        <v>33745152</v>
      </c>
      <c r="BK115" s="85"/>
      <c r="BL115" s="86">
        <v>9180026303.8004932</v>
      </c>
      <c r="BM115" s="86">
        <v>8224755897.7704916</v>
      </c>
      <c r="BN115" s="87">
        <v>3667660</v>
      </c>
      <c r="BO115" s="88"/>
      <c r="BP115" s="89">
        <v>7438320744</v>
      </c>
      <c r="BQ115" s="90">
        <v>719884873</v>
      </c>
      <c r="BR115" s="90">
        <v>15887302</v>
      </c>
      <c r="BS115" s="89">
        <v>933141094</v>
      </c>
      <c r="BT115" s="89">
        <v>9107234013</v>
      </c>
    </row>
    <row r="116" spans="1:72" x14ac:dyDescent="0.25">
      <c r="A116" s="91" t="s">
        <v>170</v>
      </c>
      <c r="B116" s="80">
        <v>247520116</v>
      </c>
      <c r="C116" s="80">
        <v>162260458</v>
      </c>
      <c r="D116" s="80">
        <v>80255125</v>
      </c>
      <c r="E116" s="80">
        <v>0</v>
      </c>
      <c r="F116" s="80">
        <v>30090700</v>
      </c>
      <c r="G116" s="80">
        <v>5033300</v>
      </c>
      <c r="H116" s="80">
        <v>15005400</v>
      </c>
      <c r="I116" s="80">
        <v>2007200</v>
      </c>
      <c r="J116" s="80">
        <v>28000</v>
      </c>
      <c r="K116" s="80">
        <v>0</v>
      </c>
      <c r="L116" s="80">
        <v>281828235</v>
      </c>
      <c r="M116" s="80">
        <v>112090530</v>
      </c>
      <c r="N116" s="80">
        <v>1262</v>
      </c>
      <c r="O116" s="80">
        <v>213</v>
      </c>
      <c r="P116" s="80">
        <v>5103110</v>
      </c>
      <c r="Q116" s="80">
        <v>4238305</v>
      </c>
      <c r="R116" s="80">
        <v>2271000</v>
      </c>
      <c r="S116" s="80">
        <v>2502578</v>
      </c>
      <c r="T116" s="80">
        <v>2246434</v>
      </c>
      <c r="U116" s="80">
        <v>932272</v>
      </c>
      <c r="V116" s="80">
        <v>5103110</v>
      </c>
      <c r="W116" s="80">
        <v>4593655</v>
      </c>
      <c r="X116" s="80">
        <v>2271000</v>
      </c>
      <c r="Y116" s="80">
        <v>2435329</v>
      </c>
      <c r="Z116" s="80">
        <v>4300003</v>
      </c>
      <c r="AA116" s="80">
        <v>889722</v>
      </c>
      <c r="AB116" s="80">
        <v>-696340</v>
      </c>
      <c r="AC116" s="80">
        <v>-33952</v>
      </c>
      <c r="AD116" s="80">
        <v>45102</v>
      </c>
      <c r="AE116" s="80">
        <v>0</v>
      </c>
      <c r="AF116" s="80">
        <v>0</v>
      </c>
      <c r="AG116" s="80">
        <v>179449</v>
      </c>
      <c r="AH116" s="81">
        <v>0</v>
      </c>
      <c r="AI116" s="80">
        <v>0</v>
      </c>
      <c r="AJ116" s="92">
        <v>0</v>
      </c>
      <c r="AK116" s="82">
        <v>72652609</v>
      </c>
      <c r="AL116" s="83">
        <v>1308281</v>
      </c>
      <c r="AM116" s="80">
        <v>0</v>
      </c>
      <c r="AN116" s="80">
        <v>19680973</v>
      </c>
      <c r="AO116" s="80">
        <v>706932</v>
      </c>
      <c r="AP116" s="80">
        <v>77096895</v>
      </c>
      <c r="AQ116" s="80">
        <v>23837561</v>
      </c>
      <c r="AR116" s="80">
        <v>37154494</v>
      </c>
      <c r="AS116" s="80">
        <v>962794</v>
      </c>
      <c r="AT116" s="80">
        <v>83704</v>
      </c>
      <c r="AU116" s="80">
        <v>0</v>
      </c>
      <c r="AV116" s="80">
        <v>0</v>
      </c>
      <c r="AW116" s="80">
        <v>1675076</v>
      </c>
      <c r="AX116" s="80">
        <v>10744</v>
      </c>
      <c r="AY116" s="80">
        <v>894050</v>
      </c>
      <c r="AZ116" s="82">
        <v>3445899.96</v>
      </c>
      <c r="BA116" s="82">
        <v>1757408.98</v>
      </c>
      <c r="BB116" s="84"/>
      <c r="BC116" s="84">
        <v>0</v>
      </c>
      <c r="BD116" s="84">
        <v>0</v>
      </c>
      <c r="BE116" s="84">
        <v>1863505</v>
      </c>
      <c r="BF116" s="84">
        <v>1863505</v>
      </c>
      <c r="BG116" s="84">
        <v>25383839</v>
      </c>
      <c r="BH116" s="84">
        <v>24759573</v>
      </c>
      <c r="BI116" s="84">
        <v>0</v>
      </c>
      <c r="BJ116" s="84">
        <v>0</v>
      </c>
      <c r="BK116" s="85"/>
      <c r="BL116" s="86">
        <v>636602541.98000002</v>
      </c>
      <c r="BM116" s="86">
        <v>534261165</v>
      </c>
      <c r="BN116" s="87">
        <v>359500</v>
      </c>
      <c r="BO116" s="88"/>
      <c r="BP116" s="89">
        <v>490035699</v>
      </c>
      <c r="BQ116" s="90">
        <v>72652609</v>
      </c>
      <c r="BR116" s="90">
        <v>1308281</v>
      </c>
      <c r="BS116" s="89">
        <v>45188260</v>
      </c>
      <c r="BT116" s="89">
        <v>609184849</v>
      </c>
    </row>
    <row r="117" spans="1:72" x14ac:dyDescent="0.25">
      <c r="A117" s="91" t="s">
        <v>171</v>
      </c>
      <c r="B117" s="80">
        <v>458467010</v>
      </c>
      <c r="C117" s="80">
        <v>127459988</v>
      </c>
      <c r="D117" s="80">
        <v>103865260</v>
      </c>
      <c r="E117" s="80">
        <v>0</v>
      </c>
      <c r="F117" s="80">
        <v>57701735</v>
      </c>
      <c r="G117" s="80">
        <v>17060745</v>
      </c>
      <c r="H117" s="80">
        <v>16224991</v>
      </c>
      <c r="I117" s="80">
        <v>2204219</v>
      </c>
      <c r="J117" s="80">
        <v>177100</v>
      </c>
      <c r="K117" s="80">
        <v>80000</v>
      </c>
      <c r="L117" s="80">
        <v>278248297</v>
      </c>
      <c r="M117" s="80">
        <v>82207201</v>
      </c>
      <c r="N117" s="80">
        <v>2260</v>
      </c>
      <c r="O117" s="80">
        <v>662</v>
      </c>
      <c r="P117" s="80">
        <v>6337512</v>
      </c>
      <c r="Q117" s="80">
        <v>1321617</v>
      </c>
      <c r="R117" s="80">
        <v>496760</v>
      </c>
      <c r="S117" s="80">
        <v>3847657</v>
      </c>
      <c r="T117" s="80">
        <v>745486</v>
      </c>
      <c r="U117" s="80">
        <v>512262</v>
      </c>
      <c r="V117" s="80">
        <v>6337512</v>
      </c>
      <c r="W117" s="80">
        <v>1321617</v>
      </c>
      <c r="X117" s="80">
        <v>496760</v>
      </c>
      <c r="Y117" s="80">
        <v>3847657</v>
      </c>
      <c r="Z117" s="80">
        <v>2114147</v>
      </c>
      <c r="AA117" s="80">
        <v>512262</v>
      </c>
      <c r="AB117" s="80">
        <v>-3451720</v>
      </c>
      <c r="AC117" s="80">
        <v>155933</v>
      </c>
      <c r="AD117" s="80">
        <v>175151</v>
      </c>
      <c r="AE117" s="80">
        <v>8192</v>
      </c>
      <c r="AF117" s="80">
        <v>10296953</v>
      </c>
      <c r="AG117" s="80">
        <v>243271</v>
      </c>
      <c r="AH117" s="81">
        <v>845459.01639344264</v>
      </c>
      <c r="AI117" s="80">
        <v>71254.098360655742</v>
      </c>
      <c r="AJ117" s="92">
        <v>0</v>
      </c>
      <c r="AK117" s="82">
        <v>96001760</v>
      </c>
      <c r="AL117" s="83">
        <v>12660148</v>
      </c>
      <c r="AM117" s="80">
        <v>14444035</v>
      </c>
      <c r="AN117" s="80">
        <v>19411288</v>
      </c>
      <c r="AO117" s="80">
        <v>4842857</v>
      </c>
      <c r="AP117" s="80">
        <v>34711111</v>
      </c>
      <c r="AQ117" s="80">
        <v>17083659</v>
      </c>
      <c r="AR117" s="80">
        <v>21724097</v>
      </c>
      <c r="AS117" s="80">
        <v>794891</v>
      </c>
      <c r="AT117" s="80">
        <v>7409757</v>
      </c>
      <c r="AU117" s="80">
        <v>0</v>
      </c>
      <c r="AV117" s="80">
        <v>0</v>
      </c>
      <c r="AW117" s="80">
        <v>0</v>
      </c>
      <c r="AX117" s="80">
        <v>0</v>
      </c>
      <c r="AY117" s="80">
        <v>67575</v>
      </c>
      <c r="AZ117" s="82">
        <v>4553345.93</v>
      </c>
      <c r="BA117" s="82">
        <v>2322206.42</v>
      </c>
      <c r="BB117" s="84"/>
      <c r="BC117" s="84">
        <v>0</v>
      </c>
      <c r="BD117" s="84">
        <v>0</v>
      </c>
      <c r="BE117" s="84">
        <v>668392</v>
      </c>
      <c r="BF117" s="84">
        <v>668392</v>
      </c>
      <c r="BG117" s="84">
        <v>31752777</v>
      </c>
      <c r="BH117" s="84">
        <v>31165493</v>
      </c>
      <c r="BI117" s="84">
        <v>0</v>
      </c>
      <c r="BJ117" s="84">
        <v>0</v>
      </c>
      <c r="BK117" s="85"/>
      <c r="BL117" s="86">
        <v>874864774.53475404</v>
      </c>
      <c r="BM117" s="86">
        <v>732046775.11475408</v>
      </c>
      <c r="BN117" s="87">
        <v>798000</v>
      </c>
      <c r="BO117" s="88"/>
      <c r="BP117" s="89">
        <v>689792258</v>
      </c>
      <c r="BQ117" s="90">
        <v>96001760</v>
      </c>
      <c r="BR117" s="90">
        <v>12660148</v>
      </c>
      <c r="BS117" s="89">
        <v>42132695</v>
      </c>
      <c r="BT117" s="89">
        <v>840586861</v>
      </c>
    </row>
    <row r="118" spans="1:72" x14ac:dyDescent="0.25">
      <c r="A118" s="91" t="s">
        <v>172</v>
      </c>
      <c r="B118" s="80">
        <v>208326003</v>
      </c>
      <c r="C118" s="80">
        <v>151280514</v>
      </c>
      <c r="D118" s="80">
        <v>54919286</v>
      </c>
      <c r="E118" s="80">
        <v>13680000</v>
      </c>
      <c r="F118" s="80">
        <v>33991867</v>
      </c>
      <c r="G118" s="80">
        <v>6396750</v>
      </c>
      <c r="H118" s="80">
        <v>8458657</v>
      </c>
      <c r="I118" s="80">
        <v>769250</v>
      </c>
      <c r="J118" s="80">
        <v>5000</v>
      </c>
      <c r="K118" s="80">
        <v>2500</v>
      </c>
      <c r="L118" s="80">
        <v>349087000</v>
      </c>
      <c r="M118" s="80">
        <v>59420000</v>
      </c>
      <c r="N118" s="80">
        <v>1317</v>
      </c>
      <c r="O118" s="80">
        <v>260</v>
      </c>
      <c r="P118" s="80">
        <v>1211500</v>
      </c>
      <c r="Q118" s="80">
        <v>1722400</v>
      </c>
      <c r="R118" s="80">
        <v>1018000</v>
      </c>
      <c r="S118" s="80">
        <v>77400</v>
      </c>
      <c r="T118" s="80">
        <v>57900</v>
      </c>
      <c r="U118" s="80">
        <v>0</v>
      </c>
      <c r="V118" s="80">
        <v>1211500</v>
      </c>
      <c r="W118" s="80">
        <v>1722400</v>
      </c>
      <c r="X118" s="80">
        <v>1018000</v>
      </c>
      <c r="Y118" s="80">
        <v>77400</v>
      </c>
      <c r="Z118" s="80">
        <v>57900</v>
      </c>
      <c r="AA118" s="80">
        <v>0</v>
      </c>
      <c r="AB118" s="80">
        <v>-110700</v>
      </c>
      <c r="AC118" s="80">
        <v>0</v>
      </c>
      <c r="AD118" s="80">
        <v>0</v>
      </c>
      <c r="AE118" s="80">
        <v>0</v>
      </c>
      <c r="AF118" s="80">
        <v>0</v>
      </c>
      <c r="AG118" s="80">
        <v>0</v>
      </c>
      <c r="AH118" s="81">
        <v>23046147.540983606</v>
      </c>
      <c r="AI118" s="80">
        <v>0</v>
      </c>
      <c r="AJ118" s="92">
        <v>33113878</v>
      </c>
      <c r="AK118" s="82">
        <v>101501958</v>
      </c>
      <c r="AL118" s="83">
        <v>3222412</v>
      </c>
      <c r="AM118" s="80">
        <v>101219</v>
      </c>
      <c r="AN118" s="80">
        <v>101776067</v>
      </c>
      <c r="AO118" s="80">
        <v>5786454</v>
      </c>
      <c r="AP118" s="80">
        <v>45860449</v>
      </c>
      <c r="AQ118" s="80">
        <v>16054993</v>
      </c>
      <c r="AR118" s="80">
        <v>8266471</v>
      </c>
      <c r="AS118" s="80">
        <v>0</v>
      </c>
      <c r="AT118" s="80">
        <v>2471628</v>
      </c>
      <c r="AU118" s="80">
        <v>0</v>
      </c>
      <c r="AV118" s="80">
        <v>0</v>
      </c>
      <c r="AW118" s="80">
        <v>3303726</v>
      </c>
      <c r="AX118" s="80">
        <v>1503129</v>
      </c>
      <c r="AY118" s="80">
        <v>255000</v>
      </c>
      <c r="AZ118" s="82">
        <v>4814219.3099999996</v>
      </c>
      <c r="BA118" s="82">
        <v>2455251.85</v>
      </c>
      <c r="BB118" s="84">
        <v>2668393.7799999998</v>
      </c>
      <c r="BC118" s="84">
        <v>1256748</v>
      </c>
      <c r="BD118" s="84">
        <v>2464213</v>
      </c>
      <c r="BE118" s="84">
        <v>24442173</v>
      </c>
      <c r="BF118" s="84">
        <v>24275763</v>
      </c>
      <c r="BG118" s="84">
        <v>59286055</v>
      </c>
      <c r="BH118" s="84">
        <v>57484126</v>
      </c>
      <c r="BI118" s="84">
        <v>0</v>
      </c>
      <c r="BJ118" s="84">
        <v>0</v>
      </c>
      <c r="BK118" s="85"/>
      <c r="BL118" s="86">
        <v>784499601.3909837</v>
      </c>
      <c r="BM118" s="86">
        <v>594303342.54098368</v>
      </c>
      <c r="BN118" s="87">
        <v>717971</v>
      </c>
      <c r="BO118" s="88"/>
      <c r="BP118" s="89">
        <v>414525803</v>
      </c>
      <c r="BQ118" s="90">
        <v>101501958</v>
      </c>
      <c r="BR118" s="90">
        <v>3222412</v>
      </c>
      <c r="BS118" s="89">
        <v>123617514</v>
      </c>
      <c r="BT118" s="89">
        <v>642867687</v>
      </c>
    </row>
    <row r="119" spans="1:72" x14ac:dyDescent="0.25">
      <c r="A119" s="91" t="s">
        <v>173</v>
      </c>
      <c r="B119" s="80">
        <v>663847978</v>
      </c>
      <c r="C119" s="80">
        <v>133907186</v>
      </c>
      <c r="D119" s="80">
        <v>215297614</v>
      </c>
      <c r="E119" s="80">
        <v>2100000</v>
      </c>
      <c r="F119" s="80">
        <v>90605140</v>
      </c>
      <c r="G119" s="80">
        <v>27443570</v>
      </c>
      <c r="H119" s="80">
        <v>16450659</v>
      </c>
      <c r="I119" s="80">
        <v>2696462</v>
      </c>
      <c r="J119" s="80">
        <v>36000</v>
      </c>
      <c r="K119" s="80">
        <v>0</v>
      </c>
      <c r="L119" s="80">
        <v>452839500</v>
      </c>
      <c r="M119" s="80">
        <v>46138696</v>
      </c>
      <c r="N119" s="80">
        <v>3388</v>
      </c>
      <c r="O119" s="80">
        <v>1018</v>
      </c>
      <c r="P119" s="80">
        <v>1479680</v>
      </c>
      <c r="Q119" s="80">
        <v>32000</v>
      </c>
      <c r="R119" s="80">
        <v>400000</v>
      </c>
      <c r="S119" s="80">
        <v>4585022</v>
      </c>
      <c r="T119" s="80">
        <v>1562484</v>
      </c>
      <c r="U119" s="80">
        <v>2646500</v>
      </c>
      <c r="V119" s="80">
        <v>1479680</v>
      </c>
      <c r="W119" s="80">
        <v>458000</v>
      </c>
      <c r="X119" s="80">
        <v>400000</v>
      </c>
      <c r="Y119" s="80">
        <v>4585022</v>
      </c>
      <c r="Z119" s="80">
        <v>2434500</v>
      </c>
      <c r="AA119" s="80">
        <v>2646500</v>
      </c>
      <c r="AB119" s="80">
        <v>-4398310</v>
      </c>
      <c r="AC119" s="80">
        <v>-3237579</v>
      </c>
      <c r="AD119" s="80">
        <v>203551</v>
      </c>
      <c r="AE119" s="80">
        <v>0</v>
      </c>
      <c r="AF119" s="80">
        <v>0</v>
      </c>
      <c r="AG119" s="80">
        <v>205483</v>
      </c>
      <c r="AH119" s="81">
        <v>1703065.5737704916</v>
      </c>
      <c r="AI119" s="80">
        <v>10934316.393442625</v>
      </c>
      <c r="AJ119" s="92">
        <v>5162682</v>
      </c>
      <c r="AK119" s="82">
        <v>191644561</v>
      </c>
      <c r="AL119" s="83">
        <v>6319469</v>
      </c>
      <c r="AM119" s="80">
        <v>2164584</v>
      </c>
      <c r="AN119" s="80">
        <v>58432439</v>
      </c>
      <c r="AO119" s="80">
        <v>3306998</v>
      </c>
      <c r="AP119" s="80">
        <v>59253830</v>
      </c>
      <c r="AQ119" s="80">
        <v>62332580</v>
      </c>
      <c r="AR119" s="80">
        <v>15679587</v>
      </c>
      <c r="AS119" s="80">
        <v>8551752</v>
      </c>
      <c r="AT119" s="80">
        <v>457616</v>
      </c>
      <c r="AU119" s="80">
        <v>0</v>
      </c>
      <c r="AV119" s="80">
        <v>0</v>
      </c>
      <c r="AW119" s="80">
        <v>0</v>
      </c>
      <c r="AX119" s="80">
        <v>51028</v>
      </c>
      <c r="AY119" s="80">
        <v>80000</v>
      </c>
      <c r="AZ119" s="82">
        <v>9089666.4900000002</v>
      </c>
      <c r="BA119" s="82">
        <v>4635729.91</v>
      </c>
      <c r="BB119" s="84"/>
      <c r="BC119" s="84">
        <v>12274162</v>
      </c>
      <c r="BD119" s="84">
        <v>24066984</v>
      </c>
      <c r="BE119" s="84">
        <v>53523294</v>
      </c>
      <c r="BF119" s="84">
        <v>53523294</v>
      </c>
      <c r="BG119" s="84">
        <v>76546792</v>
      </c>
      <c r="BH119" s="84">
        <v>63124625</v>
      </c>
      <c r="BI119" s="84">
        <v>0</v>
      </c>
      <c r="BJ119" s="84">
        <v>0</v>
      </c>
      <c r="BK119" s="85"/>
      <c r="BL119" s="86">
        <v>1486446699.8772132</v>
      </c>
      <c r="BM119" s="86">
        <v>1154924858.9672132</v>
      </c>
      <c r="BN119" s="87">
        <v>1445926</v>
      </c>
      <c r="BO119" s="88"/>
      <c r="BP119" s="89">
        <v>1013052778</v>
      </c>
      <c r="BQ119" s="90">
        <v>191644561</v>
      </c>
      <c r="BR119" s="90">
        <v>6319469</v>
      </c>
      <c r="BS119" s="89">
        <v>132623769</v>
      </c>
      <c r="BT119" s="89">
        <v>1343640577</v>
      </c>
    </row>
    <row r="120" spans="1:72" x14ac:dyDescent="0.25">
      <c r="A120" s="91" t="s">
        <v>174</v>
      </c>
      <c r="B120" s="80">
        <v>56255925</v>
      </c>
      <c r="C120" s="80">
        <v>62259450</v>
      </c>
      <c r="D120" s="80">
        <v>35610500</v>
      </c>
      <c r="E120" s="80">
        <v>0</v>
      </c>
      <c r="F120" s="80">
        <v>10334000</v>
      </c>
      <c r="G120" s="80">
        <v>9411300</v>
      </c>
      <c r="H120" s="80">
        <v>9255700</v>
      </c>
      <c r="I120" s="80">
        <v>4894400</v>
      </c>
      <c r="J120" s="80">
        <v>0</v>
      </c>
      <c r="K120" s="80">
        <v>0</v>
      </c>
      <c r="L120" s="80">
        <v>65625201</v>
      </c>
      <c r="M120" s="80">
        <v>0</v>
      </c>
      <c r="N120" s="80">
        <v>625</v>
      </c>
      <c r="O120" s="80">
        <v>528</v>
      </c>
      <c r="P120" s="80">
        <v>1982200</v>
      </c>
      <c r="Q120" s="80">
        <v>625500</v>
      </c>
      <c r="R120" s="80">
        <v>284000</v>
      </c>
      <c r="S120" s="80">
        <v>673000</v>
      </c>
      <c r="T120" s="80">
        <v>115000</v>
      </c>
      <c r="U120" s="80">
        <v>77000</v>
      </c>
      <c r="V120" s="80">
        <v>1982200</v>
      </c>
      <c r="W120" s="80">
        <v>898300</v>
      </c>
      <c r="X120" s="80">
        <v>284000</v>
      </c>
      <c r="Y120" s="80">
        <v>673000</v>
      </c>
      <c r="Z120" s="80">
        <v>295000</v>
      </c>
      <c r="AA120" s="80">
        <v>77000</v>
      </c>
      <c r="AB120" s="80">
        <v>-848000</v>
      </c>
      <c r="AC120" s="80">
        <v>0</v>
      </c>
      <c r="AD120" s="80">
        <v>87867</v>
      </c>
      <c r="AE120" s="80">
        <v>0</v>
      </c>
      <c r="AF120" s="80">
        <v>0</v>
      </c>
      <c r="AG120" s="80">
        <v>115951</v>
      </c>
      <c r="AH120" s="81">
        <v>7546352.4590163929</v>
      </c>
      <c r="AI120" s="80">
        <v>1984.4262295081969</v>
      </c>
      <c r="AJ120" s="92">
        <v>0</v>
      </c>
      <c r="AK120" s="82">
        <v>40914072</v>
      </c>
      <c r="AL120" s="83">
        <v>489543</v>
      </c>
      <c r="AM120" s="80">
        <v>0</v>
      </c>
      <c r="AN120" s="80">
        <v>4857108</v>
      </c>
      <c r="AO120" s="80">
        <v>46461</v>
      </c>
      <c r="AP120" s="80">
        <v>135928</v>
      </c>
      <c r="AQ120" s="80">
        <v>10797901</v>
      </c>
      <c r="AR120" s="80">
        <v>2101620</v>
      </c>
      <c r="AS120" s="80">
        <v>0</v>
      </c>
      <c r="AT120" s="80">
        <v>33189</v>
      </c>
      <c r="AU120" s="80">
        <v>0</v>
      </c>
      <c r="AV120" s="80">
        <v>0</v>
      </c>
      <c r="AW120" s="80">
        <v>0</v>
      </c>
      <c r="AX120" s="80">
        <v>0</v>
      </c>
      <c r="AY120" s="80">
        <v>0</v>
      </c>
      <c r="AZ120" s="82">
        <v>1940546.95</v>
      </c>
      <c r="BA120" s="82">
        <v>989678.94</v>
      </c>
      <c r="BB120" s="84"/>
      <c r="BC120" s="84">
        <v>0</v>
      </c>
      <c r="BD120" s="84">
        <v>0</v>
      </c>
      <c r="BE120" s="84">
        <v>637536</v>
      </c>
      <c r="BF120" s="84">
        <v>637536</v>
      </c>
      <c r="BG120" s="84">
        <v>31657143</v>
      </c>
      <c r="BH120" s="84">
        <v>31602491</v>
      </c>
      <c r="BI120" s="84">
        <v>0</v>
      </c>
      <c r="BJ120" s="84">
        <v>0</v>
      </c>
      <c r="BK120" s="85"/>
      <c r="BL120" s="86">
        <v>252009002.82524589</v>
      </c>
      <c r="BM120" s="86">
        <v>177375681.88524589</v>
      </c>
      <c r="BN120" s="87">
        <v>362000</v>
      </c>
      <c r="BO120" s="88"/>
      <c r="BP120" s="89">
        <v>154125875</v>
      </c>
      <c r="BQ120" s="90">
        <v>40914072</v>
      </c>
      <c r="BR120" s="90">
        <v>489543</v>
      </c>
      <c r="BS120" s="89">
        <v>15701470</v>
      </c>
      <c r="BT120" s="89">
        <v>211230960</v>
      </c>
    </row>
    <row r="121" spans="1:72" ht="15.75" thickBot="1" x14ac:dyDescent="0.3">
      <c r="A121" s="99" t="s">
        <v>175</v>
      </c>
      <c r="B121" s="100">
        <v>1313295770</v>
      </c>
      <c r="C121" s="100">
        <v>514518000</v>
      </c>
      <c r="D121" s="100">
        <v>248563595</v>
      </c>
      <c r="E121" s="100">
        <v>561200</v>
      </c>
      <c r="F121" s="100">
        <v>69280200</v>
      </c>
      <c r="G121" s="100">
        <v>7680100</v>
      </c>
      <c r="H121" s="100">
        <v>8777500</v>
      </c>
      <c r="I121" s="100">
        <v>405900</v>
      </c>
      <c r="J121" s="100">
        <v>184500</v>
      </c>
      <c r="K121" s="100">
        <v>36900</v>
      </c>
      <c r="L121" s="100">
        <v>861914160</v>
      </c>
      <c r="M121" s="100">
        <v>261807900</v>
      </c>
      <c r="N121" s="100">
        <v>2137</v>
      </c>
      <c r="O121" s="100">
        <v>222</v>
      </c>
      <c r="P121" s="100">
        <v>16568670</v>
      </c>
      <c r="Q121" s="100">
        <v>2840500</v>
      </c>
      <c r="R121" s="100">
        <v>2191000</v>
      </c>
      <c r="S121" s="100">
        <v>133600</v>
      </c>
      <c r="T121" s="100">
        <v>0</v>
      </c>
      <c r="U121" s="100">
        <v>1265200</v>
      </c>
      <c r="V121" s="100">
        <v>16568670</v>
      </c>
      <c r="W121" s="100">
        <v>2840500</v>
      </c>
      <c r="X121" s="100">
        <v>2191000</v>
      </c>
      <c r="Y121" s="100">
        <v>133600</v>
      </c>
      <c r="Z121" s="100">
        <v>0</v>
      </c>
      <c r="AA121" s="100">
        <v>1265200</v>
      </c>
      <c r="AB121" s="100">
        <v>-2980200</v>
      </c>
      <c r="AC121" s="100">
        <v>-75247</v>
      </c>
      <c r="AD121" s="100">
        <v>0</v>
      </c>
      <c r="AE121" s="100">
        <v>0</v>
      </c>
      <c r="AF121" s="100">
        <v>0</v>
      </c>
      <c r="AG121" s="100">
        <v>107039</v>
      </c>
      <c r="AH121" s="100">
        <v>0</v>
      </c>
      <c r="AI121" s="100">
        <v>0</v>
      </c>
      <c r="AJ121" s="100">
        <v>0</v>
      </c>
      <c r="AK121" s="101">
        <v>192357485</v>
      </c>
      <c r="AL121" s="102">
        <v>4803790</v>
      </c>
      <c r="AM121" s="100">
        <v>0</v>
      </c>
      <c r="AN121" s="100">
        <v>45008318</v>
      </c>
      <c r="AO121" s="100">
        <v>8728264</v>
      </c>
      <c r="AP121" s="100">
        <v>171066803</v>
      </c>
      <c r="AQ121" s="100">
        <v>31943768</v>
      </c>
      <c r="AR121" s="100">
        <v>55404125</v>
      </c>
      <c r="AS121" s="100">
        <v>126385047</v>
      </c>
      <c r="AT121" s="100">
        <v>197049881</v>
      </c>
      <c r="AU121" s="100">
        <v>0</v>
      </c>
      <c r="AV121" s="100">
        <v>0</v>
      </c>
      <c r="AW121" s="100">
        <v>96468</v>
      </c>
      <c r="AX121" s="100">
        <v>1092283</v>
      </c>
      <c r="AY121" s="100">
        <v>4400</v>
      </c>
      <c r="AZ121" s="101">
        <v>9123480.3499999996</v>
      </c>
      <c r="BA121" s="101">
        <v>4652974.9800000004</v>
      </c>
      <c r="BB121" s="84"/>
      <c r="BC121" s="84">
        <v>1003312</v>
      </c>
      <c r="BD121" s="84">
        <v>1967279</v>
      </c>
      <c r="BE121" s="103">
        <v>16247600</v>
      </c>
      <c r="BF121" s="84">
        <v>14848724</v>
      </c>
      <c r="BG121" s="84">
        <v>40816761</v>
      </c>
      <c r="BH121" s="104">
        <v>40183349</v>
      </c>
      <c r="BI121" s="104">
        <v>48539542</v>
      </c>
      <c r="BJ121" s="104">
        <v>0</v>
      </c>
      <c r="BK121" s="105"/>
      <c r="BL121" s="106">
        <v>2468446891.98</v>
      </c>
      <c r="BM121" s="106">
        <v>2162057715</v>
      </c>
      <c r="BN121" s="107">
        <v>1934445</v>
      </c>
      <c r="BO121" s="108"/>
      <c r="BP121" s="89">
        <v>2076377365</v>
      </c>
      <c r="BQ121" s="90">
        <v>192357485</v>
      </c>
      <c r="BR121" s="90">
        <v>4803790</v>
      </c>
      <c r="BS121" s="89">
        <v>212065397</v>
      </c>
      <c r="BT121" s="89">
        <v>2485604037</v>
      </c>
    </row>
    <row r="122" spans="1:72" ht="15.75" thickTop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109"/>
      <c r="BA122" s="109"/>
      <c r="BB122" s="40"/>
      <c r="BC122" s="88"/>
      <c r="BD122" s="88"/>
      <c r="BE122" s="110"/>
      <c r="BF122" s="110"/>
      <c r="BG122" s="110"/>
      <c r="BH122" s="110"/>
      <c r="BI122" s="40"/>
      <c r="BJ122" s="40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</row>
    <row r="123" spans="1:72" x14ac:dyDescent="0.25">
      <c r="B123" s="52">
        <v>154127858419</v>
      </c>
      <c r="C123" s="52">
        <v>19509951891</v>
      </c>
      <c r="D123" s="52">
        <v>60311219359</v>
      </c>
      <c r="E123" s="52">
        <v>2613276030</v>
      </c>
      <c r="F123" s="52">
        <v>10762994340</v>
      </c>
      <c r="G123" s="52">
        <v>2263413160</v>
      </c>
      <c r="H123" s="52">
        <v>1599037695</v>
      </c>
      <c r="I123" s="52">
        <v>293569068</v>
      </c>
      <c r="J123" s="52">
        <v>24717970</v>
      </c>
      <c r="K123" s="52">
        <v>3937484</v>
      </c>
      <c r="L123" s="52">
        <v>36601228578</v>
      </c>
      <c r="M123" s="52">
        <v>12396309710</v>
      </c>
      <c r="N123" s="52">
        <v>364062</v>
      </c>
      <c r="O123" s="52">
        <v>82576</v>
      </c>
      <c r="P123" s="52">
        <v>1843437934</v>
      </c>
      <c r="Q123" s="52">
        <v>300237236</v>
      </c>
      <c r="R123" s="52">
        <v>1483408525</v>
      </c>
      <c r="S123" s="52">
        <v>1121680434</v>
      </c>
      <c r="T123" s="52">
        <v>157179489</v>
      </c>
      <c r="U123" s="52">
        <v>649807834</v>
      </c>
      <c r="V123" s="52">
        <v>1843436936</v>
      </c>
      <c r="W123" s="52">
        <v>427918963</v>
      </c>
      <c r="X123" s="52">
        <v>1483408171</v>
      </c>
      <c r="Y123" s="52">
        <v>1121969645</v>
      </c>
      <c r="Z123" s="52">
        <v>332975156</v>
      </c>
      <c r="AA123" s="52">
        <v>649766006</v>
      </c>
      <c r="AB123" s="52">
        <v>-600218653</v>
      </c>
      <c r="AC123" s="52">
        <v>-273857858</v>
      </c>
      <c r="AD123" s="52">
        <v>8147982</v>
      </c>
      <c r="AE123" s="52">
        <v>3946871</v>
      </c>
      <c r="AF123" s="52">
        <v>1899012195</v>
      </c>
      <c r="AG123" s="52">
        <v>18239664.75</v>
      </c>
      <c r="AH123" s="52">
        <v>480506581.96721321</v>
      </c>
      <c r="AI123" s="52">
        <v>987445775.40983617</v>
      </c>
      <c r="AJ123" s="52">
        <v>2211775616</v>
      </c>
      <c r="AK123" s="52">
        <v>27581149627</v>
      </c>
      <c r="AL123" s="52">
        <v>780041286</v>
      </c>
      <c r="AM123" s="52">
        <v>138621740</v>
      </c>
      <c r="AN123" s="52">
        <v>11685218185</v>
      </c>
      <c r="AO123" s="52">
        <v>946943507</v>
      </c>
      <c r="AP123" s="52">
        <v>18981004928</v>
      </c>
      <c r="AQ123" s="52">
        <v>9658671267</v>
      </c>
      <c r="AR123" s="52">
        <v>10026896364</v>
      </c>
      <c r="AS123" s="52">
        <v>10445556908</v>
      </c>
      <c r="AT123" s="52">
        <v>7276974205</v>
      </c>
      <c r="AU123" s="52">
        <v>64824559</v>
      </c>
      <c r="AV123" s="52">
        <v>50598352</v>
      </c>
      <c r="AW123" s="52">
        <v>1025884049</v>
      </c>
      <c r="AX123" s="52">
        <v>102646728</v>
      </c>
      <c r="AY123" s="52">
        <v>385146678</v>
      </c>
      <c r="AZ123" s="52">
        <v>1308168884.2899997</v>
      </c>
      <c r="BA123" s="52">
        <v>667166131.01999998</v>
      </c>
      <c r="BB123" s="53">
        <v>999999999.9599998</v>
      </c>
      <c r="BC123" s="53">
        <v>270200310</v>
      </c>
      <c r="BD123" s="53">
        <v>529804531</v>
      </c>
      <c r="BE123" s="111">
        <v>5182736730</v>
      </c>
      <c r="BF123" s="111">
        <v>5124427210</v>
      </c>
      <c r="BG123" s="111">
        <v>11050328649</v>
      </c>
      <c r="BH123" s="111">
        <v>10039578632</v>
      </c>
      <c r="BI123" s="53">
        <v>1367935002</v>
      </c>
      <c r="BJ123" s="53">
        <v>190344351</v>
      </c>
      <c r="BK123" s="53">
        <v>0</v>
      </c>
      <c r="BL123" s="112">
        <v>305940433150.39709</v>
      </c>
      <c r="BM123" s="112">
        <v>259919590601.37704</v>
      </c>
      <c r="BN123" s="112">
        <v>414833272</v>
      </c>
      <c r="BO123" s="113"/>
      <c r="BP123" s="88"/>
      <c r="BQ123" s="88"/>
      <c r="BR123" s="88"/>
      <c r="BS123" s="88"/>
      <c r="BT123" s="88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ImageCreateDate xmlns="7CD066FD-5E34-4539-A616-7B5767EB4A07" xsi:nil="true"/>
    <wic_System_Copyright xmlns="http://schemas.microsoft.com/sharepoint/v3/fields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Image" ma:contentTypeID="0x0101009148F5A04DDD49CBA7127AADA5FB792B00AADE34325A8B49CDA8BB4DB53328F2140054C4C04E5831ED41A6E817E776AE7753" ma:contentTypeVersion="2" ma:contentTypeDescription="Upload an image." ma:contentTypeScope="" ma:versionID="f4c885c8c66f34e628b6453c7746a714">
  <xsd:schema xmlns:xsd="http://www.w3.org/2001/XMLSchema" xmlns:xs="http://www.w3.org/2001/XMLSchema" xmlns:p="http://schemas.microsoft.com/office/2006/metadata/properties" xmlns:ns1="http://schemas.microsoft.com/sharepoint/v3" xmlns:ns2="7CD066FD-5E34-4539-A616-7B5767EB4A07" xmlns:ns3="http://schemas.microsoft.com/sharepoint/v3/fields" xmlns:ns4="f94b9277-b0a3-4d91-bade-04ea91219630" targetNamespace="http://schemas.microsoft.com/office/2006/metadata/properties" ma:root="true" ma:fieldsID="816f97e09562c88b138a0e9299809f42" ns1:_="" ns2:_="" ns3:_="" ns4:_="">
    <xsd:import namespace="http://schemas.microsoft.com/sharepoint/v3"/>
    <xsd:import namespace="7CD066FD-5E34-4539-A616-7B5767EB4A07"/>
    <xsd:import namespace="http://schemas.microsoft.com/sharepoint/v3/fields"/>
    <xsd:import namespace="f94b9277-b0a3-4d91-bade-04ea91219630"/>
    <xsd:element name="properties">
      <xsd:complexType>
        <xsd:sequence>
          <xsd:element name="documentManagement">
            <xsd:complexType>
              <xsd:all>
                <xsd:element ref="ns1:FileRef" minOccurs="0"/>
                <xsd:element ref="ns1:File_x0020_Type" minOccurs="0"/>
                <xsd:element ref="ns1:HTML_x0020_File_x0020_Type" minOccurs="0"/>
                <xsd:element ref="ns1:FSObjType" minOccurs="0"/>
                <xsd:element ref="ns2:ThumbnailExists" minOccurs="0"/>
                <xsd:element ref="ns2:PreviewExists" minOccurs="0"/>
                <xsd:element ref="ns2:ImageWidth" minOccurs="0"/>
                <xsd:element ref="ns2:ImageHeight" minOccurs="0"/>
                <xsd:element ref="ns2:ImageCreateDate" minOccurs="0"/>
                <xsd:element ref="ns3:wic_System_Copyright" minOccurs="0"/>
                <xsd:element ref="ns1:PublishingStartDate" minOccurs="0"/>
                <xsd:element ref="ns1:PublishingExpirationDate" minOccurs="0"/>
                <xsd:element ref="ns4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ileRef" ma:index="8" nillable="true" ma:displayName="URL Path" ma:hidden="true" ma:list="Docs" ma:internalName="FileRef" ma:readOnly="true" ma:showField="FullUrl">
      <xsd:simpleType>
        <xsd:restriction base="dms:Lookup"/>
      </xsd:simpleType>
    </xsd:element>
    <xsd:element name="File_x0020_Type" ma:index="9" nillable="true" ma:displayName="File Type" ma:hidden="true" ma:internalName="File_x0020_Type" ma:readOnly="true">
      <xsd:simpleType>
        <xsd:restriction base="dms:Text"/>
      </xsd:simpleType>
    </xsd:element>
    <xsd:element name="HTML_x0020_File_x0020_Type" ma:index="10" nillable="true" ma:displayName="HTML File Type" ma:hidden="true" ma:internalName="HTML_x0020_File_x0020_Type" ma:readOnly="true">
      <xsd:simpleType>
        <xsd:restriction base="dms:Text"/>
      </xsd:simpleType>
    </xsd:element>
    <xsd:element name="FSObjType" ma:index="11" nillable="true" ma:displayName="Item Type" ma:hidden="true" ma:list="Docs" ma:internalName="FSObjType" ma:readOnly="true" ma:showField="FSType">
      <xsd:simpleType>
        <xsd:restriction base="dms:Lookup"/>
      </xsd:simpleType>
    </xsd:element>
    <xsd:element name="PublishingStartDate" ma:index="27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28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D066FD-5E34-4539-A616-7B5767EB4A07" elementFormDefault="qualified">
    <xsd:import namespace="http://schemas.microsoft.com/office/2006/documentManagement/types"/>
    <xsd:import namespace="http://schemas.microsoft.com/office/infopath/2007/PartnerControls"/>
    <xsd:element name="ThumbnailExists" ma:index="18" nillable="true" ma:displayName="Thumbnail Exists" ma:default="FALSE" ma:hidden="true" ma:internalName="ThumbnailExists" ma:readOnly="true">
      <xsd:simpleType>
        <xsd:restriction base="dms:Boolean"/>
      </xsd:simpleType>
    </xsd:element>
    <xsd:element name="PreviewExists" ma:index="19" nillable="true" ma:displayName="Preview Exists" ma:default="FALSE" ma:hidden="true" ma:internalName="PreviewExists" ma:readOnly="true">
      <xsd:simpleType>
        <xsd:restriction base="dms:Boolean"/>
      </xsd:simpleType>
    </xsd:element>
    <xsd:element name="ImageWidth" ma:index="20" nillable="true" ma:displayName="Width" ma:internalName="ImageWidth" ma:readOnly="true">
      <xsd:simpleType>
        <xsd:restriction base="dms:Unknown"/>
      </xsd:simpleType>
    </xsd:element>
    <xsd:element name="ImageHeight" ma:index="22" nillable="true" ma:displayName="Height" ma:internalName="ImageHeight" ma:readOnly="true">
      <xsd:simpleType>
        <xsd:restriction base="dms:Unknown"/>
      </xsd:simpleType>
    </xsd:element>
    <xsd:element name="ImageCreateDate" ma:index="25" nillable="true" ma:displayName="Date Picture Taken" ma:format="DateTime" ma:hidden="true" ma:internalName="ImageCreate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wic_System_Copyright" ma:index="26" nillable="true" ma:displayName="Copyright" ma:internalName="wic_System_Copyright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4b9277-b0a3-4d91-bade-04ea91219630" elementFormDefault="qualified">
    <xsd:import namespace="http://schemas.microsoft.com/office/2006/documentManagement/types"/>
    <xsd:import namespace="http://schemas.microsoft.com/office/infopath/2007/PartnerControls"/>
    <xsd:element name="SharedWithUsers" ma:index="2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24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 ma:index="23" ma:displayName="Comments"/>
        <xsd:element name="keywords" minOccurs="0" maxOccurs="1" type="xsd:string" ma:index="14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D05B088-08EB-402E-B42E-9DC5155184C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DBA74A0-E18F-4C93-A2EA-DE8543971BEB}">
  <ds:schemaRefs>
    <ds:schemaRef ds:uri="http://schemas.microsoft.com/office/2006/documentManagement/types"/>
    <ds:schemaRef ds:uri="http://schemas.microsoft.com/office/infopath/2007/PartnerControls"/>
    <ds:schemaRef ds:uri="7CD066FD-5E34-4539-A616-7B5767EB4A07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sharepoint/v3/field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A6D360B-B135-4033-96B1-7FAC3891562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</vt:vector>
  </TitlesOfParts>
  <Company>Commonwealth of Kentucky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Statewide Certified Property Values 2007-2023</dc:title>
  <dc:creator>%USERNAME%</dc:creator>
  <cp:keywords/>
  <dc:description/>
  <cp:lastModifiedBy>Klink, Melissa R (DOR)</cp:lastModifiedBy>
  <cp:lastPrinted>2022-10-18T15:35:04Z</cp:lastPrinted>
  <dcterms:created xsi:type="dcterms:W3CDTF">2016-09-21T18:25:22Z</dcterms:created>
  <dcterms:modified xsi:type="dcterms:W3CDTF">2024-01-02T14:26:33Z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0x0101009148F5A04DDD49CBA7127AADA5FB792B00AADE34325A8B49CDA8BB4DB53328F2140054C4C04E5831ED41A6E817E776AE7753</vt:lpwstr>
  </property>
</Properties>
</file>