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3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eas.ds.ky.gov\dfs\COTShared\REVOAD\APPS\Public Service Branch\CAP Rate Studies\CAP RATE STUDY 2025\2025 CAP Rate Study - All Industries - Worksheets\publish to website\"/>
    </mc:Choice>
  </mc:AlternateContent>
  <xr:revisionPtr revIDLastSave="0" documentId="13_ncr:1_{433162E9-E571-478F-80AA-A15D9912078E}" xr6:coauthVersionLast="47" xr6:coauthVersionMax="47" xr10:uidLastSave="{00000000-0000-0000-0000-000000000000}"/>
  <bookViews>
    <workbookView xWindow="-120" yWindow="-120" windowWidth="29040" windowHeight="15720" tabRatio="822" xr2:uid="{00000000-000D-0000-FFFF-FFFF00000000}"/>
  </bookViews>
  <sheets>
    <sheet name="Cover Sheet" sheetId="6" r:id="rId1"/>
    <sheet name="Yield CapRate" sheetId="7" r:id="rId2"/>
    <sheet name="Direct CapRates" sheetId="10" r:id="rId3"/>
    <sheet name="S&amp;D" sheetId="3" r:id="rId4"/>
    <sheet name="Market to Book Ratios" sheetId="29" r:id="rId5"/>
    <sheet name="Maintenance CapEx" sheetId="11" r:id="rId6"/>
    <sheet name="Beta for CAPM" sheetId="14" r:id="rId7"/>
    <sheet name="Dividends " sheetId="17" r:id="rId8"/>
    <sheet name="Earnings" sheetId="27" r:id="rId9"/>
    <sheet name="Debt" sheetId="8" r:id="rId10"/>
    <sheet name="Direct GCF" sheetId="5" r:id="rId11"/>
    <sheet name="Direct NOPAT" sheetId="12" r:id="rId12"/>
    <sheet name="Growth &amp; Inflation Rates" sheetId="38" r:id="rId13"/>
    <sheet name="CAPM" sheetId="34" r:id="rId14"/>
    <sheet name="Indicated Yield Equity Rate " sheetId="33" r:id="rId15"/>
    <sheet name="Single Stage Div Growth Model" sheetId="19" r:id="rId16"/>
    <sheet name="Two-Stage Div Growth Model" sheetId="20" r:id="rId17"/>
    <sheet name="Multiples" sheetId="25" r:id="rId18"/>
    <sheet name="Info" sheetId="9" r:id="rId19"/>
  </sheets>
  <definedNames>
    <definedName name="_xlnm.Print_Area" localSheetId="6">'Beta for CAPM'!$A$1:$H$33</definedName>
    <definedName name="_xlnm.Print_Area" localSheetId="13">CAPM!$A$1:$H$85</definedName>
    <definedName name="_xlnm.Print_Area" localSheetId="0">'Cover Sheet'!$A$1:$I$37</definedName>
    <definedName name="_xlnm.Print_Area" localSheetId="9">Debt!$A$1:$M$54</definedName>
    <definedName name="_xlnm.Print_Area" localSheetId="2">'Direct CapRates'!$A$1:$H$66</definedName>
    <definedName name="_xlnm.Print_Area" localSheetId="10">'Direct GCF'!$A$1:$N$34</definedName>
    <definedName name="_xlnm.Print_Area" localSheetId="11">'Direct NOPAT'!$A$1:$N$50</definedName>
    <definedName name="_xlnm.Print_Area" localSheetId="7">'Dividends '!$A$1:$K$26</definedName>
    <definedName name="_xlnm.Print_Area" localSheetId="8">Earnings!$A$1:$K$25</definedName>
    <definedName name="_xlnm.Print_Area" localSheetId="12">'Growth &amp; Inflation Rates'!$A$1:$I$109</definedName>
    <definedName name="_xlnm.Print_Area" localSheetId="14">'Indicated Yield Equity Rate '!$A$1:$F$59</definedName>
    <definedName name="_xlnm.Print_Area" localSheetId="5">'Maintenance CapEx'!$A$1:$L$72</definedName>
    <definedName name="_xlnm.Print_Area" localSheetId="4">'Market to Book Ratios'!$A$1:$G$52</definedName>
    <definedName name="_xlnm.Print_Area" localSheetId="17">Multiples!$A$1:$H$36</definedName>
    <definedName name="_xlnm.Print_Area" localSheetId="3">'S&amp;D'!$A$1:$L$60</definedName>
    <definedName name="_xlnm.Print_Area" localSheetId="15">'Single Stage Div Growth Model'!$A$1:$K$42</definedName>
    <definedName name="_xlnm.Print_Area" localSheetId="16">'Two-Stage Div Growth Model'!$A$1:$I$40</definedName>
    <definedName name="_xlnm.Print_Area" localSheetId="1">'Yield CapRate'!$A$1:$H$35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7" i="17" l="1"/>
  <c r="E42" i="12" l="1"/>
  <c r="E41" i="12"/>
  <c r="K17" i="12"/>
  <c r="K16" i="12"/>
  <c r="E17" i="12"/>
  <c r="E16" i="12"/>
  <c r="F57" i="38"/>
  <c r="F22" i="20" s="1"/>
  <c r="A7" i="38"/>
  <c r="A15" i="38" s="1"/>
  <c r="D58" i="10"/>
  <c r="D25" i="10"/>
  <c r="I15" i="8"/>
  <c r="J15" i="8" s="1"/>
  <c r="I16" i="8"/>
  <c r="J16" i="8" s="1"/>
  <c r="C21" i="11"/>
  <c r="C20" i="11"/>
  <c r="F59" i="34"/>
  <c r="F58" i="34"/>
  <c r="F57" i="34"/>
  <c r="F55" i="34"/>
  <c r="F54" i="34"/>
  <c r="F52" i="34"/>
  <c r="F50" i="34"/>
  <c r="F48" i="34"/>
  <c r="F47" i="34"/>
  <c r="F46" i="34"/>
  <c r="F45" i="34"/>
  <c r="F43" i="34"/>
  <c r="F42" i="34"/>
  <c r="E16" i="34"/>
  <c r="E54" i="38"/>
  <c r="D54" i="38"/>
  <c r="E53" i="38"/>
  <c r="D53" i="38"/>
  <c r="F53" i="38" s="1"/>
  <c r="E52" i="38"/>
  <c r="D52" i="38"/>
  <c r="E51" i="38"/>
  <c r="D51" i="38"/>
  <c r="F50" i="38"/>
  <c r="F48" i="38"/>
  <c r="F47" i="38"/>
  <c r="F46" i="38"/>
  <c r="F45" i="38"/>
  <c r="F44" i="38"/>
  <c r="F43" i="38"/>
  <c r="F42" i="38"/>
  <c r="F52" i="38" s="1"/>
  <c r="E23" i="29"/>
  <c r="H58" i="3"/>
  <c r="F54" i="38" l="1"/>
  <c r="F21" i="20"/>
  <c r="F51" i="38"/>
  <c r="J22" i="3"/>
  <c r="F58" i="3"/>
  <c r="J23" i="3" l="1"/>
  <c r="H34" i="3" s="1"/>
  <c r="H23" i="3"/>
  <c r="G20" i="11"/>
  <c r="D20" i="11"/>
  <c r="E22" i="29"/>
  <c r="H33" i="3" l="1"/>
  <c r="D16" i="25" l="1"/>
  <c r="E21" i="20" l="1"/>
  <c r="E22" i="20"/>
  <c r="H20" i="19"/>
  <c r="G20" i="19"/>
  <c r="H19" i="19"/>
  <c r="G19" i="19"/>
  <c r="G20" i="25"/>
  <c r="G19" i="25"/>
  <c r="E20" i="25"/>
  <c r="E19" i="25"/>
  <c r="E45" i="12" l="1"/>
  <c r="E44" i="12"/>
  <c r="K20" i="12"/>
  <c r="K19" i="12"/>
  <c r="E20" i="12"/>
  <c r="E19" i="12"/>
  <c r="J21" i="5"/>
  <c r="J20" i="5"/>
  <c r="D21" i="5"/>
  <c r="D20" i="5"/>
  <c r="J19" i="8"/>
  <c r="I19" i="8"/>
  <c r="J18" i="8"/>
  <c r="I18" i="8"/>
  <c r="G19" i="8"/>
  <c r="G18" i="8"/>
  <c r="I19" i="27"/>
  <c r="G19" i="27"/>
  <c r="I18" i="27"/>
  <c r="G18" i="27"/>
  <c r="E19" i="27"/>
  <c r="E18" i="27"/>
  <c r="I20" i="17"/>
  <c r="G20" i="17"/>
  <c r="I19" i="17"/>
  <c r="G19" i="17"/>
  <c r="E20" i="17"/>
  <c r="E19" i="17"/>
  <c r="H22" i="14" l="1"/>
  <c r="H21" i="14"/>
  <c r="A46" i="34" l="1"/>
  <c r="B46" i="34"/>
  <c r="E46" i="34" s="1"/>
  <c r="A59" i="34"/>
  <c r="A58" i="34"/>
  <c r="A57" i="34"/>
  <c r="A6" i="25" l="1"/>
  <c r="A6" i="20"/>
  <c r="A6" i="19"/>
  <c r="B58" i="34"/>
  <c r="E58" i="34" s="1"/>
  <c r="B48" i="34"/>
  <c r="E48" i="34" s="1"/>
  <c r="A48" i="34"/>
  <c r="B47" i="34"/>
  <c r="E47" i="34" s="1"/>
  <c r="A47" i="34"/>
  <c r="A45" i="34"/>
  <c r="A6" i="34"/>
  <c r="A6" i="33"/>
  <c r="A6" i="12"/>
  <c r="A6" i="5"/>
  <c r="A6" i="8"/>
  <c r="A6" i="27"/>
  <c r="A6" i="17"/>
  <c r="A8" i="14"/>
  <c r="A8" i="11"/>
  <c r="A9" i="29"/>
  <c r="A16" i="6"/>
  <c r="D16" i="7"/>
  <c r="D15" i="10"/>
  <c r="C16" i="34"/>
  <c r="C20" i="34" s="1"/>
  <c r="B59" i="34"/>
  <c r="E59" i="34" s="1"/>
  <c r="B57" i="34"/>
  <c r="E57" i="34" s="1"/>
  <c r="B55" i="34"/>
  <c r="E55" i="34" s="1"/>
  <c r="B54" i="34"/>
  <c r="E54" i="34" s="1"/>
  <c r="B52" i="34"/>
  <c r="E52" i="34" s="1"/>
  <c r="B50" i="34"/>
  <c r="E50" i="34" s="1"/>
  <c r="B45" i="34"/>
  <c r="E45" i="34" s="1"/>
  <c r="B43" i="34"/>
  <c r="E43" i="34" s="1"/>
  <c r="B42" i="34"/>
  <c r="E42" i="34" s="1"/>
  <c r="D43" i="33"/>
  <c r="D23" i="7"/>
  <c r="D42" i="33"/>
  <c r="D41" i="33"/>
  <c r="D40" i="33"/>
  <c r="D20" i="34" l="1"/>
  <c r="C46" i="34"/>
  <c r="D46" i="34" s="1"/>
  <c r="C42" i="34"/>
  <c r="D42" i="34" s="1"/>
  <c r="C22" i="34"/>
  <c r="C21" i="34"/>
  <c r="E24" i="34"/>
  <c r="E21" i="34"/>
  <c r="E22" i="34"/>
  <c r="C19" i="34"/>
  <c r="C26" i="34"/>
  <c r="C29" i="34"/>
  <c r="C33" i="34"/>
  <c r="E19" i="34"/>
  <c r="E26" i="34"/>
  <c r="E28" i="34"/>
  <c r="E29" i="34"/>
  <c r="E31" i="34"/>
  <c r="E33" i="34"/>
  <c r="C17" i="34"/>
  <c r="C32" i="34" s="1"/>
  <c r="C24" i="34"/>
  <c r="C28" i="34"/>
  <c r="C31" i="34"/>
  <c r="D16" i="34"/>
  <c r="F16" i="34" s="1"/>
  <c r="D14" i="33" s="1"/>
  <c r="E17" i="34"/>
  <c r="E20" i="34" s="1"/>
  <c r="G42" i="34" l="1"/>
  <c r="D27" i="33" s="1"/>
  <c r="F20" i="34"/>
  <c r="D17" i="33" s="1"/>
  <c r="G46" i="34"/>
  <c r="D30" i="33" s="1"/>
  <c r="D22" i="34"/>
  <c r="F22" i="34" s="1"/>
  <c r="D19" i="33" s="1"/>
  <c r="C48" i="34"/>
  <c r="D48" i="34" s="1"/>
  <c r="G48" i="34" s="1"/>
  <c r="D32" i="33" s="1"/>
  <c r="D32" i="34"/>
  <c r="C58" i="34"/>
  <c r="D58" i="34" s="1"/>
  <c r="D21" i="34"/>
  <c r="F21" i="34" s="1"/>
  <c r="D18" i="33" s="1"/>
  <c r="C47" i="34"/>
  <c r="D47" i="34" s="1"/>
  <c r="G47" i="34" s="1"/>
  <c r="D31" i="33" s="1"/>
  <c r="E32" i="34"/>
  <c r="D33" i="34"/>
  <c r="F33" i="34" s="1"/>
  <c r="D26" i="33" s="1"/>
  <c r="C54" i="34"/>
  <c r="D54" i="34" s="1"/>
  <c r="G54" i="34" s="1"/>
  <c r="D35" i="33" s="1"/>
  <c r="D28" i="34"/>
  <c r="F28" i="34" s="1"/>
  <c r="D22" i="33" s="1"/>
  <c r="C59" i="34"/>
  <c r="D59" i="34" s="1"/>
  <c r="G59" i="34" s="1"/>
  <c r="D39" i="33" s="1"/>
  <c r="C55" i="34"/>
  <c r="D55" i="34" s="1"/>
  <c r="G55" i="34" s="1"/>
  <c r="D36" i="33" s="1"/>
  <c r="D29" i="34"/>
  <c r="F29" i="34" s="1"/>
  <c r="D23" i="33" s="1"/>
  <c r="C50" i="34"/>
  <c r="D50" i="34" s="1"/>
  <c r="G50" i="34" s="1"/>
  <c r="D33" i="33" s="1"/>
  <c r="D24" i="34"/>
  <c r="F24" i="34" s="1"/>
  <c r="D20" i="33" s="1"/>
  <c r="C52" i="34"/>
  <c r="D52" i="34" s="1"/>
  <c r="G52" i="34" s="1"/>
  <c r="D34" i="33" s="1"/>
  <c r="D26" i="34"/>
  <c r="F26" i="34" s="1"/>
  <c r="D21" i="33" s="1"/>
  <c r="C57" i="34"/>
  <c r="D57" i="34" s="1"/>
  <c r="G57" i="34" s="1"/>
  <c r="D37" i="33" s="1"/>
  <c r="D31" i="34"/>
  <c r="F31" i="34" s="1"/>
  <c r="D24" i="33" s="1"/>
  <c r="C43" i="34"/>
  <c r="D43" i="34" s="1"/>
  <c r="D17" i="34"/>
  <c r="F17" i="34" s="1"/>
  <c r="D15" i="33" s="1"/>
  <c r="C45" i="34"/>
  <c r="D45" i="34" s="1"/>
  <c r="G45" i="34" s="1"/>
  <c r="D29" i="33" s="1"/>
  <c r="D19" i="34"/>
  <c r="F19" i="34" s="1"/>
  <c r="D16" i="33" s="1"/>
  <c r="G43" i="34" l="1"/>
  <c r="D28" i="33" s="1"/>
  <c r="G58" i="34"/>
  <c r="D38" i="33" s="1"/>
  <c r="F32" i="34"/>
  <c r="D25" i="33" s="1"/>
  <c r="D48" i="33" l="1"/>
  <c r="D45" i="33"/>
  <c r="D46" i="33"/>
  <c r="D47" i="33"/>
  <c r="F21" i="11" l="1"/>
  <c r="F20" i="11"/>
  <c r="F34" i="3"/>
  <c r="F33" i="3"/>
  <c r="E34" i="3"/>
  <c r="E33" i="3"/>
  <c r="F23" i="3"/>
  <c r="F22" i="3"/>
  <c r="A41" i="12" l="1"/>
  <c r="C41" i="12"/>
  <c r="D41" i="12"/>
  <c r="A42" i="12"/>
  <c r="C42" i="12"/>
  <c r="D42" i="12"/>
  <c r="E46" i="12" l="1"/>
  <c r="F42" i="12"/>
  <c r="G42" i="12" s="1"/>
  <c r="F41" i="12"/>
  <c r="G41" i="12" s="1"/>
  <c r="E47" i="12"/>
  <c r="F45" i="12" l="1"/>
  <c r="F44" i="12"/>
  <c r="F47" i="12"/>
  <c r="F46" i="12"/>
  <c r="G46" i="12" l="1"/>
  <c r="G45" i="12"/>
  <c r="G44" i="12"/>
  <c r="G47" i="12"/>
  <c r="D17" i="25" l="1"/>
  <c r="C17" i="25"/>
  <c r="B17" i="25"/>
  <c r="C16" i="25"/>
  <c r="B16" i="25"/>
  <c r="C22" i="20"/>
  <c r="B22" i="20"/>
  <c r="A22" i="20"/>
  <c r="C21" i="20"/>
  <c r="B21" i="20"/>
  <c r="A21" i="20"/>
  <c r="D18" i="19"/>
  <c r="C18" i="19"/>
  <c r="B18" i="19"/>
  <c r="A18" i="19"/>
  <c r="D17" i="19"/>
  <c r="C17" i="19"/>
  <c r="B17" i="19"/>
  <c r="A17" i="19"/>
  <c r="D17" i="12"/>
  <c r="J17" i="12" s="1"/>
  <c r="L17" i="12" s="1"/>
  <c r="M17" i="12" s="1"/>
  <c r="C17" i="12"/>
  <c r="I17" i="12" s="1"/>
  <c r="A17" i="12"/>
  <c r="D16" i="12"/>
  <c r="F16" i="12" s="1"/>
  <c r="G16" i="12" s="1"/>
  <c r="C16" i="12"/>
  <c r="I16" i="12" s="1"/>
  <c r="A16" i="12"/>
  <c r="C18" i="5"/>
  <c r="I18" i="5" s="1"/>
  <c r="L18" i="5" s="1"/>
  <c r="M18" i="5" s="1"/>
  <c r="B18" i="5"/>
  <c r="H18" i="5" s="1"/>
  <c r="A18" i="5"/>
  <c r="C17" i="5"/>
  <c r="I17" i="5" s="1"/>
  <c r="L17" i="5" s="1"/>
  <c r="M17" i="5" s="1"/>
  <c r="B17" i="5"/>
  <c r="H17" i="5" s="1"/>
  <c r="A17" i="5"/>
  <c r="E16" i="8"/>
  <c r="D16" i="8"/>
  <c r="C16" i="8"/>
  <c r="B16" i="8"/>
  <c r="A16" i="8"/>
  <c r="E15" i="8"/>
  <c r="D15" i="8"/>
  <c r="C15" i="8"/>
  <c r="B15" i="8"/>
  <c r="A15" i="8"/>
  <c r="K17" i="27"/>
  <c r="D17" i="27"/>
  <c r="J17" i="27" s="1"/>
  <c r="C17" i="27"/>
  <c r="B17" i="27"/>
  <c r="A17" i="27"/>
  <c r="K16" i="27"/>
  <c r="D16" i="27"/>
  <c r="J16" i="27" s="1"/>
  <c r="C16" i="27"/>
  <c r="B16" i="27"/>
  <c r="A16" i="27"/>
  <c r="D17" i="17"/>
  <c r="J17" i="17" s="1"/>
  <c r="C17" i="17"/>
  <c r="B17" i="17"/>
  <c r="A17" i="17"/>
  <c r="K16" i="17"/>
  <c r="D16" i="17"/>
  <c r="J16" i="17" s="1"/>
  <c r="C16" i="17"/>
  <c r="B16" i="17"/>
  <c r="A16" i="17"/>
  <c r="C19" i="14"/>
  <c r="B19" i="14"/>
  <c r="A19" i="14"/>
  <c r="C18" i="14"/>
  <c r="B18" i="14"/>
  <c r="A18" i="14"/>
  <c r="H21" i="11"/>
  <c r="J21" i="11" s="1"/>
  <c r="B21" i="11"/>
  <c r="A21" i="11"/>
  <c r="H20" i="11"/>
  <c r="B20" i="11"/>
  <c r="A20" i="11"/>
  <c r="A38" i="29"/>
  <c r="C23" i="29"/>
  <c r="C37" i="29" s="1"/>
  <c r="B23" i="29"/>
  <c r="B37" i="29" s="1"/>
  <c r="A23" i="29"/>
  <c r="A37" i="29" s="1"/>
  <c r="C22" i="29"/>
  <c r="C36" i="29" s="1"/>
  <c r="B22" i="29"/>
  <c r="B36" i="29" s="1"/>
  <c r="A22" i="29"/>
  <c r="A36" i="29" s="1"/>
  <c r="D34" i="3"/>
  <c r="D33" i="3"/>
  <c r="I33" i="3" s="1"/>
  <c r="E37" i="29"/>
  <c r="E36" i="29"/>
  <c r="C34" i="3"/>
  <c r="B34" i="3"/>
  <c r="A34" i="3"/>
  <c r="C33" i="3"/>
  <c r="B33" i="3"/>
  <c r="A33" i="3"/>
  <c r="K20" i="17" l="1"/>
  <c r="K19" i="17"/>
  <c r="J20" i="17"/>
  <c r="J19" i="17"/>
  <c r="E17" i="19"/>
  <c r="K33" i="3"/>
  <c r="E18" i="19"/>
  <c r="I34" i="3"/>
  <c r="K34" i="3" s="1"/>
  <c r="F16" i="25"/>
  <c r="H16" i="25"/>
  <c r="F17" i="25"/>
  <c r="H17" i="25"/>
  <c r="I21" i="11"/>
  <c r="K21" i="11" s="1"/>
  <c r="L21" i="11" s="1"/>
  <c r="F17" i="17"/>
  <c r="F16" i="17"/>
  <c r="F16" i="27"/>
  <c r="F17" i="12"/>
  <c r="G17" i="12" s="1"/>
  <c r="E17" i="5"/>
  <c r="F17" i="5" s="1"/>
  <c r="F17" i="27"/>
  <c r="E18" i="5"/>
  <c r="F18" i="5" s="1"/>
  <c r="D22" i="29"/>
  <c r="F22" i="29" s="1"/>
  <c r="D23" i="29"/>
  <c r="F23" i="29" s="1"/>
  <c r="J16" i="12"/>
  <c r="L16" i="12" s="1"/>
  <c r="M16" i="12" s="1"/>
  <c r="H16" i="27"/>
  <c r="H17" i="27"/>
  <c r="H16" i="17"/>
  <c r="H17" i="17"/>
  <c r="I20" i="11"/>
  <c r="J20" i="11"/>
  <c r="F19" i="17" l="1"/>
  <c r="F20" i="17"/>
  <c r="H20" i="17"/>
  <c r="H19" i="17"/>
  <c r="J34" i="3"/>
  <c r="F17" i="19"/>
  <c r="I17" i="19" s="1"/>
  <c r="F18" i="19"/>
  <c r="K20" i="11"/>
  <c r="L20" i="11" s="1"/>
  <c r="D37" i="29"/>
  <c r="F37" i="29" s="1"/>
  <c r="D36" i="29"/>
  <c r="F36" i="29" s="1"/>
  <c r="D22" i="20" l="1"/>
  <c r="I18" i="19"/>
  <c r="F20" i="19"/>
  <c r="F19" i="19"/>
  <c r="D21" i="20"/>
  <c r="J17" i="19"/>
  <c r="J18" i="19"/>
  <c r="J33" i="3"/>
  <c r="I20" i="19" l="1"/>
  <c r="I19" i="19"/>
  <c r="J20" i="19"/>
  <c r="J19" i="19"/>
  <c r="G64" i="10" l="1"/>
  <c r="B47" i="29"/>
  <c r="I21" i="27"/>
  <c r="G21" i="27"/>
  <c r="E21" i="27"/>
  <c r="I20" i="27"/>
  <c r="G20" i="27"/>
  <c r="E20" i="27"/>
  <c r="K19" i="27" l="1"/>
  <c r="K18" i="27"/>
  <c r="J18" i="27"/>
  <c r="J19" i="27"/>
  <c r="G22" i="20"/>
  <c r="H22" i="20" s="1"/>
  <c r="G21" i="20"/>
  <c r="H21" i="20" s="1"/>
  <c r="D48" i="10"/>
  <c r="K21" i="27"/>
  <c r="G16" i="38" s="1"/>
  <c r="K20" i="27"/>
  <c r="G15" i="38" s="1"/>
  <c r="K21" i="17"/>
  <c r="F15" i="38" s="1"/>
  <c r="K22" i="17"/>
  <c r="F16" i="38" s="1"/>
  <c r="H24" i="20" l="1"/>
  <c r="H23" i="20"/>
  <c r="H19" i="27"/>
  <c r="H18" i="27"/>
  <c r="F19" i="27"/>
  <c r="F18" i="27"/>
  <c r="J21" i="27"/>
  <c r="J20" i="27"/>
  <c r="F21" i="27"/>
  <c r="F20" i="27"/>
  <c r="H21" i="27"/>
  <c r="H20" i="27"/>
  <c r="I22" i="17" l="1"/>
  <c r="I21" i="17"/>
  <c r="G31" i="10" l="1"/>
  <c r="H19" i="25" l="1"/>
  <c r="H20" i="25"/>
  <c r="H22" i="25"/>
  <c r="H21" i="25"/>
  <c r="H22" i="19"/>
  <c r="G22" i="19"/>
  <c r="H21" i="19"/>
  <c r="G21" i="19"/>
  <c r="G22" i="17"/>
  <c r="G21" i="17"/>
  <c r="E22" i="17"/>
  <c r="E21" i="17"/>
  <c r="H24" i="14"/>
  <c r="H23" i="14"/>
  <c r="I21" i="8"/>
  <c r="I20" i="8"/>
  <c r="J28" i="12"/>
  <c r="D23" i="10" s="1"/>
  <c r="I28" i="12"/>
  <c r="H27" i="5"/>
  <c r="D56" i="10" s="1"/>
  <c r="G27" i="5"/>
  <c r="K22" i="12"/>
  <c r="E22" i="12"/>
  <c r="K21" i="12"/>
  <c r="E21" i="12"/>
  <c r="F19" i="25" l="1"/>
  <c r="F20" i="25"/>
  <c r="L20" i="5"/>
  <c r="L21" i="5"/>
  <c r="J22" i="17"/>
  <c r="J21" i="17"/>
  <c r="F22" i="25"/>
  <c r="F21" i="25"/>
  <c r="G21" i="12" l="1"/>
  <c r="F20" i="12"/>
  <c r="F19" i="12"/>
  <c r="L20" i="12"/>
  <c r="L19" i="12"/>
  <c r="F21" i="17"/>
  <c r="F22" i="17"/>
  <c r="H21" i="17"/>
  <c r="H22" i="17"/>
  <c r="F22" i="12"/>
  <c r="F21" i="12"/>
  <c r="G22" i="12"/>
  <c r="M20" i="12" l="1"/>
  <c r="M19" i="12"/>
  <c r="G20" i="12"/>
  <c r="G19" i="12"/>
  <c r="H26" i="20"/>
  <c r="H25" i="20"/>
  <c r="L22" i="12"/>
  <c r="L21" i="12"/>
  <c r="F22" i="19"/>
  <c r="F21" i="19"/>
  <c r="M22" i="12"/>
  <c r="M21" i="12"/>
  <c r="J22" i="19" l="1"/>
  <c r="J21" i="19"/>
  <c r="I22" i="19"/>
  <c r="I21" i="19"/>
  <c r="J23" i="5"/>
  <c r="J22" i="5"/>
  <c r="F56" i="10"/>
  <c r="C58" i="10"/>
  <c r="C56" i="10"/>
  <c r="F58" i="10"/>
  <c r="F25" i="10"/>
  <c r="C25" i="10"/>
  <c r="F23" i="10"/>
  <c r="C23" i="10"/>
  <c r="G25" i="10" l="1"/>
  <c r="C27" i="10"/>
  <c r="C60" i="10"/>
  <c r="G23" i="10"/>
  <c r="G56" i="10"/>
  <c r="G58" i="10"/>
  <c r="L24" i="11" l="1"/>
  <c r="L25" i="11"/>
  <c r="L26" i="11"/>
  <c r="L27" i="11"/>
  <c r="G27" i="10"/>
  <c r="G60" i="10"/>
  <c r="L22" i="5" l="1"/>
  <c r="L23" i="5"/>
  <c r="M21" i="5" l="1"/>
  <c r="M20" i="5"/>
  <c r="F39" i="29"/>
  <c r="D47" i="29" s="1"/>
  <c r="M23" i="5"/>
  <c r="M22" i="5"/>
  <c r="E21" i="5" l="1"/>
  <c r="E20" i="5"/>
  <c r="C23" i="7"/>
  <c r="C46" i="29" s="1"/>
  <c r="C25" i="7"/>
  <c r="C47" i="29" s="1"/>
  <c r="E47" i="29" s="1"/>
  <c r="D25" i="7" l="1"/>
  <c r="J20" i="8" l="1"/>
  <c r="J21" i="8" l="1"/>
  <c r="F25" i="29" l="1"/>
  <c r="D46" i="29" s="1"/>
  <c r="E46" i="29" s="1"/>
  <c r="E48" i="29" s="1"/>
  <c r="K36" i="3" l="1"/>
  <c r="K35" i="3"/>
  <c r="D23" i="5"/>
  <c r="D22" i="5"/>
  <c r="J36" i="3" l="1"/>
  <c r="J35" i="3"/>
  <c r="J37" i="3"/>
  <c r="K38" i="3"/>
  <c r="E22" i="5" l="1"/>
  <c r="K37" i="3"/>
  <c r="E23" i="5"/>
  <c r="J38" i="3"/>
  <c r="F22" i="5" l="1"/>
  <c r="F21" i="5"/>
  <c r="F20" i="5"/>
  <c r="F23" i="7"/>
  <c r="G23" i="7" s="1"/>
  <c r="F23" i="5"/>
  <c r="C27" i="7"/>
  <c r="F25" i="7"/>
  <c r="G25" i="7" s="1"/>
  <c r="G27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rev4175</author>
    <author>rev4440</author>
    <author>rev4279</author>
    <author>rev3569</author>
    <author>REVT221</author>
    <author>K Reaves</author>
    <author>Moss, Brittney (DOR)</author>
  </authors>
  <commentList>
    <comment ref="G22" authorId="0" shapeId="0" xr:uid="{7922336E-0C2F-4D0F-8DEE-CD199A21B3AF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Valueline 12/29/2023 Closing price
</t>
        </r>
      </text>
    </comment>
    <comment ref="H22" authorId="1" shapeId="0" xr:uid="{D182F9D2-32B7-48B6-B823-F501186B2CE0}">
      <text>
        <r>
          <rPr>
            <sz val="9"/>
            <color indexed="81"/>
            <rFont val="Tahoma"/>
            <family val="2"/>
          </rPr>
          <t>4TH QUARTER 10Q COVER PAGE</t>
        </r>
      </text>
    </comment>
    <comment ref="J22" authorId="2" shapeId="0" xr:uid="{72F959FC-CD76-4524-864B-DEA12A7E69EF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 xml:space="preserve">LTD SIDE </t>
        </r>
        <r>
          <rPr>
            <sz val="11"/>
            <color indexed="81"/>
            <rFont val="Tahoma"/>
            <family val="2"/>
          </rPr>
          <t xml:space="preserve">
1.) 6 MONTHS ENDED 11/30/24: 19,433,000,000  10Q PG 4
2.) 12 MONTHS ENDED 5/31/24: 21,135,000,000  10K PG 77
3.) 6 MONTHS ENDED 11/30/23: 20,193,000,000  10Q PG 4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 xml:space="preserve">FORMULA = 1 + ( 2 - 3) = 
</t>
        </r>
        <r>
          <rPr>
            <b/>
            <sz val="11"/>
            <color indexed="81"/>
            <rFont val="Tahoma"/>
            <family val="2"/>
          </rPr>
          <t xml:space="preserve">CURRENT PORTION SIDE </t>
        </r>
        <r>
          <rPr>
            <sz val="11"/>
            <color indexed="81"/>
            <rFont val="Tahoma"/>
            <family val="2"/>
          </rPr>
          <t xml:space="preserve">
1.) 6 MONTHS ENDED 11/30/24: 592,000,000  
2.) 12 MONTHS ENDED 5/31/24: 68,000,000
3.) 6 MONTHS ENDED 11/30/23: 334,000,000
FORMULA = 1 + ( 2 - 3)</t>
        </r>
      </text>
    </comment>
    <comment ref="G23" authorId="0" shapeId="0" xr:uid="{BCEC0C7A-D038-4F4A-970E-C7A766A0DAD0}">
      <text>
        <r>
          <rPr>
            <b/>
            <sz val="9"/>
            <color indexed="81"/>
            <rFont val="Tahoma"/>
            <family val="2"/>
          </rPr>
          <t>rev4175:</t>
        </r>
        <r>
          <rPr>
            <sz val="9"/>
            <color indexed="81"/>
            <rFont val="Tahoma"/>
            <family val="2"/>
          </rPr>
          <t xml:space="preserve">
Valueline 12/29/2023 Closing price
</t>
        </r>
      </text>
    </comment>
    <comment ref="H23" authorId="1" shapeId="0" xr:uid="{2D2F1BD6-691F-4E74-9A1D-ED8A3CE590A9}">
      <text>
        <r>
          <rPr>
            <sz val="12"/>
            <color indexed="81"/>
            <rFont val="Tahoma"/>
            <family val="2"/>
          </rPr>
          <t>Page 67 of PDF, 10-K
Class A common stock plus class B minus Treasury stock</t>
        </r>
      </text>
    </comment>
    <comment ref="I23" authorId="1" shapeId="0" xr:uid="{61DA8053-08B8-40B0-A267-6E56BA02F03E}">
      <text>
        <r>
          <rPr>
            <sz val="9"/>
            <color indexed="81"/>
            <rFont val="Tahoma"/>
            <family val="2"/>
          </rPr>
          <t>Page 94 of PDF, 10-K</t>
        </r>
      </text>
    </comment>
    <comment ref="J23" authorId="1" shapeId="0" xr:uid="{5AC3FB79-4D05-4BE2-A8EE-4C476959A386}">
      <text>
        <r>
          <rPr>
            <sz val="11"/>
            <color indexed="81"/>
            <rFont val="Tahoma"/>
            <family val="2"/>
          </rPr>
          <t>Page 67 of PDF, 10-K
Current Maturities of LTD plus LTD</t>
        </r>
      </text>
    </comment>
    <comment ref="F29" authorId="3" shapeId="0" xr:uid="{CEF678F7-6580-4CF3-AC8E-A803AFF27478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G29" authorId="3" shapeId="0" xr:uid="{1F3A85E6-A544-4129-93B7-5A519FC1C2C4}">
      <text>
        <r>
          <rPr>
            <b/>
            <sz val="11"/>
            <color indexed="81"/>
            <rFont val="Tahoma"/>
            <family val="2"/>
          </rPr>
          <t>rev3569:</t>
        </r>
        <r>
          <rPr>
            <sz val="11"/>
            <color indexed="81"/>
            <rFont val="Tahoma"/>
            <family val="2"/>
          </rPr>
          <t xml:space="preserve">
identify present value in 10K</t>
        </r>
      </text>
    </comment>
    <comment ref="H33" authorId="4" shapeId="0" xr:uid="{EDC594DE-6A07-439E-985B-0290E9ED3E02}">
      <text>
        <r>
          <rPr>
            <sz val="14"/>
            <color indexed="81"/>
            <rFont val="Tahoma"/>
            <family val="2"/>
          </rPr>
          <t>10Q Pg 14 within text 
Carrying value $19.6 billion at 11/30/24  
FV $17.9 billion at 11/30/24</t>
        </r>
      </text>
    </comment>
    <comment ref="H34" authorId="4" shapeId="0" xr:uid="{9125602C-B0B1-4328-A046-60ABBB230DEB}">
      <text>
        <r>
          <rPr>
            <sz val="11"/>
            <color indexed="81"/>
            <rFont val="Tahoma"/>
            <family val="2"/>
          </rPr>
          <t>Fair Value: Page 108 of PDF, 10-K NOTE 9 FAIR VALUE OF DEBT IN TEXT
Carrying Value: Page 104 of PDF, 10-K NOTE 9 TOTAL DEBT LINE</t>
        </r>
      </text>
    </comment>
    <comment ref="F57" authorId="5" shapeId="0" xr:uid="{AE62A510-8B3E-4547-99AD-C40170BFCEDB}">
      <text>
        <r>
          <rPr>
            <sz val="11"/>
            <color indexed="81"/>
            <rFont val="Tahoma"/>
            <family val="2"/>
          </rPr>
          <t>Page 58 
 of PDF, 10-K
Operating Lease assets</t>
        </r>
      </text>
    </comment>
    <comment ref="G57" authorId="5" shapeId="0" xr:uid="{140FBC9F-CBB3-4B21-AAB3-BB1E9D63FD37}">
      <text>
        <r>
          <rPr>
            <sz val="9"/>
            <color indexed="81"/>
            <rFont val="Tahoma"/>
            <family val="2"/>
          </rPr>
          <t>Page 58 of PDF, 10-K
Current portion of lease obligations plus long term lease obligations</t>
        </r>
      </text>
    </comment>
    <comment ref="H57" authorId="5" shapeId="0" xr:uid="{3B252108-C0DD-4AF8-9DAE-6FA717207819}">
      <text>
        <r>
          <rPr>
            <sz val="9"/>
            <color indexed="81"/>
            <rFont val="Tahoma"/>
            <family val="2"/>
          </rPr>
          <t>Page 58 of PDF, 10-K
Rent</t>
        </r>
      </text>
    </comment>
    <comment ref="F58" authorId="2" shapeId="0" xr:uid="{516B42ED-A78D-406F-8C31-E247EA62F686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1.) 6 MONTHS ENDED 11/30/24: 16,821,000,000   10Q PG 3
2.) 12 MONTHS ENDED 5/31/24: 17,115,000,000   10K PG 76
3.) 6 MONTHS ENDED 11/30/23: 17,243,000,000  10Q PG 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FORMULA = 1 + ( 2 - 3)</t>
        </r>
      </text>
    </comment>
    <comment ref="G58" authorId="5" shapeId="0" xr:uid="{D9C4A205-8AB5-4E41-932D-27EEF00655FA}">
      <text>
        <r>
          <rPr>
            <sz val="11"/>
            <color indexed="81"/>
            <rFont val="Tahoma"/>
            <family val="2"/>
          </rPr>
          <t>Page 18 of PDF, 10-Q
Present value of lease liability totoal operating leases colum</t>
        </r>
        <r>
          <rPr>
            <sz val="9"/>
            <color indexed="81"/>
            <rFont val="Tahoma"/>
            <family val="2"/>
          </rPr>
          <t>n</t>
        </r>
      </text>
    </comment>
    <comment ref="H58" authorId="2" shapeId="0" xr:uid="{85BC200D-4A19-4BF1-A1E6-642A9C3A3A27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1.) 6 MONTHS ENDED 11/30/24: 2,329,000,000   10Q PG 5 RENTALS AND LANDING FEES
2.) 12 MONTHS ENDED 5/31/24: 4,571,000,000   10K PG 76
3.) 6 MONTHS ENDED 11/30/23: 2,289,000,000  10Q PG 5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FORMULA = 1 + ( 2 - 3)</t>
        </r>
      </text>
    </comment>
    <comment ref="F59" authorId="5" shapeId="0" xr:uid="{85C4A57B-2010-4A3B-A7C7-458971F97DC6}">
      <text>
        <r>
          <rPr>
            <sz val="11"/>
            <color indexed="81"/>
            <rFont val="Tahoma"/>
            <family val="2"/>
          </rPr>
          <t>10K PG 112 NOTE 11 LEASES</t>
        </r>
      </text>
    </comment>
    <comment ref="G59" authorId="5" shapeId="0" xr:uid="{88935EC6-0548-4500-BE75-7CD870DBBBE4}">
      <text>
        <r>
          <rPr>
            <sz val="11"/>
            <color indexed="81"/>
            <rFont val="Tahoma"/>
            <family val="2"/>
          </rPr>
          <t>10K PG 112 NOTE 11 LEASES</t>
        </r>
      </text>
    </comment>
    <comment ref="H59" authorId="6" shapeId="0" xr:uid="{4CE2911F-5447-42B7-A0DF-7E5FC46C6BBE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10K PG 111 NOTE 11 LEASES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rev4279</author>
    <author>Moss, Brittney (DOR)</author>
  </authors>
  <commentList>
    <comment ref="E22" authorId="0" shapeId="0" xr:uid="{9CB02FE4-98C1-4A5A-92F1-D5D4F55B04C1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1.) 6 MONTHS ENDED 11/30/24: 26,460,000,000
2.) 12 MONTHS ENDED 5/31/24: 27,582,000,000
3.) 6 MONTHS ENDED 11/30/23: 26,766,000,000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FORMULA = 1 + ( 2 - 3)</t>
        </r>
      </text>
    </comment>
    <comment ref="E23" authorId="1" shapeId="0" xr:uid="{EBE49192-21CB-4230-894C-78B5EDBB2261}">
      <text>
        <r>
          <rPr>
            <b/>
            <sz val="9"/>
            <color indexed="81"/>
            <rFont val="Tahoma"/>
            <family val="2"/>
          </rPr>
          <t>Moss, Brittney (DOR):</t>
        </r>
        <r>
          <rPr>
            <sz val="9"/>
            <color indexed="81"/>
            <rFont val="Tahoma"/>
            <family val="2"/>
          </rPr>
          <t xml:space="preserve">
10K PG 67 
TAKING OUT NONCONTROLLING INTEREST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rev4279</author>
  </authors>
  <commentList>
    <comment ref="D20" authorId="0" shapeId="0" xr:uid="{54A24C91-C59A-48C9-9A1F-A3E5604FEC40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1.) 6 MONTHS ENDED 11/30/24: 85,658,000,000
2.) 12 MONTHS ENDED 5/31/24:84,391,000,000
3.) 6 MONTHS ENDED 11/30/23: 83,281,000,000
FORMULA = 1 + ( 2 - 3)</t>
        </r>
      </text>
    </comment>
    <comment ref="E20" authorId="0" shapeId="0" xr:uid="{1F535BCB-0EE5-4460-B305-E8F6A4E480D4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PULLED FROM LAST YEAR'S CAP RATE STUDY</t>
        </r>
      </text>
    </comment>
    <comment ref="G20" authorId="0" shapeId="0" xr:uid="{FE3306FD-92BE-41CD-930C-07888E23B4DA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1.) 6 MONTHS ENDED 11/30/24: 2,141,000,000
2.) 12 MONTHS ENDED 5/31/24:4,287,000,000
3.) 6 MONTHS ENDED 11/30/23:2,111,000,000
FORMULA = 1 + ( 2 - 3)</t>
        </r>
      </text>
    </comment>
    <comment ref="D21" authorId="0" shapeId="0" xr:uid="{00BC8E62-C5E0-4E5C-BDE2-1A87ADE7899D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83 NOTE 4</t>
        </r>
      </text>
    </comment>
    <comment ref="E21" authorId="0" shapeId="0" xr:uid="{E58FC50E-868E-4E84-A0DA-879C4C478EB9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79</t>
        </r>
      </text>
    </comment>
    <comment ref="G21" authorId="0" shapeId="0" xr:uid="{F91809F9-D502-4FA7-A310-67D74CEA91D5}">
      <text>
        <r>
          <rPr>
            <b/>
            <sz val="9"/>
            <color indexed="81"/>
            <rFont val="Tahoma"/>
            <family val="2"/>
          </rPr>
          <t>rev4279:</t>
        </r>
        <r>
          <rPr>
            <sz val="9"/>
            <color indexed="81"/>
            <rFont val="Tahoma"/>
            <family val="2"/>
          </rPr>
          <t xml:space="preserve">
10K PG 68</t>
        </r>
      </text>
    </comment>
  </commentList>
</comments>
</file>

<file path=xl/sharedStrings.xml><?xml version="1.0" encoding="utf-8"?>
<sst xmlns="http://schemas.openxmlformats.org/spreadsheetml/2006/main" count="1465" uniqueCount="484">
  <si>
    <t xml:space="preserve"> </t>
  </si>
  <si>
    <t>KENTUCKY DEPARTMENT OF REVENUE</t>
  </si>
  <si>
    <t>Company</t>
  </si>
  <si>
    <t>Ticker</t>
  </si>
  <si>
    <t>Symbol</t>
  </si>
  <si>
    <t xml:space="preserve">Industry </t>
  </si>
  <si>
    <t>Group</t>
  </si>
  <si>
    <t>VL</t>
  </si>
  <si>
    <t>10K / SEC</t>
  </si>
  <si>
    <t>DIVISION OF STATE VALUATION, PUBLIC SERVICE BRANCH</t>
  </si>
  <si>
    <t>Stock Price</t>
  </si>
  <si>
    <t>Preferred Stock</t>
  </si>
  <si>
    <t>Common Stock</t>
  </si>
  <si>
    <t>4th Qtr</t>
  </si>
  <si>
    <t>FMV</t>
  </si>
  <si>
    <t>Calculated</t>
  </si>
  <si>
    <t>Total Market Value</t>
  </si>
  <si>
    <t>% Common Stock</t>
  </si>
  <si>
    <t>Median</t>
  </si>
  <si>
    <t>Average</t>
  </si>
  <si>
    <t xml:space="preserve">Financial </t>
  </si>
  <si>
    <t xml:space="preserve">Actual </t>
  </si>
  <si>
    <t>Strength</t>
  </si>
  <si>
    <t>Tax Rate</t>
  </si>
  <si>
    <t>A</t>
  </si>
  <si>
    <t>B+</t>
  </si>
  <si>
    <t>Computed</t>
  </si>
  <si>
    <t>Price</t>
  </si>
  <si>
    <t>Multiple</t>
  </si>
  <si>
    <t>Inverse</t>
  </si>
  <si>
    <t>KENTUCKY</t>
  </si>
  <si>
    <t xml:space="preserve">Source of </t>
  </si>
  <si>
    <t>Capital</t>
  </si>
  <si>
    <t>Cost of Capital</t>
  </si>
  <si>
    <t>Weighted</t>
  </si>
  <si>
    <t>Structure</t>
  </si>
  <si>
    <t>Rate</t>
  </si>
  <si>
    <t>After Tax</t>
  </si>
  <si>
    <t>Cost</t>
  </si>
  <si>
    <t>EQUITY</t>
  </si>
  <si>
    <t>-</t>
  </si>
  <si>
    <t>DEBT</t>
  </si>
  <si>
    <t>TOTAL</t>
  </si>
  <si>
    <t>A+</t>
  </si>
  <si>
    <t xml:space="preserve">  </t>
  </si>
  <si>
    <t>High</t>
  </si>
  <si>
    <t>Low</t>
  </si>
  <si>
    <t>Mergent Bond</t>
  </si>
  <si>
    <t>Rating</t>
  </si>
  <si>
    <t>Debt Rate</t>
  </si>
  <si>
    <t>S &amp; P</t>
  </si>
  <si>
    <t>% LT Debt &amp; Pref Stock</t>
  </si>
  <si>
    <t>Baa1</t>
  </si>
  <si>
    <t>Baa2</t>
  </si>
  <si>
    <t>The capital structure of this industry is a representative or typical capital structure of the group, not that of the present owner.  The capital structure selected reflects the most likely arrangement of a prospective buyer.</t>
  </si>
  <si>
    <t>A1</t>
  </si>
  <si>
    <t>Ba1</t>
  </si>
  <si>
    <t>A3</t>
  </si>
  <si>
    <t>Baa3</t>
  </si>
  <si>
    <t>A-</t>
  </si>
  <si>
    <t>Book Value</t>
  </si>
  <si>
    <t>Shares Issued less Treasury</t>
  </si>
  <si>
    <t>DIRECT CAPITALIZATION RATE CONCLUSION</t>
  </si>
  <si>
    <t>YIELD CAPITALIZATION RATE CONCLUSION</t>
  </si>
  <si>
    <t>GCF After Tax</t>
  </si>
  <si>
    <t>Capitalization Rate</t>
  </si>
  <si>
    <t>Capitalization</t>
  </si>
  <si>
    <t>Marginal</t>
  </si>
  <si>
    <t>CAP RATE</t>
  </si>
  <si>
    <t>NOI After Tax  (NOPAT)</t>
  </si>
  <si>
    <t>WACC</t>
  </si>
  <si>
    <t>Notes:</t>
  </si>
  <si>
    <t>Shares Outstanding *</t>
  </si>
  <si>
    <t>Selected</t>
  </si>
  <si>
    <t>CAPITAL STRUCTURE</t>
  </si>
  <si>
    <t>Maintenance Capital Expenditures</t>
  </si>
  <si>
    <t>Estimate using Guideline Companies</t>
  </si>
  <si>
    <t>Inflation</t>
  </si>
  <si>
    <t>Rate %</t>
  </si>
  <si>
    <t>CPI</t>
  </si>
  <si>
    <t>PP&amp;E Gross</t>
  </si>
  <si>
    <t>PP&amp;E</t>
  </si>
  <si>
    <t>Previous Year</t>
  </si>
  <si>
    <t>Current Year</t>
  </si>
  <si>
    <t>Depreciation</t>
  </si>
  <si>
    <t>Expense</t>
  </si>
  <si>
    <t xml:space="preserve">Average Life of </t>
  </si>
  <si>
    <t>Assets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</si>
  <si>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</si>
  <si>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</si>
  <si>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</si>
  <si>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</si>
  <si>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</si>
  <si>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</si>
  <si>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</si>
  <si>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</si>
  <si>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</si>
  <si>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</si>
  <si>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F/G</t>
  </si>
  <si>
    <t>C*H</t>
  </si>
  <si>
    <t>1/(1=C)^H</t>
  </si>
  <si>
    <t>Replacement</t>
  </si>
  <si>
    <t xml:space="preserve">Cost </t>
  </si>
  <si>
    <t>RC as % of</t>
  </si>
  <si>
    <t>K/G</t>
  </si>
  <si>
    <t>L</t>
  </si>
  <si>
    <t>(D+E)/2</t>
  </si>
  <si>
    <t>(G*I) / (1-J)</t>
  </si>
  <si>
    <t>*</t>
  </si>
  <si>
    <t>Gross Cash Flow</t>
  </si>
  <si>
    <t>NOPAT</t>
  </si>
  <si>
    <t>VL Projected NOI</t>
  </si>
  <si>
    <t xml:space="preserve">Year End </t>
  </si>
  <si>
    <t>VL Historic</t>
  </si>
  <si>
    <t>VL Projected</t>
  </si>
  <si>
    <t>Current</t>
  </si>
  <si>
    <t>Yield</t>
  </si>
  <si>
    <t>BETA SELECTION for CAPM</t>
  </si>
  <si>
    <t>SELECTED AVERAGE &gt;</t>
  </si>
  <si>
    <t>Source</t>
  </si>
  <si>
    <t>GDP</t>
  </si>
  <si>
    <t>Nominal</t>
  </si>
  <si>
    <t>Growth</t>
  </si>
  <si>
    <t>Book Ratio</t>
  </si>
  <si>
    <t>Numeric</t>
  </si>
  <si>
    <t>Caa3</t>
  </si>
  <si>
    <t>Caa2</t>
  </si>
  <si>
    <t>Caa1</t>
  </si>
  <si>
    <t>B3</t>
  </si>
  <si>
    <t>B2</t>
  </si>
  <si>
    <t>B1</t>
  </si>
  <si>
    <t>Ba3</t>
  </si>
  <si>
    <t>Ba2</t>
  </si>
  <si>
    <t>A2</t>
  </si>
  <si>
    <t>Aa3</t>
  </si>
  <si>
    <t>Aa2</t>
  </si>
  <si>
    <t>Aa1</t>
  </si>
  <si>
    <t>Bond Rating Scale</t>
  </si>
  <si>
    <t>Levered Beta</t>
  </si>
  <si>
    <t>https://www.philadelphiafed.org/research-and-data/real-time-center/livingston-survey</t>
  </si>
  <si>
    <t>https://www.philadelphiafed.org/surveys-and-data/real-time-data-research/survey-of-professional-forecasters</t>
  </si>
  <si>
    <t>Preferred Stock ***</t>
  </si>
  <si>
    <t>Long Term Debt **</t>
  </si>
  <si>
    <t xml:space="preserve">** Debt includes  LT Debt , Current portion of LT Debt, and Finance leases from 10K </t>
  </si>
  <si>
    <t>*** Market value of preferred stock assumed to equal book value</t>
  </si>
  <si>
    <t>* Outstanding stock shares are generally already net of Treasury stock shares</t>
  </si>
  <si>
    <t>MODEL</t>
  </si>
  <si>
    <t>EQUITY RATES for YIELD APPROACH</t>
  </si>
  <si>
    <t>CAPM - The CFO Survey</t>
  </si>
  <si>
    <t>CAPM - Fernandez, Banuls, &amp; Acin</t>
  </si>
  <si>
    <t>CAPM - Ex Post (BVR Historical, Arithmeic)</t>
  </si>
  <si>
    <t>CAPM - Ex Post (BVR Historical, Geometric)</t>
  </si>
  <si>
    <t>Empirical CAPM - The CFO Survey</t>
  </si>
  <si>
    <t>Empirical CAPM - Fernandez, Banuls, &amp; Acin</t>
  </si>
  <si>
    <t>Empirical CAPM - Ex Post (BVR Historical, Arithmeic)</t>
  </si>
  <si>
    <t>Empirical CAPM - Ex Post (BVR Historical, Geometric)</t>
  </si>
  <si>
    <t>Stock</t>
  </si>
  <si>
    <t>Dividends</t>
  </si>
  <si>
    <t>Per Share</t>
  </si>
  <si>
    <t>Dividend</t>
  </si>
  <si>
    <t>Historic</t>
  </si>
  <si>
    <t>Dividend Data</t>
  </si>
  <si>
    <t>Earnings</t>
  </si>
  <si>
    <t>Equity</t>
  </si>
  <si>
    <t>Equity Rate</t>
  </si>
  <si>
    <t>(F+G)</t>
  </si>
  <si>
    <t>(F+H)</t>
  </si>
  <si>
    <t>Dividend Yield</t>
  </si>
  <si>
    <t xml:space="preserve">Projected Short Term </t>
  </si>
  <si>
    <t>DGM - Earnings Growth Rate &gt;</t>
  </si>
  <si>
    <t>DGM - Dividend Growth Rate &gt;</t>
  </si>
  <si>
    <t>Yield Equity Rate - DGM (Two-Stage)</t>
  </si>
  <si>
    <t>Stable</t>
  </si>
  <si>
    <t>Growth Rate</t>
  </si>
  <si>
    <t>Cost of</t>
  </si>
  <si>
    <t>g</t>
  </si>
  <si>
    <t>DY</t>
  </si>
  <si>
    <t>G1</t>
  </si>
  <si>
    <t>(G1 + g)/2</t>
  </si>
  <si>
    <t>KE = (DY X (1 + .5(G))) + .67 (G1) + .33(g)</t>
  </si>
  <si>
    <t>Kentucky</t>
  </si>
  <si>
    <t>Common Equity</t>
  </si>
  <si>
    <t>.</t>
  </si>
  <si>
    <t xml:space="preserve">Obligations rated Ca are highly speculative and are likely in, or very near, default, with some prospect of recovery in principal and interest. </t>
  </si>
  <si>
    <t xml:space="preserve">Obligations rated C are the lowest-rated class of bonds and are typical­ly in default, with little prospect for recovery of principal and interest. </t>
  </si>
  <si>
    <t xml:space="preserve">Obligations rated Caa are judged to be of poor standing and are subject to very high credit risk . </t>
  </si>
  <si>
    <t>Obligations rated Aaa are judged to be of the highest quality, with minimal risk.</t>
  </si>
  <si>
    <t xml:space="preserve">Obligations rated A are considered upper-medium-grade and are sub­ject to low credit risk. </t>
  </si>
  <si>
    <t xml:space="preserve">Obligations rated B are considered speculative and are subject to high credit risk. </t>
  </si>
  <si>
    <t xml:space="preserve">Obligations rated Ba are judged to have speculative elements and are subject to substantial credit risk. </t>
  </si>
  <si>
    <t xml:space="preserve">Obligations rated Baa are subject to moderate credit risk. They are considered medium-grade and as such may possess speculative characteristics. </t>
  </si>
  <si>
    <t>D1 = Expected Dividends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</si>
  <si>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</t>
    </r>
    <r>
      <rPr>
        <b/>
        <sz val="10"/>
        <color theme="1"/>
        <rFont val="Microsoft GothicNeo"/>
        <family val="2"/>
        <charset val="129"/>
      </rPr>
      <t>1</t>
    </r>
    <r>
      <rPr>
        <b/>
        <sz val="16"/>
        <color theme="1"/>
        <rFont val="Microsoft GothicNeo"/>
        <family val="2"/>
        <charset val="129"/>
      </rPr>
      <t xml:space="preserve"> / P</t>
    </r>
    <r>
      <rPr>
        <b/>
        <sz val="10"/>
        <color theme="1"/>
        <rFont val="Microsoft GothicNeo"/>
        <family val="2"/>
        <charset val="129"/>
      </rPr>
      <t>o</t>
    </r>
    <r>
      <rPr>
        <b/>
        <sz val="16"/>
        <color theme="1"/>
        <rFont val="Microsoft GothicNeo"/>
        <family val="2"/>
        <charset val="129"/>
      </rPr>
      <t>) + G</t>
    </r>
  </si>
  <si>
    <t>KE = Cost of Equity</t>
  </si>
  <si>
    <t>Po   = Current Price</t>
  </si>
  <si>
    <r>
      <t>Price (P</t>
    </r>
    <r>
      <rPr>
        <b/>
        <sz val="9"/>
        <color theme="1"/>
        <rFont val="Microsoft GothicNeo"/>
        <family val="2"/>
        <charset val="129"/>
      </rPr>
      <t>0</t>
    </r>
    <r>
      <rPr>
        <b/>
        <sz val="11"/>
        <color theme="1"/>
        <rFont val="Microsoft GothicNeo"/>
        <family val="2"/>
        <charset val="129"/>
      </rPr>
      <t>)</t>
    </r>
  </si>
  <si>
    <t xml:space="preserve">Dividend Growth Rate </t>
  </si>
  <si>
    <t xml:space="preserve">Earnings Per Share Growth Rate </t>
  </si>
  <si>
    <r>
      <t>Long Term Debt</t>
    </r>
    <r>
      <rPr>
        <b/>
        <sz val="10"/>
        <color theme="1"/>
        <rFont val="Microsoft GothicNeo"/>
        <family val="2"/>
        <charset val="129"/>
      </rPr>
      <t xml:space="preserve"> </t>
    </r>
  </si>
  <si>
    <t>CAPITAL ASSET PRICING MODEL (CAPM)</t>
  </si>
  <si>
    <t>Selected &gt;</t>
  </si>
  <si>
    <t>Inflation and Gross Domestic Product (GDP) Data</t>
  </si>
  <si>
    <t>SELECTED &gt;</t>
  </si>
  <si>
    <t>Equity Risk Premium (ERP)</t>
  </si>
  <si>
    <t>Indicated Equity Rate</t>
  </si>
  <si>
    <t>Industry Risk Premium</t>
  </si>
  <si>
    <t>Weighted Industry Risk Premium (75%)</t>
  </si>
  <si>
    <t>Weighted Equity Risk Premium (25%)</t>
  </si>
  <si>
    <t xml:space="preserve">The CFO Survey  (4) </t>
  </si>
  <si>
    <t>BVR - Historical, Arithmetic Mean  (6)</t>
  </si>
  <si>
    <t>BVR - Historical, Geometric Mean  (7)</t>
  </si>
  <si>
    <t>Empirical CAPM Models</t>
  </si>
  <si>
    <t>CAPM Models</t>
  </si>
  <si>
    <t>KE = Rf + (B  X  ERP X  75%) = (ERP  X  25%)</t>
  </si>
  <si>
    <t>KE = Rf + (B  X  ERP)</t>
  </si>
  <si>
    <t>Industry Beta (B)</t>
  </si>
  <si>
    <t>Value Line Earnings</t>
  </si>
  <si>
    <t>Value Line Dividends</t>
  </si>
  <si>
    <t>Yahoo Finance</t>
  </si>
  <si>
    <t>Return on</t>
  </si>
  <si>
    <t>Gross Revenue</t>
  </si>
  <si>
    <t>Multiplier</t>
  </si>
  <si>
    <t>NOPAT CASH FLOW MULTIPLE &amp; EQUITY RATE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</si>
  <si>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</si>
  <si>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Two-Stage DGM Rate &gt;</t>
  </si>
  <si>
    <t>DGM - Single Stage - Earnings Growth</t>
  </si>
  <si>
    <t>DGM - Single Stage - Dividend Growth</t>
  </si>
  <si>
    <t>DGM - Two Stage - Dividend Growth</t>
  </si>
  <si>
    <r>
      <t xml:space="preserve">NOPAT CASH FLOW MULTIPLE &amp; EQUITY RATE </t>
    </r>
    <r>
      <rPr>
        <b/>
        <sz val="12"/>
        <color theme="1"/>
        <rFont val="Microsoft GothicNeo"/>
        <family val="2"/>
        <charset val="129"/>
      </rPr>
      <t>(LT 25-27 Yr Projected VL)</t>
    </r>
  </si>
  <si>
    <t>VL LT Projected NOI</t>
  </si>
  <si>
    <t>Indicated Rate of Debt &gt;</t>
  </si>
  <si>
    <t>Year End</t>
  </si>
  <si>
    <t>&amp; Finance Leases</t>
  </si>
  <si>
    <t>10K Income Statement</t>
  </si>
  <si>
    <t>10K Balance Sheet</t>
  </si>
  <si>
    <t>Indicated Rate of Equity Selected &gt;</t>
  </si>
  <si>
    <t>SHORT-TERM GROWTH RATES (5 years)</t>
  </si>
  <si>
    <t>GROWTH &amp; INFLATION RATES</t>
  </si>
  <si>
    <t>Real LT Growth</t>
  </si>
  <si>
    <t>Federal Reserve Statistical Release  10 Yr Inflation protected Treasury securities (1)</t>
  </si>
  <si>
    <t xml:space="preserve">Federal Reserve Statistical Release  20 Yr Inflation protected Treasury securities (1) </t>
  </si>
  <si>
    <t xml:space="preserve">Federal Reserve Statistical Release  30 Yr Inflation protected Treasury securities (1) </t>
  </si>
  <si>
    <t>Federal Reserve Bank of Philadelphia / Livingston Survey Mean  (2)</t>
  </si>
  <si>
    <t>“Since no firm can grow forever at a rate higher than the growth rate of the economy in which it operates, the constant growth rate cannot be greater</t>
  </si>
  <si>
    <t>http://pages.stern.nyu.edu/~adamodar/New_Home_Page/valquestions/stablegrowthrate.htm</t>
  </si>
  <si>
    <t>*Cornell, B. &amp; Gerger, R. (2017) Estimating Terminal Values with Inflation : The Inputs Matter - It is Not a Formulaic Exercise.  Business Valuation Review, Vol.36, Number 4, 117-123.</t>
  </si>
  <si>
    <t>C1  C2  C3</t>
  </si>
  <si>
    <t>1 Yr Projected</t>
  </si>
  <si>
    <t>3-5 Yr Projected</t>
  </si>
  <si>
    <t>Short Term</t>
  </si>
  <si>
    <t>(1)</t>
  </si>
  <si>
    <t>(1)    4 Year compound annual growth rate (CAGR)  - 3 periods</t>
  </si>
  <si>
    <t>Earnings Data</t>
  </si>
  <si>
    <r>
      <t xml:space="preserve">KY DOR                    Earnings Growth Rate                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</si>
  <si>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r>
      <t xml:space="preserve">KY DOR                Dividends Growth Rate </t>
    </r>
    <r>
      <rPr>
        <b/>
        <sz val="9"/>
        <color theme="1"/>
        <rFont val="Microsoft GothicNeo"/>
        <family val="2"/>
        <charset val="129"/>
      </rPr>
      <t xml:space="preserve"> (Median / Average)</t>
    </r>
  </si>
  <si>
    <t>YIELD EQUITY RATE</t>
  </si>
  <si>
    <t>g = b X ROE</t>
  </si>
  <si>
    <t>g = LT growth rate</t>
  </si>
  <si>
    <t>b = reinvestment rate</t>
  </si>
  <si>
    <t>ROE = Return on equity (or return on investment)</t>
  </si>
  <si>
    <t>b = g  / ROE</t>
  </si>
  <si>
    <t>The plowback ratio is multiplied by Net Cash Flow to estimate the amount of additional capital expenditures needed to achieve projected results.</t>
  </si>
  <si>
    <t>Reinvestment Rate =</t>
  </si>
  <si>
    <t>EBIT (1-Tax Rate)</t>
  </si>
  <si>
    <t>Capital Expenditures - Depreciation + Change in Working Capital</t>
  </si>
  <si>
    <t>Aswath Damodaran's model to determine the Reinvesment Rate &gt;</t>
  </si>
  <si>
    <t>It is assumed that the ROE is a fixed (unchanging) rate.</t>
  </si>
  <si>
    <t>Maintenance Capital Expenditures and Change in Working Capital</t>
  </si>
  <si>
    <t>Operating Leases ****</t>
  </si>
  <si>
    <t>Market Value</t>
  </si>
  <si>
    <t>10K</t>
  </si>
  <si>
    <t>Market to</t>
  </si>
  <si>
    <t>Long Term Debt</t>
  </si>
  <si>
    <t xml:space="preserve">Capital </t>
  </si>
  <si>
    <t>Market</t>
  </si>
  <si>
    <t>to Book</t>
  </si>
  <si>
    <t>Composite</t>
  </si>
  <si>
    <t>Total</t>
  </si>
  <si>
    <t>AVERAGE</t>
  </si>
  <si>
    <t>Market to Book Ratios - Obsolescence Measurement</t>
  </si>
  <si>
    <t>Common Total Equity</t>
  </si>
  <si>
    <t>FMV / PV</t>
  </si>
  <si>
    <t>GCF CASH FLOW MULTIPLE &amp; EQUITY RATE</t>
  </si>
  <si>
    <r>
      <t xml:space="preserve">GCF CASH FLOW MULTIPLE &amp; EQUITY RATE </t>
    </r>
    <r>
      <rPr>
        <b/>
        <sz val="12"/>
        <color theme="1"/>
        <rFont val="Microsoft GothicNeo"/>
        <family val="2"/>
        <charset val="129"/>
      </rPr>
      <t>(1 Yr Projected VL)</t>
    </r>
  </si>
  <si>
    <t>CFRA                                    S&amp;P Net Advantage</t>
  </si>
  <si>
    <t>Zacks Investment Research</t>
  </si>
  <si>
    <t>Companies excluded from the study &gt;</t>
  </si>
  <si>
    <r>
      <t>K</t>
    </r>
    <r>
      <rPr>
        <b/>
        <sz val="10"/>
        <color theme="1"/>
        <rFont val="Microsoft GothicNeo"/>
        <family val="2"/>
        <charset val="129"/>
      </rPr>
      <t>E</t>
    </r>
    <r>
      <rPr>
        <b/>
        <sz val="16"/>
        <color theme="1"/>
        <rFont val="Microsoft GothicNeo"/>
        <family val="2"/>
        <charset val="129"/>
      </rPr>
      <t xml:space="preserve"> = (DY  X  (1+ .5(G)))  + .67(G1)  +  .33(g)</t>
    </r>
  </si>
  <si>
    <t>G   = Average growth rate</t>
  </si>
  <si>
    <t>G1 = Short term growth estimate</t>
  </si>
  <si>
    <t>DY = Dividend Yield     See ValueLine</t>
  </si>
  <si>
    <t>g   = Stable Growth - Nominal growth rate</t>
  </si>
  <si>
    <t>AA+</t>
  </si>
  <si>
    <t>AAA</t>
  </si>
  <si>
    <t>AA</t>
  </si>
  <si>
    <t>Obligations rated Aa are judged to be of high quality, with minimal risk.</t>
  </si>
  <si>
    <t>AA-</t>
  </si>
  <si>
    <t>BBB+</t>
  </si>
  <si>
    <t>BBB</t>
  </si>
  <si>
    <t>BBB-</t>
  </si>
  <si>
    <t>BB+</t>
  </si>
  <si>
    <t>BB</t>
  </si>
  <si>
    <t>BB-</t>
  </si>
  <si>
    <t>B-</t>
  </si>
  <si>
    <t>CCC+</t>
  </si>
  <si>
    <t>CCC</t>
  </si>
  <si>
    <t>CCC-</t>
  </si>
  <si>
    <t>CC</t>
  </si>
  <si>
    <t>Scale</t>
  </si>
  <si>
    <t>Retained to</t>
  </si>
  <si>
    <t>Shareholders Equity</t>
  </si>
  <si>
    <t>Retained to Common Equity -- Net profit less all common and preferred dividends divided by common equity including intangible assets, expressed as a percentage.  Also known as the plowback ratio.</t>
  </si>
  <si>
    <t>Return on Shareholders Equity -- Annual net profit divided by year-end shareholders equity, expressed as a percentage.</t>
  </si>
  <si>
    <t>Ca1</t>
  </si>
  <si>
    <t>Ca2</t>
  </si>
  <si>
    <t>Ca3</t>
  </si>
  <si>
    <t>CC+</t>
  </si>
  <si>
    <t>CC-</t>
  </si>
  <si>
    <t>AAA-</t>
  </si>
  <si>
    <t>AAA+</t>
  </si>
  <si>
    <t>Aaa1</t>
  </si>
  <si>
    <t>Aaa2</t>
  </si>
  <si>
    <t>Aaa3</t>
  </si>
  <si>
    <t>Share</t>
  </si>
  <si>
    <t>Gross Revenues</t>
  </si>
  <si>
    <t>NOPAT Earnings</t>
  </si>
  <si>
    <t>The purpose of this ratio is to test whether the market price is worth more (or less) than the cost of the assets.</t>
  </si>
  <si>
    <t>If the result is greater than one(1), it indicates the market value exceeds book value and can often be used as a sign of competent management.</t>
  </si>
  <si>
    <t>The higher the return on revenue the higher the price to revenue will be.</t>
  </si>
  <si>
    <t>Cash flow is typically defined to be net income plus depreciation and amortization.</t>
  </si>
  <si>
    <t xml:space="preserve">This measure is considered relevant for companies with high non-cash charges reflected in the income statement.  Non-cash charges include depreciation &amp; amortization, goodwill impairments, asset write downs, </t>
  </si>
  <si>
    <t>stock based compensation, and deferred income taxes and investment tax credits.</t>
  </si>
  <si>
    <t>P/E Ratio - Long Term Projection NOPAT</t>
  </si>
  <si>
    <t>CS+LTD +PS + OL</t>
  </si>
  <si>
    <t>&amp; Op Leases</t>
  </si>
  <si>
    <t>Earnings Growth = DY + EG</t>
  </si>
  <si>
    <t>Dividend Growth = DY + DG</t>
  </si>
  <si>
    <t>EG = Earnings Growth</t>
  </si>
  <si>
    <t>DG = Dividend Growth</t>
  </si>
  <si>
    <t>DY = Dividend Yield</t>
  </si>
  <si>
    <t>G = Projected Growth (Earnings Per Share 5 Yr Growth Rate)</t>
  </si>
  <si>
    <t>G = Projected Growth (Div. 5 Yr Growth Rate)</t>
  </si>
  <si>
    <t>General Partner Units</t>
  </si>
  <si>
    <t>Gross Book Value Equity</t>
  </si>
  <si>
    <t>GROSS REVENUE &amp; GROSS BOOK (EQUITY) MULTIPLES</t>
  </si>
  <si>
    <t>Multiple *</t>
  </si>
  <si>
    <t>* This multiple is applicable to service type companies, or those with few assets.  These companies sell at prices related to their revenues.</t>
  </si>
  <si>
    <t>** The book value, or common equity, per share is total owners' equity minus preferred stock divided by the number of common shares outstanding.</t>
  </si>
  <si>
    <t xml:space="preserve">Property, Plant &amp; Equipment includes CWIP, but should exclude intangibles and the associated amortization.  </t>
  </si>
  <si>
    <t>Common Total Equity excludes 'noncontrolling interests' equity value.</t>
  </si>
  <si>
    <t xml:space="preserve">http://www.federalreserve.gov/Releases/H15/Current/ </t>
  </si>
  <si>
    <t>Companies added to the study &gt;</t>
  </si>
  <si>
    <t>Per Share **</t>
  </si>
  <si>
    <t>Air Trans</t>
  </si>
  <si>
    <t>Atlas Air</t>
  </si>
  <si>
    <t xml:space="preserve">FedEx Corp </t>
  </si>
  <si>
    <t>FDX</t>
  </si>
  <si>
    <t xml:space="preserve">United Parcel Service </t>
  </si>
  <si>
    <t>UPS</t>
  </si>
  <si>
    <t>Any difference between the lease liability value and lease asset value is prepayments, lease incentives, and/or other direct costs.</t>
  </si>
  <si>
    <t>Maintenance, real estate taxes,insurance and other operating expenses associated with the leases are excluded from the ROU measurement.</t>
  </si>
  <si>
    <t>Op Lease Expense</t>
  </si>
  <si>
    <t>ROU Values Assets</t>
  </si>
  <si>
    <t>ROU Values Liab.</t>
  </si>
  <si>
    <t>Air Freight Carriers</t>
  </si>
  <si>
    <t>na</t>
  </si>
  <si>
    <t>Projected 1 Yr</t>
  </si>
  <si>
    <t>Earnings Per Share Growth Rate</t>
  </si>
  <si>
    <t xml:space="preserve">Risk Free Rate (Rf) </t>
  </si>
  <si>
    <t>Yield Equity Rate - DGM (Dividend Growth) &amp; DGM (Earnings Growth)  -- Gordon Growth</t>
  </si>
  <si>
    <t>CAPM - Ex Ante, Three Stage - V1</t>
  </si>
  <si>
    <t>CAPM - Ex Ante, Three Stage - V2</t>
  </si>
  <si>
    <t>Empirical CAPM - Ex Ante, Three Stage - V1</t>
  </si>
  <si>
    <t>Empirical CAPM - Ex Ante, Three Stage - V2</t>
  </si>
  <si>
    <t>Mean</t>
  </si>
  <si>
    <t>A market to book ratio over one would be an indication of no obsolescence.</t>
  </si>
  <si>
    <t xml:space="preserve">S&amp;P Rating </t>
  </si>
  <si>
    <t>http://pages.stern.nyu.edu/~adamodar/New_Home_Page/datacurrent.html</t>
  </si>
  <si>
    <t>https://www.richmondfed.org/research/national_economy/cfo_survey</t>
  </si>
  <si>
    <t>https://www.bvresources.com/products/faqs/cost-of-capital-professional</t>
  </si>
  <si>
    <t>Damodaran Implied ERP Ex Ante   Trailing 12 mo Cash Yield (3)</t>
  </si>
  <si>
    <t>Damodaran Implied ERP Ex Ante   Net Cash Yield (3)</t>
  </si>
  <si>
    <t>Damodaran Implied ERP Ex Ante   Norm. Earnings &amp; Payout (3)</t>
  </si>
  <si>
    <t>KROLL Ex Post  - ERP Historical (8)</t>
  </si>
  <si>
    <t>KROLL Ex Post - ERP Supply Side (8)</t>
  </si>
  <si>
    <t>KROLL Ex Ante - ERP Conditional (8)</t>
  </si>
  <si>
    <t>CAPM - Ex Ante KROLL ERP Conditional</t>
  </si>
  <si>
    <t>Empirical CAPM - Ex Ante KROLL ERP Conditional</t>
  </si>
  <si>
    <t>CAPM - Ex Post KROLL ERP Supply Side</t>
  </si>
  <si>
    <t>CAPM - Ex Post KROLL ERP Historical</t>
  </si>
  <si>
    <t>Empirical CAPM - Ex Post KROLL ERP Historical</t>
  </si>
  <si>
    <t>Empirical CAPM - Ex Post KROLL ERP Supply Side</t>
  </si>
  <si>
    <t>CAPM - Ex Ante  Damodaran 12 Mo Cash Yield</t>
  </si>
  <si>
    <t>CAPM - Ex Ante  Damodaran Net Cash Yield</t>
  </si>
  <si>
    <t>CAPM - Ex Ante  Damodaran NEP</t>
  </si>
  <si>
    <t>Empirical CAPM - Ex Ante  Damodaran 12 Mo Cash Yield</t>
  </si>
  <si>
    <t>Empirical CAPM - Ex Ante  Damodaran Net Cash Yield</t>
  </si>
  <si>
    <t>Empirical CAPM - Ex Ante  Damodaran NEP</t>
  </si>
  <si>
    <t>Damodaran Implied ERP Ex Ante   Avg CF Yield Last 10 Yrs (3)</t>
  </si>
  <si>
    <t>P. Fernandez, T. Garcia de Santos &amp; J.F.Acin  (5)</t>
  </si>
  <si>
    <t>CAPM - Ex Ante  Damodaran Avg CF Yield Last 10 Yrs</t>
  </si>
  <si>
    <t>Empirical CAPM - Ex Ante  Damodaran Avg CF Yield Last 10 Yrs</t>
  </si>
  <si>
    <t xml:space="preserve">**** Market value of operating leases for all companies </t>
  </si>
  <si>
    <t xml:space="preserve">***** Market value of variable operating leases for all companies </t>
  </si>
  <si>
    <t>Variable Op Leases *****</t>
  </si>
  <si>
    <t>Estimated 20-22 to 27-29</t>
  </si>
  <si>
    <t>Corporate                          December Avg</t>
  </si>
  <si>
    <t>Utility                                                December Avg</t>
  </si>
  <si>
    <t>2025 CAPITALIZATION RATE STUDY</t>
  </si>
  <si>
    <t>2025 Tax Year</t>
  </si>
  <si>
    <t>YEAR END 12/31/2024</t>
  </si>
  <si>
    <t>Dec. 31, 2024</t>
  </si>
  <si>
    <t>Vl Projected 2025</t>
  </si>
  <si>
    <t>INFLATION (CPI) &amp; GROSS DOMESTIC PRODUCT (GDP)</t>
  </si>
  <si>
    <t>Federal Reserve Bank of Philadelphia / Livingston Survey  Median (2a)</t>
  </si>
  <si>
    <t>Federal Reserve Bank of Philadelphia  /Survey of Professional Forecasters  Mean (2b)</t>
  </si>
  <si>
    <t xml:space="preserve">Congressional Budget Office Real Economic Projections (3)  </t>
  </si>
  <si>
    <t xml:space="preserve">Congressional Budget Office Real Economic Projections (3a)  </t>
  </si>
  <si>
    <t xml:space="preserve">Congressional Budget Office Real Economic Projections (3b)  </t>
  </si>
  <si>
    <t>The Trading Economics (4)</t>
  </si>
  <si>
    <t>The World Bank (5)</t>
  </si>
  <si>
    <t xml:space="preserve">Federal Reserve Bank "Long Term" Projection - Members &amp; Presidents opinion (6) </t>
  </si>
  <si>
    <t>The Federal Reserve Bank projects their "long-term" estimate of Change in US real GDP at 1.8%</t>
  </si>
  <si>
    <t>The Congressional Budget Office projects the U.S. Real GDP annual growth rate of 1.9% in 2025 and 1.8% in 2026       Core CPI = 2.30%</t>
  </si>
  <si>
    <t>The Congressional Budget Office projects the U.S. Inflation CPI 4th Qtr. To 4th Qtr. 2.2% in 2025  2.1% in 2026, 2.0% in 2027 and 2028 to 2029.  2.0% 2030 to 2035</t>
  </si>
  <si>
    <t>The Congressional Budget Office projects the U.S. Real GDP annual growth rates of 1.8% from 2028 to 2029 and 1.8% from 2030 to 2035</t>
  </si>
  <si>
    <t>The Congressional Budget Office projects the U.S. Real GDP average annual (Yr to Yr) growth rates of 2.20% from 2025 to 2029 and 1.90% from 2030 to 2035 and 2.00 GDP overall from 2025 to 2035</t>
  </si>
  <si>
    <t xml:space="preserve">than the overall growth rate of the economy.”  Dr. Aswath Damodaran (n.d.) The Stable Growth Rate </t>
  </si>
  <si>
    <t>SOURCES:</t>
  </si>
  <si>
    <t>(1)  Federal Reserve Statistical Release</t>
  </si>
  <si>
    <t>January 2, 2025  Compare inflation indexed securities to non-inflation indexed securities.  The difference is the inflation rate.  See Minnesota study page 26 or Wsahington study page 6.</t>
  </si>
  <si>
    <t>(2) (2a)  Federal Reserve Bank of Philadelphia - The Livingston Survey</t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</si>
  <si>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Mean</t>
    </r>
    <r>
      <rPr>
        <sz val="10"/>
        <color theme="1"/>
        <rFont val="Cordia New"/>
        <family val="2"/>
        <charset val="222"/>
      </rPr>
      <t xml:space="preserve"> Inflation Rate &amp; Real GDP for next 10 yrs. </t>
    </r>
  </si>
  <si>
    <r>
      <t xml:space="preserve">Dec. 20, 2024, Table 3, pg. 8 </t>
    </r>
    <r>
      <rPr>
        <u/>
        <sz val="10"/>
        <color theme="1"/>
        <rFont val="Cordia New"/>
        <family val="2"/>
        <charset val="222"/>
      </rPr>
      <t>Median</t>
    </r>
    <r>
      <rPr>
        <sz val="10"/>
        <color theme="1"/>
        <rFont val="Cordia New"/>
        <family val="2"/>
        <charset val="222"/>
      </rPr>
      <t xml:space="preserve"> Annual CPI Rate &amp; Real GDP Growth Rate over next 10 yrs.</t>
    </r>
  </si>
  <si>
    <t>(2b)  Federal Reserve Bank of Philadelphia - Survey of Professional Forecasters</t>
  </si>
  <si>
    <t>First Qtr. 2025,  Feb. 14, 2025, Table 8 &amp; Table 9, Average (Mean) over next 10 yrs</t>
  </si>
  <si>
    <t>(3) (3a) (3b)  The Congressional Budget Office</t>
  </si>
  <si>
    <t>Real Economic Projections, Table C-1 Table C-2 pages 27 &amp; 28 Annual Avg. Economic Projections for Calendar years 2025to 2035</t>
  </si>
  <si>
    <t>Budget and Economic Data | Congressional Budget Office</t>
  </si>
  <si>
    <t>The Budget and Economic Outlook: 2025 to 2035</t>
  </si>
  <si>
    <t xml:space="preserve">https://www.cbo.gov/system/files/2025-01/60870-Outlook-2025.pdf </t>
  </si>
  <si>
    <t>https://www.cbo.gov/publication/60870</t>
  </si>
  <si>
    <t>(4) The Trading Economics</t>
  </si>
  <si>
    <t>Trading Economics, United States,  Full Year GDP Growth Rate Forecast for 2025</t>
  </si>
  <si>
    <t>https://tradingeconomics.com/united-states/full-year-gdp-growth</t>
  </si>
  <si>
    <t xml:space="preserve">(5) The World Bank </t>
  </si>
  <si>
    <t>January 2024-2025</t>
  </si>
  <si>
    <t>World Bank Group Flagship Report, GlobalEconomic Prospects,  Page 4  Table 1.1 Real GDP</t>
  </si>
  <si>
    <t>http://www.worldbank.org/en/publication/global-economic-prospects</t>
  </si>
  <si>
    <t>(6) Board of Governors of the Federal Reserve System - Federal Reserve Bank Members &amp; Presidents Opinion</t>
  </si>
  <si>
    <t>Medium projection value from Dec. 18, 2024 report Table 1</t>
  </si>
  <si>
    <t>https://www.federalreserve.gov/monetarypolicy/files/fomcprojtabl20241218.pd</t>
  </si>
  <si>
    <t>RISK FREE RATE (Rf)</t>
  </si>
  <si>
    <t>Federal Reserve Statistical Release (January 2, 2025)  Treasury Constant Maturities, Nominal (1) :</t>
  </si>
  <si>
    <t xml:space="preserve">10-year U.S. Treasury coupon bonds </t>
  </si>
  <si>
    <t xml:space="preserve">20-year U.S. Treasury coupon bonds (5 yr. monthly avg) 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</si>
  <si>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20-year U.S. Treasury coupon bonds</t>
    </r>
  </si>
  <si>
    <t>30-year U.S. Treasury coupon bonds</t>
  </si>
  <si>
    <t>KDOR Selected Risk Free Rate (Rf) &gt;</t>
  </si>
  <si>
    <t>Value Line Investment Survey (January 10, 2025)  Selected Yields on Taxable U.S. Treasury Securities :</t>
  </si>
  <si>
    <t>20-year U.S. Treasury coupon bonds</t>
  </si>
  <si>
    <r>
      <rPr>
        <b/>
        <sz val="7"/>
        <color theme="1"/>
        <rFont val="Microsoft GothicNeo Light"/>
        <family val="2"/>
        <charset val="129"/>
      </rPr>
      <t xml:space="preserve"> </t>
    </r>
    <r>
      <rPr>
        <b/>
        <sz val="10"/>
        <color theme="1"/>
        <rFont val="Microsoft GothicNeo Light"/>
        <family val="2"/>
        <charset val="129"/>
      </rPr>
      <t>30-year U.S. Treasury coupon bonds</t>
    </r>
  </si>
  <si>
    <t>Damodaran selected Risk-Free rate (January 1, 2025) (7) :</t>
  </si>
  <si>
    <t>KROLL Cost of Capital Navigator Risk-Free rate Ex Post  (January 1, 2025) :</t>
  </si>
  <si>
    <t>(7) Aswath Damoodaran</t>
  </si>
  <si>
    <t>http://pages.stern.nyu.edu/~adamodar/</t>
  </si>
  <si>
    <t>https://pages.stern.nyu.edu/~adamodar/pc/blog/S&amp;P500ValueJan2025.xlsx</t>
  </si>
  <si>
    <t xml:space="preserve">(1) Three Stage Dividend Growth Model, S&amp;P 500.  The Three Stage Ex Ante calculations were performed by Montana.  The Equity risk premiums are shown above.  </t>
  </si>
  <si>
    <t xml:space="preserve">(2) Three Stage Dividend Growth Model, S&amp;P 500.  The Three Stage Ex Ante calculations were performed by Minnesota.  The Equity risk premiums are shown above.  </t>
  </si>
  <si>
    <t>Three Stage Ex Ante  Version 1  (1)</t>
  </si>
  <si>
    <t>Three Stage Ex Ante  Version 2   (2)</t>
  </si>
  <si>
    <t>Estimated 22-24 to 28-30</t>
  </si>
  <si>
    <t>B++</t>
  </si>
  <si>
    <t>BBB / AA-</t>
  </si>
  <si>
    <t>Moody's Rating</t>
  </si>
  <si>
    <t>Moody's</t>
  </si>
  <si>
    <t>(3) Implied Equity Risk Premium on January 9, 2025 as determined by Dr. Aswath Damodaran</t>
  </si>
  <si>
    <t xml:space="preserve">(4) The CFO Survey (2024). Data &amp; Results December 4, 2024. Mean average annual S&amp;P return over next ten years (9.6%) less annual yield on 10‐year Treasury Bonds (4.21%). </t>
  </si>
  <si>
    <t>(5) Fernandez, P., Garcia D., &amp; Acin, J. F. (2024). Survey: Market Risk Premium and Risk‐Free Rate used for 96 countries in 2024. SSRN Electronic Journal.</t>
  </si>
  <si>
    <t>https://papers.ssrn.com/sol3/papers.cfm?abstract_id=4754347</t>
  </si>
  <si>
    <t xml:space="preserve">(6) &amp; (7) Business Valuation Resources, Cost of Capital Professional. (2025). Historical ERP 1928 to present, using arithmetic mean, geometric mean, and 20-Year Treasury Securities. </t>
  </si>
  <si>
    <t>(8) KROLL, Cost of Capital Navigator. (2025).  See Montana Cap Rate Study.</t>
  </si>
  <si>
    <t>Air Transport Service - Currently going through a sale and acquisition</t>
  </si>
  <si>
    <t>DEBT RATE for Direct and Yield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</si>
</sst>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_(* #,##0.000_);_(* \(#,##0.000\);_(* &quot;-&quot;??_);_(@_)"/>
  </numFmts>
  <fonts count="8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Helvetica Narrow Bold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Georgia"/>
      <family val="1"/>
    </font>
    <font>
      <sz val="11"/>
      <color theme="1"/>
      <name val="Georgia"/>
      <family val="1"/>
    </font>
    <font>
      <b/>
      <i/>
      <sz val="22"/>
      <color theme="1"/>
      <name val="Georgia"/>
      <family val="1"/>
    </font>
    <font>
      <i/>
      <sz val="11"/>
      <color theme="1"/>
      <name val="Georgia"/>
      <family val="1"/>
    </font>
    <font>
      <b/>
      <sz val="11"/>
      <color theme="1"/>
      <name val="Palatino Roman"/>
      <family val="1"/>
    </font>
    <font>
      <sz val="11"/>
      <color theme="1"/>
      <name val="Palatino Roman"/>
      <family val="1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2"/>
      <name val="TIMES"/>
    </font>
    <font>
      <u/>
      <sz val="11"/>
      <color theme="10"/>
      <name val="Calibri"/>
      <family val="2"/>
      <scheme val="minor"/>
    </font>
    <font>
      <sz val="11"/>
      <color theme="1"/>
      <name val="Microsoft GothicNeo"/>
      <family val="2"/>
      <charset val="129"/>
    </font>
    <font>
      <sz val="11"/>
      <name val="Microsoft GothicNeo"/>
      <family val="2"/>
      <charset val="129"/>
    </font>
    <font>
      <b/>
      <sz val="11"/>
      <color theme="1"/>
      <name val="Microsoft GothicNeo"/>
      <family val="2"/>
      <charset val="129"/>
    </font>
    <font>
      <b/>
      <sz val="11"/>
      <name val="Microsoft GothicNeo"/>
      <family val="2"/>
      <charset val="129"/>
    </font>
    <font>
      <b/>
      <sz val="18"/>
      <color theme="1"/>
      <name val="Microsoft GothicNeo"/>
      <family val="2"/>
      <charset val="129"/>
    </font>
    <font>
      <b/>
      <sz val="16"/>
      <color theme="1"/>
      <name val="Microsoft GothicNeo"/>
      <family val="2"/>
      <charset val="129"/>
    </font>
    <font>
      <b/>
      <sz val="12"/>
      <color indexed="8"/>
      <name val="Microsoft GothicNeo"/>
      <family val="2"/>
      <charset val="129"/>
    </font>
    <font>
      <b/>
      <sz val="11"/>
      <color indexed="8"/>
      <name val="Microsoft GothicNeo"/>
      <family val="2"/>
      <charset val="129"/>
    </font>
    <font>
      <b/>
      <sz val="11"/>
      <color rgb="FFFF0000"/>
      <name val="Microsoft GothicNeo"/>
      <family val="2"/>
      <charset val="129"/>
    </font>
    <font>
      <b/>
      <sz val="14"/>
      <color theme="1"/>
      <name val="Microsoft GothicNeo"/>
      <family val="2"/>
      <charset val="129"/>
    </font>
    <font>
      <b/>
      <sz val="10"/>
      <color theme="1"/>
      <name val="Microsoft GothicNeo"/>
      <family val="2"/>
      <charset val="129"/>
    </font>
    <font>
      <sz val="9"/>
      <color theme="1"/>
      <name val="Microsoft GothicNeo"/>
      <family val="2"/>
      <charset val="129"/>
    </font>
    <font>
      <sz val="10"/>
      <color theme="1"/>
      <name val="Microsoft GothicNeo"/>
      <family val="2"/>
      <charset val="129"/>
    </font>
    <font>
      <i/>
      <sz val="9"/>
      <color theme="1"/>
      <name val="Microsoft GothicNeo"/>
      <family val="2"/>
      <charset val="129"/>
    </font>
    <font>
      <b/>
      <sz val="9"/>
      <color theme="1"/>
      <name val="Microsoft GothicNeo"/>
      <family val="2"/>
      <charset val="129"/>
    </font>
    <font>
      <b/>
      <sz val="12"/>
      <color theme="1"/>
      <name val="Microsoft GothicNeo"/>
      <family val="2"/>
      <charset val="129"/>
    </font>
    <font>
      <b/>
      <i/>
      <sz val="10"/>
      <color theme="1"/>
      <name val="Microsoft GothicNeo"/>
      <family val="2"/>
      <charset val="129"/>
    </font>
    <font>
      <sz val="16"/>
      <color theme="1"/>
      <name val="Microsoft GothicNeo"/>
      <family val="2"/>
      <charset val="129"/>
    </font>
    <font>
      <sz val="12"/>
      <color theme="1"/>
      <name val="Microsoft GothicNeo"/>
      <family val="2"/>
      <charset val="129"/>
    </font>
    <font>
      <b/>
      <sz val="12"/>
      <name val="Microsoft GothicNeo"/>
      <family val="2"/>
      <charset val="129"/>
    </font>
    <font>
      <b/>
      <i/>
      <u/>
      <sz val="11"/>
      <color theme="1"/>
      <name val="Microsoft GothicNeo"/>
      <family val="2"/>
      <charset val="129"/>
    </font>
    <font>
      <b/>
      <i/>
      <sz val="11"/>
      <color theme="1"/>
      <name val="Microsoft GothicNeo"/>
      <family val="2"/>
      <charset val="129"/>
    </font>
    <font>
      <i/>
      <sz val="10"/>
      <color theme="1"/>
      <name val="Microsoft GothicNeo"/>
      <family val="2"/>
      <charset val="129"/>
    </font>
    <font>
      <b/>
      <sz val="16"/>
      <name val="Microsoft GothicNeo"/>
      <family val="2"/>
      <charset val="129"/>
    </font>
    <font>
      <b/>
      <sz val="16"/>
      <color rgb="FFFF0000"/>
      <name val="Microsoft GothicNeo"/>
      <family val="2"/>
      <charset val="129"/>
    </font>
    <font>
      <sz val="12"/>
      <color rgb="FFFF0000"/>
      <name val="Microsoft GothicNeo"/>
      <family val="2"/>
      <charset val="129"/>
    </font>
    <font>
      <b/>
      <sz val="12"/>
      <color rgb="FF0000CC"/>
      <name val="Microsoft GothicNeo"/>
      <family val="2"/>
      <charset val="129"/>
    </font>
    <font>
      <b/>
      <sz val="14"/>
      <name val="Microsoft GothicNeo"/>
      <family val="2"/>
      <charset val="129"/>
    </font>
    <font>
      <u/>
      <sz val="11"/>
      <color theme="10"/>
      <name val="Microsoft GothicNeo"/>
      <family val="2"/>
      <charset val="129"/>
    </font>
    <font>
      <b/>
      <sz val="12"/>
      <color rgb="FFFF0000"/>
      <name val="Microsoft GothicNeo"/>
      <family val="2"/>
      <charset val="129"/>
    </font>
    <font>
      <b/>
      <sz val="14"/>
      <color rgb="FFFF0000"/>
      <name val="Microsoft GothicNeo"/>
      <family val="2"/>
      <charset val="129"/>
    </font>
    <font>
      <b/>
      <sz val="11"/>
      <color theme="1"/>
      <name val="Calibri"/>
      <family val="2"/>
      <scheme val="minor"/>
    </font>
    <font>
      <sz val="14"/>
      <color theme="1"/>
      <name val="Microsoft GothicNeo"/>
      <family val="2"/>
      <charset val="129"/>
    </font>
    <font>
      <sz val="11"/>
      <color rgb="FFFF0000"/>
      <name val="Microsoft GothicNeo"/>
      <family val="2"/>
      <charset val="129"/>
    </font>
    <font>
      <sz val="20"/>
      <color theme="1"/>
      <name val="Microsoft GothicNeo"/>
      <family val="2"/>
      <charset val="129"/>
    </font>
    <font>
      <b/>
      <sz val="20"/>
      <color theme="1"/>
      <name val="Microsoft GothicNeo"/>
      <family val="2"/>
      <charset val="129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i/>
      <sz val="18"/>
      <color rgb="FF0000CC"/>
      <name val="Microsoft GothicNeo"/>
      <family val="2"/>
      <charset val="129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10"/>
      <color rgb="FF0000CC"/>
      <name val="Microsoft GothicNeo"/>
      <family val="2"/>
      <charset val="129"/>
    </font>
    <font>
      <b/>
      <sz val="9"/>
      <name val="Microsoft GothicNeo"/>
      <family val="2"/>
      <charset val="129"/>
    </font>
    <font>
      <i/>
      <sz val="11"/>
      <color theme="1"/>
      <name val="Microsoft GothicNeo"/>
      <family val="2"/>
      <charset val="129"/>
    </font>
    <font>
      <sz val="11"/>
      <color rgb="FF0000CC"/>
      <name val="Microsoft GothicNeo"/>
      <family val="2"/>
      <charset val="129"/>
    </font>
    <font>
      <b/>
      <sz val="11"/>
      <color theme="1"/>
      <name val="Cordia New"/>
      <family val="2"/>
      <charset val="222"/>
    </font>
    <font>
      <b/>
      <sz val="12"/>
      <color theme="1"/>
      <name val="Cordia New"/>
      <family val="2"/>
      <charset val="222"/>
    </font>
    <font>
      <b/>
      <i/>
      <sz val="14"/>
      <name val="Microsoft GothicNeo"/>
      <family val="2"/>
      <charset val="129"/>
    </font>
    <font>
      <sz val="11"/>
      <color theme="1"/>
      <name val="Cordia New"/>
      <family val="2"/>
      <charset val="222"/>
    </font>
    <font>
      <sz val="10"/>
      <color indexed="81"/>
      <name val="Tahoma"/>
      <family val="2"/>
    </font>
    <font>
      <sz val="12"/>
      <color indexed="81"/>
      <name val="Tahoma"/>
      <family val="2"/>
    </font>
    <font>
      <sz val="14"/>
      <color indexed="81"/>
      <name val="Tahoma"/>
      <family val="2"/>
    </font>
    <font>
      <b/>
      <i/>
      <sz val="12"/>
      <name val="Microsoft GothicNeo"/>
      <family val="2"/>
      <charset val="129"/>
    </font>
    <font>
      <sz val="12"/>
      <color theme="1"/>
      <name val="Cordia New"/>
      <family val="2"/>
      <charset val="222"/>
    </font>
    <font>
      <u/>
      <sz val="12"/>
      <color rgb="FF0000CC"/>
      <name val="Microsoft GothicNeo"/>
      <family val="2"/>
      <charset val="129"/>
    </font>
    <font>
      <sz val="10"/>
      <name val="Cordia New"/>
      <family val="2"/>
      <charset val="222"/>
    </font>
    <font>
      <u/>
      <sz val="11"/>
      <color rgb="FF0000CC"/>
      <name val="Cordia New"/>
      <family val="2"/>
      <charset val="222"/>
    </font>
    <font>
      <sz val="10"/>
      <color theme="1"/>
      <name val="Cordia New"/>
      <family val="2"/>
      <charset val="222"/>
    </font>
    <font>
      <u/>
      <sz val="10"/>
      <color theme="1"/>
      <name val="Cordia New"/>
      <family val="2"/>
      <charset val="222"/>
    </font>
    <font>
      <u/>
      <sz val="11"/>
      <color theme="10"/>
      <name val="Cordia New"/>
      <family val="2"/>
      <charset val="222"/>
    </font>
    <font>
      <sz val="11"/>
      <name val="Cordia New"/>
      <family val="2"/>
      <charset val="222"/>
    </font>
    <font>
      <sz val="9"/>
      <color rgb="FFC00000"/>
      <name val="Aptos"/>
      <family val="2"/>
    </font>
    <font>
      <b/>
      <sz val="14"/>
      <color theme="1"/>
      <name val="Microsoft GothicNeo Light"/>
      <family val="2"/>
      <charset val="129"/>
    </font>
    <font>
      <b/>
      <sz val="10"/>
      <color theme="1"/>
      <name val="Microsoft GothicNeo Light"/>
      <family val="2"/>
      <charset val="129"/>
    </font>
    <font>
      <b/>
      <sz val="7"/>
      <color theme="1"/>
      <name val="Microsoft GothicNeo Light"/>
      <family val="2"/>
      <charset val="129"/>
    </font>
    <font>
      <b/>
      <sz val="11"/>
      <color theme="1"/>
      <name val="Microsoft GothicNeo Light"/>
      <family val="2"/>
      <charset val="129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 applyNumberFormat="0" applyFill="0" applyBorder="0" applyAlignment="0" applyProtection="0"/>
  </cellStyleXfs>
  <cellXfs count="480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1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43" fontId="22" fillId="0" borderId="0" xfId="1" applyFont="1" applyAlignment="1">
      <alignment horizontal="right" vertical="center"/>
    </xf>
    <xf numFmtId="43" fontId="22" fillId="0" borderId="0" xfId="1" applyFont="1" applyFill="1" applyAlignment="1">
      <alignment horizontal="right" vertical="center"/>
    </xf>
    <xf numFmtId="43" fontId="21" fillId="0" borderId="0" xfId="1" applyFont="1" applyFill="1" applyAlignment="1">
      <alignment horizontal="right"/>
    </xf>
    <xf numFmtId="43" fontId="21" fillId="0" borderId="0" xfId="1" applyFont="1" applyFill="1" applyAlignment="1">
      <alignment horizontal="center"/>
    </xf>
    <xf numFmtId="43" fontId="21" fillId="0" borderId="0" xfId="1" applyFont="1" applyFill="1" applyAlignment="1">
      <alignment horizontal="center" vertical="center"/>
    </xf>
    <xf numFmtId="43" fontId="21" fillId="0" borderId="0" xfId="1" applyFont="1" applyFill="1" applyBorder="1" applyAlignment="1">
      <alignment horizontal="center" vertical="center"/>
    </xf>
    <xf numFmtId="43" fontId="21" fillId="0" borderId="0" xfId="1" applyFont="1" applyFill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15" xfId="0" applyFont="1" applyBorder="1"/>
    <xf numFmtId="0" fontId="19" fillId="0" borderId="2" xfId="0" applyFont="1" applyBorder="1"/>
    <xf numFmtId="0" fontId="27" fillId="0" borderId="2" xfId="0" applyFont="1" applyBorder="1"/>
    <xf numFmtId="0" fontId="28" fillId="0" borderId="0" xfId="0" applyFont="1"/>
    <xf numFmtId="0" fontId="24" fillId="0" borderId="0" xfId="0" applyFont="1" applyAlignment="1">
      <alignment horizontal="center"/>
    </xf>
    <xf numFmtId="0" fontId="29" fillId="0" borderId="2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1" fillId="0" borderId="2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21" fillId="0" borderId="0" xfId="0" applyFont="1"/>
    <xf numFmtId="166" fontId="22" fillId="0" borderId="0" xfId="1" applyNumberFormat="1" applyFont="1" applyFill="1" applyAlignment="1">
      <alignment horizontal="center"/>
    </xf>
    <xf numFmtId="166" fontId="22" fillId="0" borderId="0" xfId="1" applyNumberFormat="1" applyFont="1" applyFill="1"/>
    <xf numFmtId="0" fontId="21" fillId="0" borderId="4" xfId="0" applyFont="1" applyBorder="1"/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/>
    </xf>
    <xf numFmtId="10" fontId="21" fillId="0" borderId="0" xfId="2" applyNumberFormat="1" applyFont="1" applyFill="1" applyAlignment="1">
      <alignment horizontal="center" vertical="center"/>
    </xf>
    <xf numFmtId="10" fontId="21" fillId="0" borderId="0" xfId="2" applyNumberFormat="1" applyFont="1" applyFill="1" applyBorder="1" applyAlignment="1">
      <alignment horizontal="center" vertical="center"/>
    </xf>
    <xf numFmtId="10" fontId="22" fillId="0" borderId="0" xfId="2" applyNumberFormat="1" applyFont="1" applyAlignment="1">
      <alignment horizontal="right" vertical="center"/>
    </xf>
    <xf numFmtId="10" fontId="22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right"/>
    </xf>
    <xf numFmtId="10" fontId="21" fillId="0" borderId="0" xfId="2" applyNumberFormat="1" applyFont="1" applyFill="1" applyAlignment="1">
      <alignment horizontal="center"/>
    </xf>
    <xf numFmtId="10" fontId="21" fillId="0" borderId="0" xfId="2" applyNumberFormat="1" applyFont="1" applyFill="1"/>
    <xf numFmtId="0" fontId="19" fillId="2" borderId="19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2" fontId="38" fillId="0" borderId="0" xfId="0" applyNumberFormat="1" applyFont="1" applyAlignment="1">
      <alignment horizontal="center"/>
    </xf>
    <xf numFmtId="164" fontId="38" fillId="0" borderId="0" xfId="1" applyNumberFormat="1" applyFont="1" applyAlignment="1"/>
    <xf numFmtId="2" fontId="22" fillId="0" borderId="0" xfId="0" applyNumberFormat="1" applyFont="1" applyAlignment="1">
      <alignment horizontal="center"/>
    </xf>
    <xf numFmtId="0" fontId="34" fillId="0" borderId="0" xfId="0" applyFont="1"/>
    <xf numFmtId="43" fontId="24" fillId="0" borderId="0" xfId="1" applyFont="1" applyFill="1"/>
    <xf numFmtId="2" fontId="38" fillId="0" borderId="4" xfId="0" applyNumberFormat="1" applyFont="1" applyBorder="1" applyAlignment="1">
      <alignment horizontal="center"/>
    </xf>
    <xf numFmtId="10" fontId="22" fillId="0" borderId="0" xfId="2" applyNumberFormat="1" applyFont="1" applyFill="1" applyAlignment="1">
      <alignment horizontal="center"/>
    </xf>
    <xf numFmtId="0" fontId="19" fillId="0" borderId="2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19" fillId="0" borderId="4" xfId="0" applyFont="1" applyBorder="1"/>
    <xf numFmtId="2" fontId="21" fillId="0" borderId="0" xfId="0" applyNumberFormat="1" applyFont="1" applyAlignment="1">
      <alignment horizontal="right"/>
    </xf>
    <xf numFmtId="10" fontId="21" fillId="0" borderId="0" xfId="0" applyNumberFormat="1" applyFont="1"/>
    <xf numFmtId="0" fontId="39" fillId="0" borderId="0" xfId="0" applyFont="1" applyAlignment="1">
      <alignment horizontal="center"/>
    </xf>
    <xf numFmtId="0" fontId="40" fillId="0" borderId="0" xfId="0" applyFont="1"/>
    <xf numFmtId="0" fontId="41" fillId="0" borderId="16" xfId="0" applyFont="1" applyBorder="1" applyAlignment="1">
      <alignment horizontal="center"/>
    </xf>
    <xf numFmtId="0" fontId="36" fillId="0" borderId="0" xfId="0" applyFont="1" applyAlignment="1">
      <alignment horizontal="right"/>
    </xf>
    <xf numFmtId="0" fontId="28" fillId="0" borderId="0" xfId="0" applyFont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10" fontId="21" fillId="0" borderId="0" xfId="2" applyNumberFormat="1" applyFont="1"/>
    <xf numFmtId="10" fontId="21" fillId="0" borderId="0" xfId="1" applyNumberFormat="1" applyFont="1" applyFill="1"/>
    <xf numFmtId="10" fontId="43" fillId="0" borderId="0" xfId="2" applyNumberFormat="1" applyFont="1" applyFill="1" applyAlignment="1">
      <alignment horizontal="center"/>
    </xf>
    <xf numFmtId="164" fontId="21" fillId="0" borderId="0" xfId="1" applyNumberFormat="1" applyFont="1"/>
    <xf numFmtId="0" fontId="19" fillId="0" borderId="0" xfId="0" applyFont="1" applyAlignment="1">
      <alignment horizontal="left"/>
    </xf>
    <xf numFmtId="0" fontId="21" fillId="0" borderId="2" xfId="0" applyFont="1" applyBorder="1"/>
    <xf numFmtId="0" fontId="34" fillId="0" borderId="7" xfId="0" applyFont="1" applyBorder="1" applyAlignment="1">
      <alignment horizontal="center"/>
    </xf>
    <xf numFmtId="0" fontId="34" fillId="0" borderId="9" xfId="0" applyFont="1" applyBorder="1" applyAlignment="1">
      <alignment horizontal="center"/>
    </xf>
    <xf numFmtId="0" fontId="34" fillId="0" borderId="0" xfId="0" applyFont="1" applyAlignment="1">
      <alignment horizontal="center"/>
    </xf>
    <xf numFmtId="15" fontId="34" fillId="0" borderId="9" xfId="0" applyNumberFormat="1" applyFont="1" applyBorder="1" applyAlignment="1">
      <alignment horizontal="center"/>
    </xf>
    <xf numFmtId="15" fontId="34" fillId="0" borderId="0" xfId="0" quotePrefix="1" applyNumberFormat="1" applyFont="1" applyAlignment="1">
      <alignment horizontal="center"/>
    </xf>
    <xf numFmtId="0" fontId="22" fillId="0" borderId="9" xfId="0" applyFont="1" applyBorder="1" applyAlignment="1">
      <alignment horizontal="center"/>
    </xf>
    <xf numFmtId="0" fontId="38" fillId="0" borderId="9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4" fillId="0" borderId="9" xfId="0" applyFont="1" applyBorder="1"/>
    <xf numFmtId="0" fontId="34" fillId="0" borderId="7" xfId="0" applyFont="1" applyBorder="1"/>
    <xf numFmtId="0" fontId="38" fillId="0" borderId="0" xfId="0" applyFont="1" applyAlignment="1">
      <alignment horizontal="center"/>
    </xf>
    <xf numFmtId="2" fontId="38" fillId="0" borderId="9" xfId="0" applyNumberFormat="1" applyFont="1" applyBorder="1" applyAlignment="1">
      <alignment horizontal="center"/>
    </xf>
    <xf numFmtId="3" fontId="38" fillId="0" borderId="0" xfId="0" applyNumberFormat="1" applyFont="1"/>
    <xf numFmtId="0" fontId="37" fillId="0" borderId="0" xfId="0" applyFont="1"/>
    <xf numFmtId="0" fontId="44" fillId="0" borderId="2" xfId="0" applyFont="1" applyBorder="1"/>
    <xf numFmtId="0" fontId="37" fillId="0" borderId="2" xfId="0" applyFont="1" applyBorder="1"/>
    <xf numFmtId="0" fontId="37" fillId="0" borderId="5" xfId="0" applyFont="1" applyBorder="1"/>
    <xf numFmtId="0" fontId="37" fillId="0" borderId="6" xfId="0" applyFont="1" applyBorder="1"/>
    <xf numFmtId="15" fontId="34" fillId="0" borderId="6" xfId="0" quotePrefix="1" applyNumberFormat="1" applyFont="1" applyBorder="1" applyAlignment="1">
      <alignment horizontal="center"/>
    </xf>
    <xf numFmtId="0" fontId="19" fillId="0" borderId="6" xfId="0" applyFont="1" applyBorder="1"/>
    <xf numFmtId="0" fontId="34" fillId="0" borderId="13" xfId="0" applyFont="1" applyBorder="1" applyAlignment="1">
      <alignment horizontal="center"/>
    </xf>
    <xf numFmtId="0" fontId="35" fillId="0" borderId="14" xfId="0" applyFont="1" applyBorder="1" applyAlignment="1">
      <alignment horizontal="center"/>
    </xf>
    <xf numFmtId="0" fontId="34" fillId="0" borderId="12" xfId="0" applyFont="1" applyBorder="1"/>
    <xf numFmtId="0" fontId="37" fillId="0" borderId="8" xfId="0" applyFont="1" applyBorder="1"/>
    <xf numFmtId="0" fontId="37" fillId="0" borderId="13" xfId="0" applyFont="1" applyBorder="1"/>
    <xf numFmtId="0" fontId="34" fillId="0" borderId="0" xfId="0" applyFont="1" applyAlignment="1">
      <alignment horizontal="right"/>
    </xf>
    <xf numFmtId="164" fontId="21" fillId="0" borderId="0" xfId="0" applyNumberFormat="1" applyFont="1"/>
    <xf numFmtId="10" fontId="34" fillId="0" borderId="0" xfId="0" applyNumberFormat="1" applyFont="1" applyAlignment="1">
      <alignment horizontal="right"/>
    </xf>
    <xf numFmtId="10" fontId="34" fillId="0" borderId="0" xfId="2" applyNumberFormat="1" applyFont="1" applyFill="1"/>
    <xf numFmtId="10" fontId="34" fillId="0" borderId="0" xfId="2" applyNumberFormat="1" applyFont="1"/>
    <xf numFmtId="2" fontId="19" fillId="0" borderId="0" xfId="0" applyNumberFormat="1" applyFont="1"/>
    <xf numFmtId="0" fontId="28" fillId="0" borderId="0" xfId="0" applyFont="1" applyAlignment="1">
      <alignment horizontal="right"/>
    </xf>
    <xf numFmtId="0" fontId="22" fillId="0" borderId="0" xfId="0" applyFont="1"/>
    <xf numFmtId="0" fontId="20" fillId="0" borderId="0" xfId="0" applyFont="1"/>
    <xf numFmtId="0" fontId="20" fillId="0" borderId="0" xfId="0" applyFont="1" applyAlignment="1">
      <alignment horizontal="left"/>
    </xf>
    <xf numFmtId="165" fontId="21" fillId="0" borderId="0" xfId="3" applyNumberFormat="1" applyFont="1" applyFill="1" applyAlignment="1">
      <alignment horizontal="center"/>
    </xf>
    <xf numFmtId="164" fontId="22" fillId="0" borderId="0" xfId="1" applyNumberFormat="1" applyFont="1" applyFill="1"/>
    <xf numFmtId="10" fontId="22" fillId="0" borderId="0" xfId="2" applyNumberFormat="1" applyFont="1" applyFill="1"/>
    <xf numFmtId="0" fontId="28" fillId="0" borderId="2" xfId="0" applyFont="1" applyBorder="1" applyAlignment="1">
      <alignment horizontal="center"/>
    </xf>
    <xf numFmtId="10" fontId="38" fillId="0" borderId="0" xfId="2" applyNumberFormat="1" applyFont="1" applyFill="1" applyAlignment="1">
      <alignment horizontal="center"/>
    </xf>
    <xf numFmtId="10" fontId="38" fillId="0" borderId="0" xfId="2" applyNumberFormat="1" applyFont="1" applyFill="1"/>
    <xf numFmtId="2" fontId="48" fillId="0" borderId="0" xfId="0" applyNumberFormat="1" applyFont="1" applyAlignment="1">
      <alignment horizontal="center"/>
    </xf>
    <xf numFmtId="2" fontId="34" fillId="0" borderId="2" xfId="0" applyNumberFormat="1" applyFont="1" applyBorder="1" applyAlignment="1">
      <alignment horizontal="center"/>
    </xf>
    <xf numFmtId="10" fontId="34" fillId="0" borderId="2" xfId="2" applyNumberFormat="1" applyFont="1" applyBorder="1"/>
    <xf numFmtId="10" fontId="3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0" fontId="38" fillId="0" borderId="0" xfId="0" applyFont="1"/>
    <xf numFmtId="0" fontId="34" fillId="0" borderId="0" xfId="0" applyFont="1" applyAlignment="1">
      <alignment horizontal="left"/>
    </xf>
    <xf numFmtId="10" fontId="19" fillId="0" borderId="0" xfId="0" applyNumberFormat="1" applyFont="1"/>
    <xf numFmtId="0" fontId="18" fillId="0" borderId="0" xfId="6"/>
    <xf numFmtId="0" fontId="49" fillId="0" borderId="2" xfId="0" applyFont="1" applyBorder="1"/>
    <xf numFmtId="0" fontId="0" fillId="0" borderId="2" xfId="0" applyBorder="1"/>
    <xf numFmtId="0" fontId="28" fillId="0" borderId="2" xfId="0" applyFont="1" applyBorder="1"/>
    <xf numFmtId="0" fontId="19" fillId="0" borderId="5" xfId="0" applyFont="1" applyBorder="1"/>
    <xf numFmtId="0" fontId="19" fillId="0" borderId="11" xfId="0" applyFont="1" applyBorder="1"/>
    <xf numFmtId="0" fontId="21" fillId="0" borderId="8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0" fontId="50" fillId="0" borderId="0" xfId="0" applyFont="1"/>
    <xf numFmtId="0" fontId="28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49" fillId="0" borderId="32" xfId="0" applyFont="1" applyBorder="1"/>
    <xf numFmtId="0" fontId="34" fillId="0" borderId="30" xfId="0" applyFont="1" applyBorder="1"/>
    <xf numFmtId="0" fontId="34" fillId="0" borderId="19" xfId="0" applyFont="1" applyBorder="1"/>
    <xf numFmtId="0" fontId="34" fillId="0" borderId="1" xfId="0" applyFont="1" applyBorder="1"/>
    <xf numFmtId="10" fontId="38" fillId="0" borderId="0" xfId="2" applyNumberFormat="1" applyFont="1" applyAlignment="1">
      <alignment horizontal="right" vertical="center"/>
    </xf>
    <xf numFmtId="43" fontId="38" fillId="0" borderId="0" xfId="1" applyFont="1" applyFill="1" applyAlignment="1">
      <alignment horizontal="right" vertical="center"/>
    </xf>
    <xf numFmtId="10" fontId="34" fillId="0" borderId="0" xfId="2" applyNumberFormat="1" applyFont="1" applyFill="1" applyAlignment="1">
      <alignment horizontal="right"/>
    </xf>
    <xf numFmtId="43" fontId="34" fillId="0" borderId="0" xfId="1" applyFont="1" applyFill="1" applyAlignment="1">
      <alignment horizontal="right"/>
    </xf>
    <xf numFmtId="43" fontId="34" fillId="0" borderId="0" xfId="1" applyFont="1" applyFill="1"/>
    <xf numFmtId="0" fontId="34" fillId="0" borderId="0" xfId="0" applyFont="1" applyAlignment="1">
      <alignment horizontal="center" vertical="center"/>
    </xf>
    <xf numFmtId="44" fontId="38" fillId="0" borderId="0" xfId="3" applyFont="1" applyAlignment="1">
      <alignment horizontal="center"/>
    </xf>
    <xf numFmtId="0" fontId="21" fillId="0" borderId="0" xfId="0" applyFont="1" applyAlignment="1">
      <alignment horizontal="right" vertical="center"/>
    </xf>
    <xf numFmtId="0" fontId="0" fillId="0" borderId="33" xfId="0" applyBorder="1"/>
    <xf numFmtId="0" fontId="19" fillId="0" borderId="31" xfId="0" applyFont="1" applyBorder="1"/>
    <xf numFmtId="0" fontId="24" fillId="0" borderId="33" xfId="0" applyFont="1" applyBorder="1" applyAlignment="1">
      <alignment horizontal="right"/>
    </xf>
    <xf numFmtId="0" fontId="23" fillId="0" borderId="31" xfId="0" applyFont="1" applyBorder="1"/>
    <xf numFmtId="0" fontId="23" fillId="0" borderId="33" xfId="0" applyFont="1" applyBorder="1" applyAlignment="1">
      <alignment horizontal="right"/>
    </xf>
    <xf numFmtId="0" fontId="23" fillId="0" borderId="33" xfId="0" applyFont="1" applyBorder="1"/>
    <xf numFmtId="0" fontId="19" fillId="0" borderId="33" xfId="0" applyFont="1" applyBorder="1"/>
    <xf numFmtId="0" fontId="34" fillId="0" borderId="7" xfId="0" applyFont="1" applyBorder="1" applyAlignment="1">
      <alignment horizontal="center" vertical="center"/>
    </xf>
    <xf numFmtId="10" fontId="34" fillId="0" borderId="0" xfId="2" applyNumberFormat="1" applyFont="1" applyBorder="1" applyAlignment="1">
      <alignment horizontal="center" vertical="center"/>
    </xf>
    <xf numFmtId="10" fontId="34" fillId="0" borderId="12" xfId="2" applyNumberFormat="1" applyFont="1" applyBorder="1" applyAlignment="1">
      <alignment horizontal="center" vertical="center"/>
    </xf>
    <xf numFmtId="0" fontId="37" fillId="0" borderId="7" xfId="0" applyFont="1" applyBorder="1"/>
    <xf numFmtId="0" fontId="37" fillId="0" borderId="12" xfId="0" applyFont="1" applyBorder="1"/>
    <xf numFmtId="0" fontId="24" fillId="0" borderId="15" xfId="0" applyFont="1" applyBorder="1" applyAlignment="1">
      <alignment horizontal="center" vertical="center"/>
    </xf>
    <xf numFmtId="0" fontId="52" fillId="0" borderId="0" xfId="0" applyFont="1"/>
    <xf numFmtId="0" fontId="24" fillId="0" borderId="15" xfId="0" applyFont="1" applyBorder="1" applyAlignment="1">
      <alignment horizontal="right"/>
    </xf>
    <xf numFmtId="2" fontId="34" fillId="0" borderId="15" xfId="0" applyNumberFormat="1" applyFont="1" applyBorder="1" applyAlignment="1">
      <alignment horizontal="center"/>
    </xf>
    <xf numFmtId="43" fontId="34" fillId="0" borderId="0" xfId="1" applyFont="1" applyBorder="1" applyAlignment="1">
      <alignment horizontal="center" vertical="center"/>
    </xf>
    <xf numFmtId="43" fontId="34" fillId="0" borderId="0" xfId="1" applyFont="1" applyBorder="1" applyAlignment="1">
      <alignment vertical="center"/>
    </xf>
    <xf numFmtId="10" fontId="34" fillId="0" borderId="0" xfId="2" applyNumberFormat="1" applyFont="1" applyBorder="1" applyAlignment="1">
      <alignment vertical="center"/>
    </xf>
    <xf numFmtId="10" fontId="0" fillId="0" borderId="0" xfId="2" applyNumberFormat="1" applyFont="1"/>
    <xf numFmtId="10" fontId="34" fillId="0" borderId="0" xfId="2" applyNumberFormat="1" applyFont="1" applyFill="1" applyBorder="1" applyAlignment="1">
      <alignment horizontal="center" vertical="center"/>
    </xf>
    <xf numFmtId="0" fontId="34" fillId="0" borderId="29" xfId="0" applyFont="1" applyBorder="1"/>
    <xf numFmtId="0" fontId="34" fillId="0" borderId="20" xfId="0" applyFont="1" applyBorder="1"/>
    <xf numFmtId="0" fontId="34" fillId="0" borderId="22" xfId="0" applyFont="1" applyBorder="1"/>
    <xf numFmtId="0" fontId="19" fillId="0" borderId="23" xfId="0" applyFont="1" applyBorder="1"/>
    <xf numFmtId="10" fontId="28" fillId="0" borderId="3" xfId="2" applyNumberFormat="1" applyFont="1" applyBorder="1" applyAlignment="1">
      <alignment horizontal="center" vertical="center"/>
    </xf>
    <xf numFmtId="164" fontId="21" fillId="0" borderId="0" xfId="1" applyNumberFormat="1" applyFont="1" applyFill="1" applyAlignment="1">
      <alignment horizontal="center"/>
    </xf>
    <xf numFmtId="164" fontId="21" fillId="0" borderId="0" xfId="1" applyNumberFormat="1" applyFont="1" applyFill="1" applyAlignment="1"/>
    <xf numFmtId="0" fontId="28" fillId="0" borderId="8" xfId="0" applyFont="1" applyBorder="1" applyAlignment="1">
      <alignment horizontal="right" vertical="center"/>
    </xf>
    <xf numFmtId="0" fontId="30" fillId="0" borderId="16" xfId="0" applyFont="1" applyBorder="1" applyAlignment="1">
      <alignment horizontal="center"/>
    </xf>
    <xf numFmtId="0" fontId="21" fillId="0" borderId="2" xfId="0" quotePrefix="1" applyFont="1" applyBorder="1" applyAlignment="1">
      <alignment horizontal="center"/>
    </xf>
    <xf numFmtId="0" fontId="6" fillId="0" borderId="0" xfId="0" applyFont="1"/>
    <xf numFmtId="0" fontId="53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4" fillId="0" borderId="0" xfId="0" applyFont="1"/>
    <xf numFmtId="0" fontId="37" fillId="0" borderId="0" xfId="0" applyFont="1" applyAlignment="1">
      <alignment horizontal="right"/>
    </xf>
    <xf numFmtId="0" fontId="37" fillId="0" borderId="2" xfId="0" applyFont="1" applyBorder="1" applyAlignment="1">
      <alignment horizontal="center"/>
    </xf>
    <xf numFmtId="0" fontId="51" fillId="0" borderId="0" xfId="0" applyFont="1"/>
    <xf numFmtId="10" fontId="28" fillId="0" borderId="9" xfId="2" applyNumberFormat="1" applyFont="1" applyFill="1" applyBorder="1" applyAlignment="1">
      <alignment horizontal="center" vertical="center"/>
    </xf>
    <xf numFmtId="167" fontId="38" fillId="0" borderId="15" xfId="1" applyNumberFormat="1" applyFont="1" applyFill="1" applyBorder="1"/>
    <xf numFmtId="15" fontId="34" fillId="0" borderId="23" xfId="0" applyNumberFormat="1" applyFont="1" applyBorder="1" applyAlignment="1">
      <alignment horizontal="center"/>
    </xf>
    <xf numFmtId="15" fontId="34" fillId="0" borderId="11" xfId="0" applyNumberFormat="1" applyFont="1" applyBorder="1" applyAlignment="1">
      <alignment horizontal="center"/>
    </xf>
    <xf numFmtId="15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50" fillId="0" borderId="0" xfId="0" applyFont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0" fillId="0" borderId="1" xfId="0" applyBorder="1"/>
    <xf numFmtId="0" fontId="34" fillId="0" borderId="1" xfId="0" applyFont="1" applyBorder="1" applyAlignment="1">
      <alignment horizontal="center"/>
    </xf>
    <xf numFmtId="10" fontId="38" fillId="0" borderId="1" xfId="2" applyNumberFormat="1" applyFont="1" applyFill="1" applyBorder="1" applyAlignment="1">
      <alignment horizontal="center"/>
    </xf>
    <xf numFmtId="43" fontId="38" fillId="0" borderId="1" xfId="1" applyFont="1" applyFill="1" applyBorder="1" applyAlignment="1">
      <alignment horizontal="center"/>
    </xf>
    <xf numFmtId="43" fontId="38" fillId="0" borderId="0" xfId="1" applyFont="1" applyAlignment="1">
      <alignment horizontal="center"/>
    </xf>
    <xf numFmtId="43" fontId="38" fillId="0" borderId="0" xfId="1" applyFont="1" applyFill="1" applyAlignment="1">
      <alignment horizontal="center"/>
    </xf>
    <xf numFmtId="0" fontId="50" fillId="0" borderId="0" xfId="0" applyFont="1" applyAlignment="1">
      <alignment horizontal="right"/>
    </xf>
    <xf numFmtId="43" fontId="50" fillId="0" borderId="0" xfId="0" applyNumberFormat="1" applyFont="1"/>
    <xf numFmtId="2" fontId="50" fillId="0" borderId="0" xfId="0" applyNumberFormat="1" applyFont="1"/>
    <xf numFmtId="0" fontId="34" fillId="0" borderId="5" xfId="0" applyFont="1" applyBorder="1" applyAlignment="1">
      <alignment horizontal="center"/>
    </xf>
    <xf numFmtId="0" fontId="34" fillId="0" borderId="23" xfId="0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8" fillId="0" borderId="9" xfId="1" applyNumberFormat="1" applyFont="1" applyFill="1" applyBorder="1" applyAlignment="1">
      <alignment horizontal="center"/>
    </xf>
    <xf numFmtId="164" fontId="38" fillId="0" borderId="12" xfId="1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10" fontId="38" fillId="0" borderId="0" xfId="2" applyNumberFormat="1" applyFont="1" applyFill="1" applyBorder="1" applyAlignment="1">
      <alignment horizontal="center"/>
    </xf>
    <xf numFmtId="10" fontId="38" fillId="0" borderId="0" xfId="2" applyNumberFormat="1" applyFont="1" applyBorder="1" applyAlignment="1">
      <alignment horizontal="center" vertical="center"/>
    </xf>
    <xf numFmtId="10" fontId="28" fillId="0" borderId="3" xfId="2" applyNumberFormat="1" applyFont="1" applyFill="1" applyBorder="1" applyAlignment="1">
      <alignment horizontal="center" vertical="center"/>
    </xf>
    <xf numFmtId="0" fontId="28" fillId="0" borderId="31" xfId="0" applyFont="1" applyBorder="1"/>
    <xf numFmtId="0" fontId="19" fillId="0" borderId="32" xfId="0" applyFont="1" applyBorder="1"/>
    <xf numFmtId="0" fontId="34" fillId="0" borderId="31" xfId="0" applyFont="1" applyBorder="1"/>
    <xf numFmtId="0" fontId="34" fillId="0" borderId="33" xfId="0" applyFont="1" applyBorder="1"/>
    <xf numFmtId="15" fontId="34" fillId="0" borderId="6" xfId="0" applyNumberFormat="1" applyFont="1" applyBorder="1" applyAlignment="1">
      <alignment horizontal="center"/>
    </xf>
    <xf numFmtId="15" fontId="34" fillId="0" borderId="23" xfId="0" quotePrefix="1" applyNumberFormat="1" applyFont="1" applyBorder="1" applyAlignment="1">
      <alignment horizontal="center"/>
    </xf>
    <xf numFmtId="15" fontId="34" fillId="0" borderId="0" xfId="0" applyNumberFormat="1" applyFont="1" applyAlignment="1">
      <alignment horizontal="center"/>
    </xf>
    <xf numFmtId="0" fontId="57" fillId="0" borderId="0" xfId="0" applyFont="1"/>
    <xf numFmtId="0" fontId="34" fillId="0" borderId="11" xfId="0" applyFont="1" applyBorder="1" applyAlignment="1">
      <alignment horizontal="center"/>
    </xf>
    <xf numFmtId="0" fontId="35" fillId="0" borderId="34" xfId="0" applyFont="1" applyBorder="1" applyAlignment="1">
      <alignment horizontal="center"/>
    </xf>
    <xf numFmtId="10" fontId="36" fillId="0" borderId="0" xfId="2" applyNumberFormat="1" applyFont="1" applyFill="1" applyBorder="1"/>
    <xf numFmtId="0" fontId="28" fillId="0" borderId="27" xfId="0" applyFont="1" applyBorder="1" applyAlignment="1">
      <alignment horizontal="center"/>
    </xf>
    <xf numFmtId="0" fontId="37" fillId="2" borderId="25" xfId="0" applyFont="1" applyFill="1" applyBorder="1" applyAlignment="1">
      <alignment horizontal="center"/>
    </xf>
    <xf numFmtId="0" fontId="19" fillId="2" borderId="25" xfId="0" applyFont="1" applyFill="1" applyBorder="1" applyAlignment="1">
      <alignment horizontal="center"/>
    </xf>
    <xf numFmtId="0" fontId="37" fillId="2" borderId="26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43" fontId="24" fillId="0" borderId="0" xfId="1" applyFont="1" applyFill="1" applyBorder="1" applyAlignment="1">
      <alignment horizontal="center" vertical="center"/>
    </xf>
    <xf numFmtId="0" fontId="19" fillId="2" borderId="28" xfId="0" applyFont="1" applyFill="1" applyBorder="1" applyAlignment="1">
      <alignment horizontal="center"/>
    </xf>
    <xf numFmtId="0" fontId="19" fillId="2" borderId="29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0" fontId="37" fillId="2" borderId="24" xfId="0" applyFont="1" applyFill="1" applyBorder="1" applyAlignment="1">
      <alignment horizontal="center"/>
    </xf>
    <xf numFmtId="164" fontId="22" fillId="0" borderId="0" xfId="1" applyNumberFormat="1" applyFont="1" applyFill="1" applyAlignment="1">
      <alignment horizontal="center"/>
    </xf>
    <xf numFmtId="164" fontId="22" fillId="0" borderId="1" xfId="1" applyNumberFormat="1" applyFont="1" applyFill="1" applyBorder="1" applyAlignment="1">
      <alignment horizontal="center"/>
    </xf>
    <xf numFmtId="0" fontId="40" fillId="0" borderId="13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35" fillId="0" borderId="35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0" fillId="0" borderId="8" xfId="0" applyBorder="1"/>
    <xf numFmtId="0" fontId="0" fillId="0" borderId="13" xfId="0" applyBorder="1"/>
    <xf numFmtId="0" fontId="34" fillId="0" borderId="15" xfId="0" applyFont="1" applyBorder="1" applyAlignment="1">
      <alignment horizontal="right"/>
    </xf>
    <xf numFmtId="0" fontId="34" fillId="0" borderId="8" xfId="0" applyFont="1" applyBorder="1"/>
    <xf numFmtId="164" fontId="38" fillId="0" borderId="3" xfId="1" applyNumberFormat="1" applyFont="1" applyFill="1" applyBorder="1" applyAlignment="1">
      <alignment horizontal="center"/>
    </xf>
    <xf numFmtId="165" fontId="22" fillId="0" borderId="0" xfId="3" applyNumberFormat="1" applyFont="1" applyFill="1" applyAlignment="1">
      <alignment horizontal="right"/>
    </xf>
    <xf numFmtId="2" fontId="15" fillId="0" borderId="4" xfId="0" applyNumberFormat="1" applyFont="1" applyBorder="1" applyAlignment="1">
      <alignment horizontal="center"/>
    </xf>
    <xf numFmtId="0" fontId="35" fillId="0" borderId="36" xfId="0" applyFont="1" applyBorder="1" applyAlignment="1">
      <alignment horizontal="center"/>
    </xf>
    <xf numFmtId="164" fontId="21" fillId="0" borderId="0" xfId="0" applyNumberFormat="1" applyFont="1" applyAlignment="1">
      <alignment horizontal="right"/>
    </xf>
    <xf numFmtId="10" fontId="24" fillId="0" borderId="31" xfId="2" applyNumberFormat="1" applyFont="1" applyFill="1" applyBorder="1" applyAlignment="1">
      <alignment horizontal="right"/>
    </xf>
    <xf numFmtId="10" fontId="24" fillId="0" borderId="33" xfId="0" applyNumberFormat="1" applyFont="1" applyBorder="1"/>
    <xf numFmtId="0" fontId="0" fillId="0" borderId="6" xfId="0" applyBorder="1"/>
    <xf numFmtId="10" fontId="38" fillId="0" borderId="0" xfId="2" applyNumberFormat="1" applyFont="1" applyFill="1" applyBorder="1" applyAlignment="1">
      <alignment horizontal="right"/>
    </xf>
    <xf numFmtId="10" fontId="22" fillId="0" borderId="0" xfId="2" applyNumberFormat="1" applyFont="1" applyFill="1" applyAlignment="1">
      <alignment horizontal="center" vertical="center"/>
    </xf>
    <xf numFmtId="10" fontId="22" fillId="0" borderId="1" xfId="2" applyNumberFormat="1" applyFont="1" applyFill="1" applyBorder="1" applyAlignment="1">
      <alignment horizontal="center" vertical="center"/>
    </xf>
    <xf numFmtId="10" fontId="21" fillId="0" borderId="0" xfId="2" applyNumberFormat="1" applyFont="1" applyFill="1" applyAlignment="1">
      <alignment horizontal="right" vertical="center"/>
    </xf>
    <xf numFmtId="10" fontId="21" fillId="0" borderId="0" xfId="2" applyNumberFormat="1" applyFont="1" applyFill="1" applyBorder="1" applyAlignment="1">
      <alignment horizontal="right" vertical="center"/>
    </xf>
    <xf numFmtId="44" fontId="22" fillId="0" borderId="0" xfId="3" applyFont="1" applyFill="1" applyAlignment="1">
      <alignment horizontal="center"/>
    </xf>
    <xf numFmtId="0" fontId="19" fillId="0" borderId="22" xfId="0" applyFont="1" applyBorder="1"/>
    <xf numFmtId="0" fontId="0" fillId="0" borderId="32" xfId="0" applyBorder="1"/>
    <xf numFmtId="10" fontId="22" fillId="0" borderId="0" xfId="2" applyNumberFormat="1" applyFont="1" applyAlignment="1">
      <alignment horizontal="right"/>
    </xf>
    <xf numFmtId="164" fontId="22" fillId="0" borderId="0" xfId="1" applyNumberFormat="1" applyFont="1" applyFill="1" applyAlignment="1"/>
    <xf numFmtId="164" fontId="22" fillId="0" borderId="1" xfId="1" applyNumberFormat="1" applyFont="1" applyFill="1" applyBorder="1" applyAlignment="1"/>
    <xf numFmtId="43" fontId="22" fillId="0" borderId="1" xfId="1" applyFont="1" applyFill="1" applyBorder="1" applyAlignment="1">
      <alignment horizontal="right" vertical="center"/>
    </xf>
    <xf numFmtId="43" fontId="38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right"/>
    </xf>
    <xf numFmtId="10" fontId="22" fillId="0" borderId="1" xfId="2" applyNumberFormat="1" applyFont="1" applyBorder="1" applyAlignment="1">
      <alignment horizontal="right" vertical="center"/>
    </xf>
    <xf numFmtId="0" fontId="34" fillId="0" borderId="1" xfId="0" applyFont="1" applyBorder="1" applyAlignment="1">
      <alignment horizontal="right"/>
    </xf>
    <xf numFmtId="164" fontId="19" fillId="0" borderId="0" xfId="1" applyNumberFormat="1" applyFont="1"/>
    <xf numFmtId="164" fontId="50" fillId="0" borderId="0" xfId="0" applyNumberFormat="1" applyFont="1"/>
    <xf numFmtId="0" fontId="60" fillId="0" borderId="0" xfId="0" applyFont="1"/>
    <xf numFmtId="0" fontId="61" fillId="0" borderId="0" xfId="0" applyFont="1"/>
    <xf numFmtId="0" fontId="34" fillId="0" borderId="3" xfId="0" applyFont="1" applyBorder="1" applyAlignment="1">
      <alignment horizontal="right"/>
    </xf>
    <xf numFmtId="164" fontId="38" fillId="0" borderId="13" xfId="1" applyNumberFormat="1" applyFont="1" applyFill="1" applyBorder="1" applyAlignment="1">
      <alignment horizontal="center"/>
    </xf>
    <xf numFmtId="10" fontId="22" fillId="0" borderId="4" xfId="2" applyNumberFormat="1" applyFont="1" applyFill="1" applyBorder="1" applyAlignment="1">
      <alignment horizontal="right"/>
    </xf>
    <xf numFmtId="10" fontId="22" fillId="0" borderId="4" xfId="2" applyNumberFormat="1" applyFont="1" applyBorder="1" applyAlignment="1">
      <alignment horizontal="right"/>
    </xf>
    <xf numFmtId="10" fontId="22" fillId="0" borderId="4" xfId="2" applyNumberFormat="1" applyFont="1" applyFill="1" applyBorder="1" applyAlignment="1">
      <alignment horizontal="center"/>
    </xf>
    <xf numFmtId="10" fontId="28" fillId="0" borderId="2" xfId="2" applyNumberFormat="1" applyFont="1" applyBorder="1" applyAlignment="1">
      <alignment horizontal="center" vertical="center"/>
    </xf>
    <xf numFmtId="0" fontId="19" fillId="0" borderId="20" xfId="0" applyFont="1" applyBorder="1"/>
    <xf numFmtId="164" fontId="38" fillId="0" borderId="2" xfId="1" applyNumberFormat="1" applyFont="1" applyFill="1" applyBorder="1"/>
    <xf numFmtId="3" fontId="38" fillId="0" borderId="2" xfId="0" applyNumberFormat="1" applyFont="1" applyBorder="1"/>
    <xf numFmtId="0" fontId="34" fillId="0" borderId="4" xfId="0" applyFont="1" applyBorder="1" applyAlignment="1">
      <alignment horizontal="center"/>
    </xf>
    <xf numFmtId="2" fontId="38" fillId="0" borderId="37" xfId="0" applyNumberFormat="1" applyFont="1" applyBorder="1" applyAlignment="1">
      <alignment horizontal="center"/>
    </xf>
    <xf numFmtId="165" fontId="22" fillId="0" borderId="0" xfId="3" applyNumberFormat="1" applyFont="1" applyFill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164" fontId="45" fillId="0" borderId="0" xfId="1" applyNumberFormat="1" applyFont="1" applyFill="1" applyBorder="1"/>
    <xf numFmtId="10" fontId="34" fillId="0" borderId="1" xfId="2" applyNumberFormat="1" applyFont="1" applyFill="1" applyBorder="1"/>
    <xf numFmtId="3" fontId="38" fillId="0" borderId="9" xfId="0" applyNumberFormat="1" applyFont="1" applyBorder="1"/>
    <xf numFmtId="3" fontId="38" fillId="0" borderId="3" xfId="0" applyNumberFormat="1" applyFont="1" applyBorder="1"/>
    <xf numFmtId="10" fontId="22" fillId="0" borderId="0" xfId="2" applyNumberFormat="1" applyFont="1" applyFill="1" applyAlignment="1">
      <alignment horizontal="right" vertical="center"/>
    </xf>
    <xf numFmtId="10" fontId="22" fillId="0" borderId="1" xfId="2" applyNumberFormat="1" applyFont="1" applyFill="1" applyBorder="1" applyAlignment="1">
      <alignment horizontal="right" vertical="center"/>
    </xf>
    <xf numFmtId="2" fontId="22" fillId="0" borderId="0" xfId="0" applyNumberFormat="1" applyFont="1" applyAlignment="1">
      <alignment horizontal="right" vertical="center"/>
    </xf>
    <xf numFmtId="2" fontId="22" fillId="0" borderId="1" xfId="0" applyNumberFormat="1" applyFont="1" applyBorder="1" applyAlignment="1">
      <alignment horizontal="right" vertical="center"/>
    </xf>
    <xf numFmtId="43" fontId="38" fillId="0" borderId="15" xfId="1" applyFont="1" applyFill="1" applyBorder="1"/>
    <xf numFmtId="2" fontId="36" fillId="0" borderId="17" xfId="0" applyNumberFormat="1" applyFont="1" applyBorder="1"/>
    <xf numFmtId="10" fontId="36" fillId="0" borderId="27" xfId="2" applyNumberFormat="1" applyFont="1" applyFill="1" applyBorder="1"/>
    <xf numFmtId="43" fontId="36" fillId="0" borderId="27" xfId="1" applyFont="1" applyFill="1" applyBorder="1"/>
    <xf numFmtId="0" fontId="36" fillId="0" borderId="27" xfId="0" applyFont="1" applyBorder="1"/>
    <xf numFmtId="2" fontId="36" fillId="0" borderId="27" xfId="0" applyNumberFormat="1" applyFont="1" applyBorder="1"/>
    <xf numFmtId="2" fontId="38" fillId="0" borderId="3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center"/>
    </xf>
    <xf numFmtId="2" fontId="22" fillId="0" borderId="0" xfId="0" applyNumberFormat="1" applyFont="1" applyAlignment="1">
      <alignment horizontal="right"/>
    </xf>
    <xf numFmtId="0" fontId="19" fillId="0" borderId="4" xfId="0" applyFont="1" applyBorder="1" applyAlignment="1">
      <alignment horizontal="right"/>
    </xf>
    <xf numFmtId="0" fontId="38" fillId="0" borderId="17" xfId="0" applyFont="1" applyBorder="1"/>
    <xf numFmtId="0" fontId="28" fillId="0" borderId="3" xfId="0" applyFont="1" applyBorder="1" applyAlignment="1">
      <alignment horizontal="center"/>
    </xf>
    <xf numFmtId="0" fontId="34" fillId="3" borderId="38" xfId="0" applyFont="1" applyFill="1" applyBorder="1"/>
    <xf numFmtId="10" fontId="38" fillId="3" borderId="38" xfId="2" applyNumberFormat="1" applyFont="1" applyFill="1" applyBorder="1" applyAlignment="1">
      <alignment horizontal="center"/>
    </xf>
    <xf numFmtId="0" fontId="19" fillId="0" borderId="19" xfId="0" applyFont="1" applyBorder="1"/>
    <xf numFmtId="0" fontId="34" fillId="3" borderId="19" xfId="0" applyFont="1" applyFill="1" applyBorder="1"/>
    <xf numFmtId="10" fontId="38" fillId="3" borderId="19" xfId="2" applyNumberFormat="1" applyFont="1" applyFill="1" applyBorder="1" applyAlignment="1">
      <alignment horizontal="center"/>
    </xf>
    <xf numFmtId="0" fontId="38" fillId="2" borderId="21" xfId="0" applyFont="1" applyFill="1" applyBorder="1"/>
    <xf numFmtId="2" fontId="38" fillId="0" borderId="0" xfId="0" applyNumberFormat="1" applyFont="1" applyAlignment="1">
      <alignment horizontal="right"/>
    </xf>
    <xf numFmtId="10" fontId="21" fillId="0" borderId="0" xfId="0" applyNumberFormat="1" applyFont="1" applyAlignment="1">
      <alignment horizontal="right"/>
    </xf>
    <xf numFmtId="2" fontId="22" fillId="0" borderId="4" xfId="0" applyNumberFormat="1" applyFont="1" applyBorder="1" applyAlignment="1">
      <alignment horizontal="right"/>
    </xf>
    <xf numFmtId="10" fontId="21" fillId="0" borderId="4" xfId="0" applyNumberFormat="1" applyFont="1" applyBorder="1" applyAlignment="1">
      <alignment horizontal="right"/>
    </xf>
    <xf numFmtId="1" fontId="22" fillId="0" borderId="0" xfId="0" applyNumberFormat="1" applyFont="1" applyAlignment="1">
      <alignment horizontal="right"/>
    </xf>
    <xf numFmtId="0" fontId="36" fillId="0" borderId="15" xfId="0" applyFont="1" applyBorder="1" applyAlignment="1">
      <alignment horizontal="center"/>
    </xf>
    <xf numFmtId="0" fontId="19" fillId="0" borderId="8" xfId="0" applyFont="1" applyBorder="1"/>
    <xf numFmtId="0" fontId="19" fillId="0" borderId="13" xfId="0" applyFont="1" applyBorder="1"/>
    <xf numFmtId="10" fontId="38" fillId="2" borderId="19" xfId="2" applyNumberFormat="1" applyFont="1" applyFill="1" applyBorder="1" applyAlignment="1">
      <alignment horizontal="center"/>
    </xf>
    <xf numFmtId="0" fontId="34" fillId="3" borderId="25" xfId="0" applyFont="1" applyFill="1" applyBorder="1"/>
    <xf numFmtId="0" fontId="38" fillId="3" borderId="25" xfId="0" applyFont="1" applyFill="1" applyBorder="1"/>
    <xf numFmtId="0" fontId="38" fillId="2" borderId="25" xfId="0" applyFont="1" applyFill="1" applyBorder="1"/>
    <xf numFmtId="0" fontId="37" fillId="2" borderId="0" xfId="0" applyFont="1" applyFill="1" applyAlignment="1">
      <alignment horizontal="center"/>
    </xf>
    <xf numFmtId="0" fontId="19" fillId="2" borderId="39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19" fillId="2" borderId="40" xfId="0" applyFont="1" applyFill="1" applyBorder="1" applyAlignment="1">
      <alignment horizontal="center"/>
    </xf>
    <xf numFmtId="0" fontId="19" fillId="2" borderId="41" xfId="0" applyFont="1" applyFill="1" applyBorder="1" applyAlignment="1">
      <alignment horizontal="center"/>
    </xf>
    <xf numFmtId="10" fontId="24" fillId="0" borderId="15" xfId="2" applyNumberFormat="1" applyFont="1" applyFill="1" applyBorder="1" applyAlignment="1">
      <alignment horizontal="center"/>
    </xf>
    <xf numFmtId="2" fontId="24" fillId="0" borderId="15" xfId="0" applyNumberFormat="1" applyFont="1" applyBorder="1" applyAlignment="1">
      <alignment horizontal="center"/>
    </xf>
    <xf numFmtId="2" fontId="24" fillId="0" borderId="15" xfId="0" applyNumberFormat="1" applyFont="1" applyBorder="1" applyAlignment="1">
      <alignment horizontal="center" vertical="center"/>
    </xf>
    <xf numFmtId="10" fontId="24" fillId="0" borderId="15" xfId="2" applyNumberFormat="1" applyFont="1" applyFill="1" applyBorder="1" applyAlignment="1">
      <alignment horizontal="center" vertical="center"/>
    </xf>
    <xf numFmtId="10" fontId="23" fillId="0" borderId="15" xfId="2" applyNumberFormat="1" applyFont="1" applyFill="1" applyBorder="1"/>
    <xf numFmtId="10" fontId="23" fillId="0" borderId="15" xfId="2" applyNumberFormat="1" applyFont="1" applyFill="1" applyBorder="1" applyAlignment="1">
      <alignment horizontal="center"/>
    </xf>
    <xf numFmtId="43" fontId="24" fillId="0" borderId="15" xfId="1" applyFont="1" applyFill="1" applyBorder="1" applyAlignment="1">
      <alignment horizontal="center" vertical="center"/>
    </xf>
    <xf numFmtId="10" fontId="38" fillId="0" borderId="15" xfId="2" applyNumberFormat="1" applyFont="1" applyFill="1" applyBorder="1"/>
    <xf numFmtId="10" fontId="42" fillId="0" borderId="15" xfId="2" applyNumberFormat="1" applyFont="1" applyFill="1" applyBorder="1" applyAlignment="1">
      <alignment horizontal="center"/>
    </xf>
    <xf numFmtId="10" fontId="38" fillId="2" borderId="21" xfId="2" applyNumberFormat="1" applyFont="1" applyFill="1" applyBorder="1" applyAlignment="1">
      <alignment horizontal="center"/>
    </xf>
    <xf numFmtId="10" fontId="38" fillId="0" borderId="17" xfId="2" applyNumberFormat="1" applyFont="1" applyFill="1" applyBorder="1" applyAlignment="1">
      <alignment horizontal="center"/>
    </xf>
    <xf numFmtId="0" fontId="0" fillId="0" borderId="19" xfId="0" applyBorder="1"/>
    <xf numFmtId="0" fontId="63" fillId="0" borderId="19" xfId="0" applyFont="1" applyBorder="1"/>
    <xf numFmtId="0" fontId="47" fillId="0" borderId="0" xfId="6" applyFont="1"/>
    <xf numFmtId="0" fontId="45" fillId="0" borderId="7" xfId="0" applyFont="1" applyBorder="1" applyAlignment="1">
      <alignment horizontal="center" vertical="center"/>
    </xf>
    <xf numFmtId="10" fontId="45" fillId="0" borderId="0" xfId="2" applyNumberFormat="1" applyFont="1" applyFill="1" applyBorder="1" applyAlignment="1">
      <alignment horizontal="center" vertical="center"/>
    </xf>
    <xf numFmtId="0" fontId="38" fillId="0" borderId="8" xfId="0" applyFont="1" applyBorder="1"/>
    <xf numFmtId="0" fontId="37" fillId="0" borderId="23" xfId="0" applyFont="1" applyBorder="1"/>
    <xf numFmtId="15" fontId="34" fillId="0" borderId="9" xfId="0" quotePrefix="1" applyNumberFormat="1" applyFont="1" applyBorder="1" applyAlignment="1">
      <alignment horizontal="center"/>
    </xf>
    <xf numFmtId="0" fontId="37" fillId="0" borderId="9" xfId="0" applyFont="1" applyBorder="1"/>
    <xf numFmtId="165" fontId="38" fillId="0" borderId="9" xfId="3" applyNumberFormat="1" applyFont="1" applyFill="1" applyBorder="1"/>
    <xf numFmtId="165" fontId="38" fillId="0" borderId="3" xfId="3" applyNumberFormat="1" applyFont="1" applyFill="1" applyBorder="1"/>
    <xf numFmtId="164" fontId="38" fillId="0" borderId="9" xfId="1" applyNumberFormat="1" applyFont="1" applyFill="1" applyBorder="1"/>
    <xf numFmtId="10" fontId="38" fillId="0" borderId="9" xfId="2" applyNumberFormat="1" applyFont="1" applyFill="1" applyBorder="1"/>
    <xf numFmtId="10" fontId="38" fillId="0" borderId="3" xfId="2" applyNumberFormat="1" applyFont="1" applyFill="1" applyBorder="1"/>
    <xf numFmtId="0" fontId="65" fillId="0" borderId="27" xfId="0" applyFont="1" applyBorder="1" applyAlignment="1">
      <alignment horizontal="center"/>
    </xf>
    <xf numFmtId="0" fontId="65" fillId="0" borderId="18" xfId="0" applyFont="1" applyBorder="1" applyAlignment="1">
      <alignment horizontal="center"/>
    </xf>
    <xf numFmtId="164" fontId="65" fillId="0" borderId="22" xfId="1" applyNumberFormat="1" applyFont="1" applyFill="1" applyBorder="1"/>
    <xf numFmtId="164" fontId="65" fillId="0" borderId="26" xfId="1" applyNumberFormat="1" applyFont="1" applyFill="1" applyBorder="1"/>
    <xf numFmtId="0" fontId="65" fillId="0" borderId="27" xfId="0" applyFont="1" applyBorder="1"/>
    <xf numFmtId="0" fontId="66" fillId="0" borderId="25" xfId="0" applyFont="1" applyBorder="1"/>
    <xf numFmtId="3" fontId="65" fillId="0" borderId="20" xfId="0" applyNumberFormat="1" applyFont="1" applyBorder="1" applyAlignment="1">
      <alignment horizontal="right"/>
    </xf>
    <xf numFmtId="164" fontId="65" fillId="0" borderId="20" xfId="1" applyNumberFormat="1" applyFont="1" applyFill="1" applyBorder="1" applyAlignment="1">
      <alignment horizontal="right"/>
    </xf>
    <xf numFmtId="164" fontId="65" fillId="0" borderId="20" xfId="1" applyNumberFormat="1" applyFont="1" applyFill="1" applyBorder="1"/>
    <xf numFmtId="0" fontId="66" fillId="0" borderId="26" xfId="0" applyFont="1" applyBorder="1"/>
    <xf numFmtId="3" fontId="65" fillId="0" borderId="25" xfId="0" applyNumberFormat="1" applyFont="1" applyBorder="1" applyAlignment="1">
      <alignment horizontal="right"/>
    </xf>
    <xf numFmtId="164" fontId="38" fillId="0" borderId="3" xfId="1" applyNumberFormat="1" applyFont="1" applyFill="1" applyBorder="1"/>
    <xf numFmtId="0" fontId="28" fillId="2" borderId="24" xfId="0" applyFont="1" applyFill="1" applyBorder="1" applyAlignment="1">
      <alignment horizontal="center"/>
    </xf>
    <xf numFmtId="10" fontId="22" fillId="2" borderId="9" xfId="2" applyNumberFormat="1" applyFont="1" applyFill="1" applyBorder="1" applyAlignment="1">
      <alignment horizontal="center"/>
    </xf>
    <xf numFmtId="10" fontId="22" fillId="2" borderId="9" xfId="1" applyNumberFormat="1" applyFont="1" applyFill="1" applyBorder="1" applyAlignment="1">
      <alignment horizontal="center"/>
    </xf>
    <xf numFmtId="0" fontId="37" fillId="2" borderId="28" xfId="0" applyFont="1" applyFill="1" applyBorder="1" applyAlignment="1">
      <alignment horizontal="center"/>
    </xf>
    <xf numFmtId="0" fontId="37" fillId="2" borderId="19" xfId="0" applyFont="1" applyFill="1" applyBorder="1" applyAlignment="1">
      <alignment horizontal="center"/>
    </xf>
    <xf numFmtId="0" fontId="37" fillId="2" borderId="21" xfId="0" applyFont="1" applyFill="1" applyBorder="1" applyAlignment="1">
      <alignment horizontal="center"/>
    </xf>
    <xf numFmtId="0" fontId="59" fillId="2" borderId="15" xfId="0" applyFont="1" applyFill="1" applyBorder="1"/>
    <xf numFmtId="10" fontId="22" fillId="0" borderId="1" xfId="1" applyNumberFormat="1" applyFont="1" applyFill="1" applyBorder="1" applyAlignment="1"/>
    <xf numFmtId="0" fontId="62" fillId="2" borderId="23" xfId="0" applyFont="1" applyFill="1" applyBorder="1" applyAlignment="1">
      <alignment horizontal="center" vertical="center" wrapText="1"/>
    </xf>
    <xf numFmtId="0" fontId="67" fillId="0" borderId="0" xfId="0" applyFont="1"/>
    <xf numFmtId="0" fontId="68" fillId="0" borderId="0" xfId="0" applyFont="1"/>
    <xf numFmtId="0" fontId="65" fillId="0" borderId="0" xfId="0" applyFont="1"/>
    <xf numFmtId="165" fontId="21" fillId="0" borderId="0" xfId="3" applyNumberFormat="1" applyFont="1" applyFill="1"/>
    <xf numFmtId="10" fontId="28" fillId="0" borderId="0" xfId="2" applyNumberFormat="1" applyFont="1" applyFill="1" applyBorder="1" applyAlignment="1">
      <alignment horizontal="center" vertical="center"/>
    </xf>
    <xf numFmtId="0" fontId="5" fillId="0" borderId="0" xfId="0" applyFont="1"/>
    <xf numFmtId="0" fontId="46" fillId="4" borderId="24" xfId="0" applyFont="1" applyFill="1" applyBorder="1" applyAlignment="1">
      <alignment horizontal="center"/>
    </xf>
    <xf numFmtId="0" fontId="46" fillId="4" borderId="26" xfId="0" applyFont="1" applyFill="1" applyBorder="1" applyAlignment="1">
      <alignment horizontal="center"/>
    </xf>
    <xf numFmtId="0" fontId="28" fillId="0" borderId="28" xfId="0" applyFont="1" applyBorder="1"/>
    <xf numFmtId="10" fontId="46" fillId="0" borderId="24" xfId="2" applyNumberFormat="1" applyFont="1" applyFill="1" applyBorder="1" applyAlignment="1">
      <alignment horizontal="center"/>
    </xf>
    <xf numFmtId="10" fontId="67" fillId="0" borderId="24" xfId="2" applyNumberFormat="1" applyFont="1" applyFill="1" applyBorder="1" applyAlignment="1">
      <alignment horizontal="center"/>
    </xf>
    <xf numFmtId="0" fontId="28" fillId="0" borderId="19" xfId="0" applyFont="1" applyBorder="1"/>
    <xf numFmtId="10" fontId="46" fillId="0" borderId="25" xfId="2" applyNumberFormat="1" applyFont="1" applyFill="1" applyBorder="1" applyAlignment="1">
      <alignment horizontal="center"/>
    </xf>
    <xf numFmtId="10" fontId="67" fillId="0" borderId="25" xfId="2" applyNumberFormat="1" applyFont="1" applyFill="1" applyBorder="1" applyAlignment="1">
      <alignment horizontal="center"/>
    </xf>
    <xf numFmtId="0" fontId="28" fillId="0" borderId="21" xfId="0" applyFont="1" applyBorder="1"/>
    <xf numFmtId="10" fontId="46" fillId="0" borderId="26" xfId="2" applyNumberFormat="1" applyFont="1" applyFill="1" applyBorder="1" applyAlignment="1">
      <alignment horizontal="center"/>
    </xf>
    <xf numFmtId="10" fontId="67" fillId="0" borderId="26" xfId="2" applyNumberFormat="1" applyFont="1" applyFill="1" applyBorder="1" applyAlignment="1">
      <alignment horizontal="center"/>
    </xf>
    <xf numFmtId="10" fontId="28" fillId="0" borderId="25" xfId="2" applyNumberFormat="1" applyFont="1" applyFill="1" applyBorder="1" applyAlignment="1">
      <alignment horizontal="center"/>
    </xf>
    <xf numFmtId="10" fontId="28" fillId="0" borderId="26" xfId="2" applyNumberFormat="1" applyFont="1" applyFill="1" applyBorder="1" applyAlignment="1">
      <alignment horizontal="center"/>
    </xf>
    <xf numFmtId="10" fontId="46" fillId="0" borderId="25" xfId="2" applyNumberFormat="1" applyFont="1" applyBorder="1" applyAlignment="1">
      <alignment horizontal="center" vertical="center"/>
    </xf>
    <xf numFmtId="10" fontId="46" fillId="0" borderId="26" xfId="2" applyNumberFormat="1" applyFont="1" applyBorder="1" applyAlignment="1">
      <alignment horizontal="center" vertical="center"/>
    </xf>
    <xf numFmtId="10" fontId="28" fillId="0" borderId="24" xfId="2" applyNumberFormat="1" applyFont="1" applyFill="1" applyBorder="1" applyAlignment="1">
      <alignment horizontal="center"/>
    </xf>
    <xf numFmtId="0" fontId="38" fillId="0" borderId="28" xfId="0" applyFont="1" applyBorder="1"/>
    <xf numFmtId="0" fontId="19" fillId="0" borderId="30" xfId="0" applyFont="1" applyBorder="1"/>
    <xf numFmtId="0" fontId="19" fillId="0" borderId="29" xfId="0" applyFont="1" applyBorder="1"/>
    <xf numFmtId="0" fontId="0" fillId="0" borderId="29" xfId="0" applyBorder="1"/>
    <xf numFmtId="0" fontId="38" fillId="0" borderId="19" xfId="0" applyFont="1" applyBorder="1"/>
    <xf numFmtId="0" fontId="0" fillId="0" borderId="20" xfId="0" applyBorder="1"/>
    <xf numFmtId="0" fontId="38" fillId="0" borderId="21" xfId="0" applyFont="1" applyBorder="1"/>
    <xf numFmtId="0" fontId="19" fillId="0" borderId="1" xfId="0" applyFont="1" applyBorder="1"/>
    <xf numFmtId="0" fontId="0" fillId="0" borderId="22" xfId="0" applyBorder="1"/>
    <xf numFmtId="10" fontId="34" fillId="0" borderId="28" xfId="2" applyNumberFormat="1" applyFont="1" applyBorder="1" applyAlignment="1">
      <alignment horizontal="left"/>
    </xf>
    <xf numFmtId="0" fontId="0" fillId="0" borderId="30" xfId="0" applyBorder="1"/>
    <xf numFmtId="0" fontId="74" fillId="0" borderId="21" xfId="6" applyFont="1" applyBorder="1"/>
    <xf numFmtId="0" fontId="65" fillId="0" borderId="0" xfId="0" applyFont="1" applyAlignment="1">
      <alignment vertical="center"/>
    </xf>
    <xf numFmtId="15" fontId="75" fillId="0" borderId="0" xfId="0" quotePrefix="1" applyNumberFormat="1" applyFont="1" applyAlignment="1">
      <alignment horizontal="left"/>
    </xf>
    <xf numFmtId="0" fontId="76" fillId="0" borderId="0" xfId="6" applyFont="1"/>
    <xf numFmtId="0" fontId="64" fillId="0" borderId="0" xfId="0" applyFont="1"/>
    <xf numFmtId="0" fontId="77" fillId="0" borderId="0" xfId="0" applyFont="1" applyAlignment="1">
      <alignment vertical="center"/>
    </xf>
    <xf numFmtId="0" fontId="79" fillId="0" borderId="0" xfId="6" applyFont="1" applyAlignment="1">
      <alignment vertical="center"/>
    </xf>
    <xf numFmtId="0" fontId="76" fillId="0" borderId="0" xfId="6" applyFont="1" applyAlignment="1">
      <alignment vertical="center"/>
    </xf>
    <xf numFmtId="0" fontId="75" fillId="0" borderId="0" xfId="6" applyFont="1"/>
    <xf numFmtId="17" fontId="77" fillId="0" borderId="0" xfId="0" quotePrefix="1" applyNumberFormat="1" applyFont="1" applyAlignment="1">
      <alignment vertical="center"/>
    </xf>
    <xf numFmtId="0" fontId="80" fillId="0" borderId="0" xfId="6" applyFont="1" applyAlignment="1">
      <alignment vertical="center"/>
    </xf>
    <xf numFmtId="0" fontId="80" fillId="0" borderId="0" xfId="0" applyFont="1"/>
    <xf numFmtId="0" fontId="81" fillId="0" borderId="0" xfId="0" applyFont="1" applyAlignment="1">
      <alignment vertical="center"/>
    </xf>
    <xf numFmtId="0" fontId="28" fillId="4" borderId="27" xfId="0" applyFont="1" applyFill="1" applyBorder="1" applyAlignment="1">
      <alignment horizontal="center"/>
    </xf>
    <xf numFmtId="0" fontId="0" fillId="0" borderId="28" xfId="0" applyBorder="1"/>
    <xf numFmtId="0" fontId="82" fillId="0" borderId="30" xfId="0" applyFont="1" applyBorder="1" applyAlignment="1">
      <alignment horizontal="right"/>
    </xf>
    <xf numFmtId="0" fontId="0" fillId="0" borderId="24" xfId="0" applyBorder="1"/>
    <xf numFmtId="0" fontId="83" fillId="0" borderId="0" xfId="0" applyFont="1" applyAlignment="1">
      <alignment horizontal="right"/>
    </xf>
    <xf numFmtId="10" fontId="28" fillId="0" borderId="25" xfId="2" applyNumberFormat="1" applyFont="1" applyBorder="1" applyAlignment="1">
      <alignment horizontal="center"/>
    </xf>
    <xf numFmtId="0" fontId="28" fillId="0" borderId="0" xfId="0" applyFont="1" applyAlignment="1">
      <alignment horizontal="right" indent="1"/>
    </xf>
    <xf numFmtId="0" fontId="82" fillId="0" borderId="0" xfId="0" applyFont="1" applyAlignment="1">
      <alignment horizontal="right"/>
    </xf>
    <xf numFmtId="0" fontId="19" fillId="0" borderId="25" xfId="0" applyFont="1" applyBorder="1" applyAlignment="1">
      <alignment horizontal="center"/>
    </xf>
    <xf numFmtId="10" fontId="24" fillId="5" borderId="15" xfId="2" applyNumberFormat="1" applyFont="1" applyFill="1" applyBorder="1" applyAlignment="1">
      <alignment horizontal="center"/>
    </xf>
    <xf numFmtId="0" fontId="82" fillId="0" borderId="0" xfId="0" applyFont="1" applyAlignment="1">
      <alignment horizontal="right" vertical="center"/>
    </xf>
    <xf numFmtId="10" fontId="82" fillId="0" borderId="25" xfId="0" applyNumberFormat="1" applyFont="1" applyBorder="1" applyAlignment="1">
      <alignment horizontal="center"/>
    </xf>
    <xf numFmtId="0" fontId="0" fillId="0" borderId="21" xfId="0" applyBorder="1"/>
    <xf numFmtId="0" fontId="82" fillId="0" borderId="1" xfId="0" applyFont="1" applyBorder="1" applyAlignment="1">
      <alignment horizontal="right" vertical="center"/>
    </xf>
    <xf numFmtId="10" fontId="82" fillId="0" borderId="26" xfId="0" applyNumberFormat="1" applyFont="1" applyBorder="1" applyAlignment="1">
      <alignment horizontal="center"/>
    </xf>
    <xf numFmtId="15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52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51" fillId="0" borderId="0" xfId="0" applyNumberFormat="1" applyFont="1" applyAlignment="1">
      <alignment horizontal="left"/>
    </xf>
    <xf numFmtId="10" fontId="72" fillId="0" borderId="0" xfId="2" applyNumberFormat="1" applyFont="1" applyFill="1" applyBorder="1" applyAlignment="1">
      <alignment horizontal="left"/>
    </xf>
    <xf numFmtId="0" fontId="73" fillId="0" borderId="0" xfId="0" applyFont="1" applyAlignment="1">
      <alignment horizontal="left"/>
    </xf>
    <xf numFmtId="10" fontId="42" fillId="5" borderId="15" xfId="2" applyNumberFormat="1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85" fillId="0" borderId="0" xfId="0" applyFont="1"/>
    <xf numFmtId="10" fontId="22" fillId="0" borderId="0" xfId="0" applyNumberFormat="1" applyFont="1" applyAlignment="1">
      <alignment horizontal="right"/>
    </xf>
    <xf numFmtId="10" fontId="22" fillId="0" borderId="0" xfId="1" applyNumberFormat="1" applyFont="1" applyFill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28" fillId="4" borderId="42" xfId="0" applyFont="1" applyFill="1" applyBorder="1" applyAlignment="1">
      <alignment horizontal="center"/>
    </xf>
    <xf numFmtId="0" fontId="28" fillId="4" borderId="18" xfId="0" applyFont="1" applyFill="1" applyBorder="1" applyAlignment="1">
      <alignment horizontal="center"/>
    </xf>
  </cellXfs>
  <cellStyles count="7">
    <cellStyle name="Comma" xfId="1" builtinId="3"/>
    <cellStyle name="Comma0 - Style5" xfId="4" xr:uid="{1397E544-7A5D-4627-82CA-446E9A855C6D}"/>
    <cellStyle name="Currency" xfId="3" builtinId="4"/>
    <cellStyle name="Hyperlink" xfId="6" builtinId="8"/>
    <cellStyle name="Normal" xfId="0" builtinId="0"/>
    <cellStyle name="Percen - Style2" xfId="5" xr:uid="{A055BC95-278A-4F04-A738-FFE257F1BA8F}"/>
    <cellStyle name="Percent" xfId="2" builtinId="5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447674</xdr:colOff>
      <xdr:row>33</xdr:row>
      <xdr:rowOff>53975</xdr:rowOff>
    </xdr:from>
    <xdr:to>
      <xdr:col>6</xdr:col>
      <xdr:colOff>177799</xdr:colOff>
      <xdr:row>35</xdr:row>
      <xdr:rowOff>149225</xdr:rowOff>
    </xdr:to>
    <xdr:pic>
      <xdr:nvPicPr>
        <xdr:cNvPr id="3" name="Picture 2" descr="Horse.bmp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24074" y="7235825"/>
          <a:ext cx="1781175" cy="476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600075</xdr:colOff>
      <xdr:row>46</xdr:row>
      <xdr:rowOff>47625</xdr:rowOff>
    </xdr:to>
    <xdr:pic>
      <xdr:nvPicPr>
        <xdr:cNvPr id="55297" name="Picture 1">
          <a:extLst>
            <a:ext uri="{FF2B5EF4-FFF2-40B4-BE49-F238E27FC236}">
              <a16:creationId xmlns:a16="http://schemas.microsoft.com/office/drawing/2014/main" id="{B2A326CE-C6C6-1E93-74A8-5D1E7D2F6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96075" cy="881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bo.gov/system/files/2025-01/60870-Outlook-2025.pdf" TargetMode="External"/><Relationship Id="rId13" Type="http://schemas.openxmlformats.org/officeDocument/2006/relationships/hyperlink" Target="https://pages.stern.nyu.edu/~adamodar/pc/blog/S&amp;P500ValueJan2025.xlsx" TargetMode="External"/><Relationship Id="rId3" Type="http://schemas.openxmlformats.org/officeDocument/2006/relationships/hyperlink" Target="https://www.philadelphiafed.org/surveys-and-data/real-time-data-research/survey-of-professional-forecasters" TargetMode="External"/><Relationship Id="rId7" Type="http://schemas.openxmlformats.org/officeDocument/2006/relationships/hyperlink" Target="https://www.cbo.gov/system/files/2025-01/60870-Outlook-2025.pdf" TargetMode="External"/><Relationship Id="rId12" Type="http://schemas.openxmlformats.org/officeDocument/2006/relationships/hyperlink" Target="http://pages.stern.nyu.edu/~adamodar/" TargetMode="External"/><Relationship Id="rId2" Type="http://schemas.openxmlformats.org/officeDocument/2006/relationships/hyperlink" Target="https://www.philadelphiafed.org/research-and-data/real-time-center/livingston-survey" TargetMode="External"/><Relationship Id="rId1" Type="http://schemas.openxmlformats.org/officeDocument/2006/relationships/hyperlink" Target="http://www.federalreserve.gov/Releases/H15/Current/" TargetMode="External"/><Relationship Id="rId6" Type="http://schemas.openxmlformats.org/officeDocument/2006/relationships/hyperlink" Target="https://www.federalreserve.gov/monetarypolicy/files/fomcprojtabl20241218.pd" TargetMode="External"/><Relationship Id="rId11" Type="http://schemas.openxmlformats.org/officeDocument/2006/relationships/hyperlink" Target="http://pages.stern.nyu.edu/~adamodar/New_Home_Page/valquestions/stablegrowthrate.htm" TargetMode="External"/><Relationship Id="rId5" Type="http://schemas.openxmlformats.org/officeDocument/2006/relationships/hyperlink" Target="http://www.worldbank.org/en/publication/global-economic-prospects" TargetMode="External"/><Relationship Id="rId10" Type="http://schemas.openxmlformats.org/officeDocument/2006/relationships/hyperlink" Target="https://www.cbo.gov/data/budget-economic-data" TargetMode="External"/><Relationship Id="rId4" Type="http://schemas.openxmlformats.org/officeDocument/2006/relationships/hyperlink" Target="https://tradingeconomics.com/united-states/full-year-gdp-growth" TargetMode="External"/><Relationship Id="rId9" Type="http://schemas.openxmlformats.org/officeDocument/2006/relationships/hyperlink" Target="https://www.cbo.gov/publication/60870" TargetMode="External"/><Relationship Id="rId14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pages.stern.nyu.edu/~adamodar/New_Home_Page/datacurrent.html" TargetMode="External"/><Relationship Id="rId2" Type="http://schemas.openxmlformats.org/officeDocument/2006/relationships/hyperlink" Target="https://www.bvresources.com/products/faqs/cost-of-capital-professional" TargetMode="External"/><Relationship Id="rId1" Type="http://schemas.openxmlformats.org/officeDocument/2006/relationships/hyperlink" Target="https://simplywall.st/stocks/us/transportation" TargetMode="External"/><Relationship Id="rId5" Type="http://schemas.openxmlformats.org/officeDocument/2006/relationships/printerSettings" Target="../printerSettings/printerSettings14.bin"/><Relationship Id="rId4" Type="http://schemas.openxmlformats.org/officeDocument/2006/relationships/hyperlink" Target="https://www.richmondfed.org/research/national_economy/cfo_survey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M37"/>
  <sheetViews>
    <sheetView tabSelected="1" view="pageBreakPreview" zoomScale="60" zoomScaleNormal="100" workbookViewId="0">
      <selection activeCell="G23" sqref="G23"/>
    </sheetView>
  </sheetViews>
  <sheetFormatPr defaultRowHeight="15"/>
  <cols>
    <col min="5" max="5" width="12.140625" customWidth="1"/>
    <col min="9" max="9" width="16.42578125" customWidth="1"/>
  </cols>
  <sheetData>
    <row r="1" spans="1:13" ht="18.75">
      <c r="A1" s="471" t="s">
        <v>0</v>
      </c>
      <c r="B1" s="472"/>
      <c r="C1" s="472"/>
      <c r="D1" s="472"/>
      <c r="E1" s="472"/>
      <c r="F1" s="472"/>
      <c r="G1" s="472"/>
      <c r="H1" s="472"/>
      <c r="I1" s="472"/>
    </row>
    <row r="5" spans="1:13" ht="27">
      <c r="E5" s="473" t="s">
        <v>0</v>
      </c>
      <c r="F5" s="474"/>
      <c r="G5" s="474"/>
      <c r="H5" s="474"/>
      <c r="I5" s="474"/>
      <c r="J5" s="474"/>
      <c r="K5" s="474"/>
      <c r="L5" s="474"/>
      <c r="M5" s="474"/>
    </row>
    <row r="7" spans="1:13" ht="27">
      <c r="A7" s="475" t="s">
        <v>30</v>
      </c>
      <c r="B7" s="476"/>
      <c r="C7" s="476"/>
      <c r="D7" s="476"/>
      <c r="E7" s="476"/>
      <c r="F7" s="476"/>
      <c r="G7" s="476"/>
      <c r="H7" s="476"/>
      <c r="I7" s="476"/>
    </row>
    <row r="8" spans="1:13" ht="27">
      <c r="A8" s="6"/>
      <c r="B8" s="7"/>
      <c r="C8" s="7"/>
      <c r="D8" s="7"/>
      <c r="E8" s="473" t="s">
        <v>0</v>
      </c>
      <c r="F8" s="474"/>
      <c r="G8" s="474"/>
      <c r="H8" s="474"/>
      <c r="I8" s="474"/>
      <c r="J8" s="474"/>
      <c r="K8" s="474"/>
      <c r="L8" s="474"/>
      <c r="M8" s="474"/>
    </row>
    <row r="9" spans="1:13" ht="27">
      <c r="A9" s="473" t="s">
        <v>408</v>
      </c>
      <c r="B9" s="474"/>
      <c r="C9" s="474"/>
      <c r="D9" s="474"/>
      <c r="E9" s="474"/>
      <c r="F9" s="474"/>
      <c r="G9" s="474"/>
      <c r="H9" s="474"/>
      <c r="I9" s="474"/>
    </row>
    <row r="15" spans="1:13">
      <c r="A15" s="468" t="s">
        <v>0</v>
      </c>
      <c r="B15" s="469"/>
      <c r="C15" s="469"/>
      <c r="D15" s="469"/>
      <c r="E15" s="469"/>
      <c r="F15" s="469"/>
      <c r="G15" s="469"/>
      <c r="H15" s="469"/>
      <c r="I15" s="469"/>
    </row>
    <row r="16" spans="1:13" ht="33.75">
      <c r="A16" s="466" t="str">
        <f>+'S&amp;D'!A12</f>
        <v>Air Freight Carriers</v>
      </c>
      <c r="B16" s="467"/>
      <c r="C16" s="467"/>
      <c r="D16" s="467"/>
      <c r="E16" s="467"/>
      <c r="F16" s="467"/>
      <c r="G16" s="467"/>
      <c r="H16" s="467"/>
      <c r="I16" s="467"/>
    </row>
    <row r="17" spans="1:9">
      <c r="A17" s="468" t="s">
        <v>0</v>
      </c>
      <c r="B17" s="469"/>
      <c r="C17" s="469"/>
      <c r="D17" s="469"/>
      <c r="E17" s="469"/>
      <c r="F17" s="469"/>
      <c r="G17" s="469"/>
      <c r="H17" s="469"/>
      <c r="I17" s="469"/>
    </row>
    <row r="18" spans="1:9">
      <c r="A18" s="8"/>
      <c r="B18" s="9"/>
      <c r="C18" s="9"/>
      <c r="D18" s="9"/>
      <c r="E18" s="9"/>
      <c r="F18" s="9"/>
      <c r="G18" s="9"/>
      <c r="H18" s="9"/>
      <c r="I18" s="9"/>
    </row>
    <row r="19" spans="1:9">
      <c r="A19" s="8"/>
      <c r="B19" s="9"/>
      <c r="C19" s="9"/>
      <c r="D19" s="9"/>
      <c r="E19" s="9"/>
      <c r="F19" s="9"/>
      <c r="G19" s="9"/>
      <c r="H19" s="9"/>
      <c r="I19" s="9"/>
    </row>
    <row r="20" spans="1:9">
      <c r="A20" s="8"/>
      <c r="B20" s="9"/>
      <c r="C20" s="9"/>
      <c r="D20" s="9"/>
      <c r="E20" s="9"/>
      <c r="F20" s="9"/>
      <c r="G20" s="9"/>
      <c r="H20" s="9"/>
      <c r="I20" s="9"/>
    </row>
    <row r="21" spans="1:9">
      <c r="A21" s="8"/>
      <c r="B21" s="9"/>
      <c r="C21" s="9"/>
      <c r="D21" s="9"/>
      <c r="E21" s="9"/>
      <c r="F21" s="9"/>
      <c r="G21" s="9"/>
      <c r="H21" s="9"/>
      <c r="I21" s="9"/>
    </row>
    <row r="22" spans="1:9">
      <c r="A22" s="8"/>
      <c r="B22" s="9"/>
      <c r="C22" s="9"/>
      <c r="D22" s="9"/>
      <c r="E22" s="9"/>
      <c r="F22" s="9"/>
      <c r="G22" s="9"/>
      <c r="H22" s="9"/>
      <c r="I22" s="9"/>
    </row>
    <row r="23" spans="1:9">
      <c r="A23" s="8"/>
      <c r="B23" s="9"/>
      <c r="C23" s="9"/>
      <c r="D23" s="9"/>
      <c r="E23" s="9"/>
      <c r="F23" s="9"/>
      <c r="G23" s="9"/>
      <c r="H23" s="9"/>
      <c r="I23" s="9"/>
    </row>
    <row r="24" spans="1:9">
      <c r="A24" s="8"/>
      <c r="B24" s="9"/>
      <c r="C24" s="9"/>
      <c r="D24" s="9"/>
      <c r="E24" s="9"/>
      <c r="F24" s="9"/>
      <c r="G24" s="9"/>
      <c r="H24" s="9"/>
      <c r="I24" s="9"/>
    </row>
    <row r="25" spans="1:9">
      <c r="A25" s="8"/>
      <c r="B25" s="9"/>
      <c r="C25" s="9"/>
      <c r="D25" s="9"/>
      <c r="E25" s="9"/>
      <c r="F25" s="9"/>
      <c r="G25" s="9"/>
      <c r="H25" s="9"/>
      <c r="I25" s="9"/>
    </row>
    <row r="26" spans="1:9">
      <c r="A26" s="8"/>
      <c r="B26" s="9"/>
      <c r="C26" s="9"/>
      <c r="D26" s="9"/>
      <c r="E26" s="9"/>
      <c r="F26" s="9"/>
      <c r="G26" s="9"/>
      <c r="H26" s="9"/>
      <c r="I26" s="9"/>
    </row>
    <row r="27" spans="1:9">
      <c r="A27" s="8"/>
      <c r="B27" s="9"/>
      <c r="C27" s="9"/>
      <c r="D27" s="9"/>
      <c r="E27" s="9"/>
      <c r="F27" s="9"/>
      <c r="G27" s="9"/>
      <c r="H27" s="9"/>
      <c r="I27" s="9"/>
    </row>
    <row r="28" spans="1:9">
      <c r="A28" s="8"/>
      <c r="B28" s="9"/>
      <c r="C28" s="9"/>
      <c r="D28" s="9"/>
      <c r="E28" s="9"/>
      <c r="F28" s="9"/>
      <c r="G28" s="9"/>
      <c r="H28" s="9"/>
      <c r="I28" s="9"/>
    </row>
    <row r="29" spans="1:9">
      <c r="A29" s="468" t="s">
        <v>0</v>
      </c>
      <c r="B29" s="469"/>
      <c r="C29" s="469"/>
      <c r="D29" s="469"/>
      <c r="E29" s="469"/>
      <c r="F29" s="469"/>
      <c r="G29" s="469"/>
      <c r="H29" s="469"/>
      <c r="I29" s="469"/>
    </row>
    <row r="34" spans="1:9">
      <c r="A34" s="470"/>
      <c r="B34" s="470"/>
      <c r="C34" s="470"/>
      <c r="D34" s="470"/>
      <c r="E34" s="470"/>
      <c r="F34" s="470"/>
      <c r="G34" s="470"/>
      <c r="H34" s="470"/>
      <c r="I34" s="470"/>
    </row>
    <row r="35" spans="1:9">
      <c r="A35" s="470"/>
      <c r="B35" s="470"/>
      <c r="C35" s="470"/>
      <c r="D35" s="470"/>
      <c r="E35" s="470"/>
      <c r="F35" s="470"/>
      <c r="G35" s="470"/>
      <c r="H35" s="470"/>
      <c r="I35" s="470"/>
    </row>
    <row r="36" spans="1:9">
      <c r="A36" s="470"/>
      <c r="B36" s="470"/>
      <c r="C36" s="470"/>
      <c r="D36" s="470"/>
      <c r="E36" s="470"/>
      <c r="F36" s="470"/>
      <c r="G36" s="470"/>
      <c r="H36" s="470"/>
      <c r="I36" s="470"/>
    </row>
    <row r="37" spans="1:9">
      <c r="A37" s="470"/>
      <c r="B37" s="470"/>
      <c r="C37" s="470"/>
      <c r="D37" s="470"/>
      <c r="E37" s="470"/>
      <c r="F37" s="470"/>
      <c r="G37" s="470"/>
      <c r="H37" s="470"/>
      <c r="I37" s="470"/>
    </row>
  </sheetData>
  <mergeCells count="10">
    <mergeCell ref="A16:I16"/>
    <mergeCell ref="A17:I17"/>
    <mergeCell ref="A29:I29"/>
    <mergeCell ref="A34:I37"/>
    <mergeCell ref="A1:I1"/>
    <mergeCell ref="E5:M5"/>
    <mergeCell ref="A7:I7"/>
    <mergeCell ref="E8:M8"/>
    <mergeCell ref="A9:I9"/>
    <mergeCell ref="A15:I15"/>
  </mergeCells>
  <pageMargins left="0.25" right="0.25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92D050"/>
  </sheetPr>
  <dimension ref="A1:M53"/>
  <sheetViews>
    <sheetView view="pageBreakPreview" topLeftCell="A3" zoomScale="60" zoomScaleNormal="80" workbookViewId="0">
      <selection activeCell="J15" sqref="J15"/>
    </sheetView>
  </sheetViews>
  <sheetFormatPr defaultRowHeight="15"/>
  <cols>
    <col min="1" max="1" width="39.85546875" customWidth="1"/>
    <col min="2" max="2" width="13.42578125" customWidth="1"/>
    <col min="3" max="3" width="19.140625" bestFit="1" customWidth="1"/>
    <col min="4" max="4" width="20.85546875" customWidth="1"/>
    <col min="5" max="5" width="21.85546875" customWidth="1"/>
    <col min="6" max="6" width="16.140625" customWidth="1"/>
    <col min="7" max="7" width="12.140625" customWidth="1"/>
    <col min="8" max="8" width="18.5703125" customWidth="1"/>
    <col min="9" max="9" width="19.140625" customWidth="1"/>
    <col min="10" max="11" width="20.5703125" customWidth="1"/>
    <col min="12" max="12" width="26.5703125" customWidth="1"/>
    <col min="13" max="13" width="19.140625" customWidth="1"/>
  </cols>
  <sheetData>
    <row r="1" spans="1:13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6.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ht="17.25" thickBot="1">
      <c r="A5" s="10"/>
      <c r="B5" s="10"/>
      <c r="C5" s="10"/>
      <c r="D5" s="10"/>
      <c r="E5" s="10"/>
      <c r="F5" s="10"/>
      <c r="G5" s="24"/>
      <c r="H5" s="24"/>
      <c r="I5" s="10"/>
      <c r="J5" s="10"/>
      <c r="K5" s="10"/>
      <c r="L5" s="10"/>
      <c r="M5" s="10"/>
    </row>
    <row r="6" spans="1:13" ht="21" thickBot="1">
      <c r="A6" s="229" t="str">
        <f>+'S&amp;D'!A12</f>
        <v>Air Freight Carriers</v>
      </c>
      <c r="B6" s="170"/>
      <c r="C6" s="10"/>
      <c r="D6" s="26"/>
      <c r="E6" s="26"/>
      <c r="F6" s="27" t="s">
        <v>0</v>
      </c>
      <c r="G6" s="10"/>
      <c r="H6" s="10"/>
      <c r="I6" s="10"/>
      <c r="J6" s="10"/>
      <c r="K6" s="10"/>
      <c r="L6" s="10"/>
      <c r="M6" s="10"/>
    </row>
    <row r="7" spans="1:13" ht="26.25">
      <c r="A7" s="28"/>
      <c r="B7" s="10"/>
      <c r="C7" s="10"/>
      <c r="D7" s="10"/>
      <c r="E7" s="29" t="s">
        <v>483</v>
      </c>
      <c r="F7" s="10"/>
      <c r="G7" s="10"/>
      <c r="H7" s="10"/>
      <c r="I7" s="10"/>
      <c r="J7" s="10"/>
      <c r="K7" s="10"/>
      <c r="L7" s="10"/>
      <c r="M7" s="10"/>
    </row>
    <row r="8" spans="1:13" ht="21" thickBot="1">
      <c r="A8" s="28"/>
      <c r="B8" s="10"/>
      <c r="C8" s="10"/>
      <c r="D8" s="26"/>
      <c r="E8" s="30" t="s">
        <v>410</v>
      </c>
      <c r="F8" s="26"/>
      <c r="G8" s="10"/>
      <c r="H8" s="10"/>
      <c r="I8" s="10"/>
      <c r="J8" s="10"/>
      <c r="K8" s="10"/>
      <c r="L8" s="10"/>
      <c r="M8" s="10"/>
    </row>
    <row r="9" spans="1:13" ht="17.25" thickBot="1">
      <c r="A9" s="31" t="s">
        <v>0</v>
      </c>
      <c r="B9" s="31" t="s">
        <v>0</v>
      </c>
      <c r="C9" s="31" t="s">
        <v>0</v>
      </c>
      <c r="D9" s="31" t="s">
        <v>0</v>
      </c>
      <c r="E9" s="31" t="s">
        <v>0</v>
      </c>
      <c r="F9" s="31" t="s">
        <v>0</v>
      </c>
      <c r="G9" s="31"/>
      <c r="H9" s="31"/>
      <c r="I9" s="31" t="s">
        <v>0</v>
      </c>
      <c r="J9" s="26"/>
      <c r="L9" s="10"/>
      <c r="M9" s="10"/>
    </row>
    <row r="10" spans="1:13" ht="16.5">
      <c r="A10" s="32" t="s">
        <v>0</v>
      </c>
      <c r="B10" s="32" t="s">
        <v>3</v>
      </c>
      <c r="C10" s="32" t="s">
        <v>5</v>
      </c>
      <c r="D10" s="32" t="s">
        <v>21</v>
      </c>
      <c r="E10" s="32" t="s">
        <v>20</v>
      </c>
      <c r="F10" s="32" t="s">
        <v>50</v>
      </c>
      <c r="G10" s="32" t="s">
        <v>124</v>
      </c>
      <c r="H10" s="32" t="s">
        <v>475</v>
      </c>
      <c r="I10" s="32" t="s">
        <v>124</v>
      </c>
      <c r="J10" s="32" t="s">
        <v>47</v>
      </c>
      <c r="L10" s="10"/>
      <c r="M10" s="10"/>
    </row>
    <row r="11" spans="1:13" ht="17.25" thickBot="1">
      <c r="A11" s="34" t="s">
        <v>2</v>
      </c>
      <c r="B11" s="34" t="s">
        <v>4</v>
      </c>
      <c r="C11" s="34" t="s">
        <v>6</v>
      </c>
      <c r="D11" s="34" t="s">
        <v>23</v>
      </c>
      <c r="E11" s="34" t="s">
        <v>22</v>
      </c>
      <c r="F11" s="34" t="s">
        <v>48</v>
      </c>
      <c r="G11" s="34" t="s">
        <v>48</v>
      </c>
      <c r="H11" s="34" t="s">
        <v>48</v>
      </c>
      <c r="I11" s="34" t="s">
        <v>48</v>
      </c>
      <c r="J11" s="34" t="s">
        <v>49</v>
      </c>
      <c r="L11" s="10"/>
      <c r="M11" s="10"/>
    </row>
    <row r="12" spans="1:13" ht="16.5">
      <c r="A12" s="36" t="s">
        <v>7</v>
      </c>
      <c r="B12" s="36" t="s">
        <v>7</v>
      </c>
      <c r="C12" s="36" t="s">
        <v>7</v>
      </c>
      <c r="D12" s="36" t="s">
        <v>7</v>
      </c>
      <c r="E12" s="36" t="s">
        <v>7</v>
      </c>
      <c r="F12" s="36" t="s">
        <v>0</v>
      </c>
      <c r="G12" s="36" t="s">
        <v>0</v>
      </c>
      <c r="H12" s="36" t="s">
        <v>0</v>
      </c>
      <c r="I12" s="36" t="s">
        <v>0</v>
      </c>
      <c r="J12" s="36" t="s">
        <v>0</v>
      </c>
      <c r="L12" s="10"/>
      <c r="M12" s="10"/>
    </row>
    <row r="13" spans="1:13" ht="16.5">
      <c r="A13" s="32"/>
      <c r="B13" s="32"/>
      <c r="C13" s="32"/>
      <c r="D13" s="32"/>
      <c r="E13" s="32"/>
      <c r="F13" s="32"/>
      <c r="G13" s="32"/>
      <c r="H13" s="32"/>
      <c r="I13" s="32"/>
      <c r="J13" s="32"/>
      <c r="L13" s="10"/>
      <c r="M13" s="10"/>
    </row>
    <row r="14" spans="1:13" ht="16.5">
      <c r="A14" s="10"/>
      <c r="B14" s="10"/>
      <c r="C14" s="10"/>
      <c r="D14" s="10"/>
      <c r="E14" s="10"/>
      <c r="F14" s="10"/>
      <c r="G14" s="10"/>
      <c r="H14" s="10"/>
      <c r="I14" s="10"/>
      <c r="J14" s="10"/>
      <c r="L14" s="10"/>
      <c r="M14" s="10"/>
    </row>
    <row r="15" spans="1:13" ht="17.25">
      <c r="A15" s="59" t="str">
        <f>+'S&amp;D'!A22</f>
        <v xml:space="preserve">FedEx Corp </v>
      </c>
      <c r="B15" s="85" t="str">
        <f>+'S&amp;D'!B22</f>
        <v>FDX</v>
      </c>
      <c r="C15" s="32" t="str">
        <f>+'S&amp;D'!C22</f>
        <v>Air Trans</v>
      </c>
      <c r="D15" s="50">
        <f>+'Beta for CAPM'!D18</f>
        <v>0.245</v>
      </c>
      <c r="E15" s="32" t="str">
        <f>+'Beta for CAPM'!G18</f>
        <v>B++</v>
      </c>
      <c r="F15" s="32" t="s">
        <v>473</v>
      </c>
      <c r="G15" s="333"/>
      <c r="H15" s="58" t="s">
        <v>53</v>
      </c>
      <c r="I15" s="333">
        <f t="shared" ref="I15:I16" si="0">VLOOKUP(H15,$A$29:$E$52,2,0)</f>
        <v>11</v>
      </c>
      <c r="J15" s="464">
        <f>VLOOKUP(I15,$B$29:$E$52,3,0)</f>
        <v>5.8000000000000003E-2</v>
      </c>
      <c r="K15" t="s">
        <v>0</v>
      </c>
      <c r="L15" s="10" t="s">
        <v>0</v>
      </c>
      <c r="M15" s="10"/>
    </row>
    <row r="16" spans="1:13" ht="17.25">
      <c r="A16" s="59" t="str">
        <f>+'S&amp;D'!A23</f>
        <v xml:space="preserve">United Parcel Service </v>
      </c>
      <c r="B16" s="85" t="str">
        <f>+'S&amp;D'!B23</f>
        <v>UPS</v>
      </c>
      <c r="C16" s="32" t="str">
        <f>+'S&amp;D'!C23</f>
        <v>Air Trans</v>
      </c>
      <c r="D16" s="50">
        <f>+'Beta for CAPM'!D19</f>
        <v>0.23499999999999999</v>
      </c>
      <c r="E16" s="32" t="str">
        <f>+'Beta for CAPM'!G19</f>
        <v>A</v>
      </c>
      <c r="F16" s="32" t="s">
        <v>24</v>
      </c>
      <c r="G16" s="333"/>
      <c r="H16" s="58" t="s">
        <v>133</v>
      </c>
      <c r="I16" s="333">
        <f t="shared" si="0"/>
        <v>8</v>
      </c>
      <c r="J16" s="464">
        <f t="shared" ref="J16" si="1">VLOOKUP(I16,$B$29:$E$52,3,0)</f>
        <v>5.5300000000000002E-2</v>
      </c>
      <c r="K16" t="s">
        <v>0</v>
      </c>
      <c r="L16" s="10"/>
      <c r="M16" s="10"/>
    </row>
    <row r="17" spans="1:13" ht="17.25" thickBot="1">
      <c r="A17" s="10"/>
      <c r="B17" s="10"/>
      <c r="C17" s="41"/>
      <c r="D17" s="44"/>
      <c r="E17" s="44"/>
      <c r="F17" s="44"/>
      <c r="G17" s="44"/>
      <c r="H17" s="44" t="s">
        <v>44</v>
      </c>
      <c r="I17" s="44"/>
      <c r="J17" s="44"/>
      <c r="L17" s="10"/>
      <c r="M17" s="10"/>
    </row>
    <row r="18" spans="1:13" ht="17.25" thickTop="1">
      <c r="A18" s="10"/>
      <c r="B18" s="10"/>
      <c r="E18" s="12" t="s">
        <v>45</v>
      </c>
      <c r="G18" s="251">
        <f>MAX(G15:G16)</f>
        <v>0</v>
      </c>
      <c r="H18" s="270"/>
      <c r="I18" s="278">
        <f>MAX(I15:I16)</f>
        <v>11</v>
      </c>
      <c r="J18" s="270">
        <f>MAX(J15:J16)</f>
        <v>5.8000000000000003E-2</v>
      </c>
      <c r="L18" s="10"/>
      <c r="M18" s="10"/>
    </row>
    <row r="19" spans="1:13" ht="16.5">
      <c r="A19" s="10"/>
      <c r="B19" s="10"/>
      <c r="E19" s="282" t="s">
        <v>46</v>
      </c>
      <c r="F19" s="211"/>
      <c r="G19" s="252">
        <f>MIN(G15:G16)</f>
        <v>0</v>
      </c>
      <c r="H19" s="271"/>
      <c r="I19" s="279">
        <f>MIN(I15:I16)</f>
        <v>8</v>
      </c>
      <c r="J19" s="271">
        <f>MIN(J15:J16)</f>
        <v>5.5300000000000002E-2</v>
      </c>
      <c r="L19" s="10"/>
      <c r="M19" s="10"/>
    </row>
    <row r="20" spans="1:13" ht="16.5">
      <c r="A20" s="10"/>
      <c r="B20" s="10"/>
      <c r="E20" s="12" t="s">
        <v>18</v>
      </c>
      <c r="G20" s="190"/>
      <c r="H20" s="52" t="s">
        <v>0</v>
      </c>
      <c r="I20" s="191">
        <f>MEDIAN(I15:I16)</f>
        <v>9.5</v>
      </c>
      <c r="J20" s="52">
        <f>MEDIAN(J15:J16)</f>
        <v>5.6650000000000006E-2</v>
      </c>
      <c r="L20" s="10"/>
      <c r="M20" s="10"/>
    </row>
    <row r="21" spans="1:13" ht="16.5">
      <c r="A21" s="10"/>
      <c r="B21" s="10"/>
      <c r="D21" s="12" t="s">
        <v>0</v>
      </c>
      <c r="E21" s="12" t="s">
        <v>374</v>
      </c>
      <c r="G21" s="191"/>
      <c r="H21" s="52" t="s">
        <v>0</v>
      </c>
      <c r="I21" s="191">
        <f>AVERAGE(I15:I16)</f>
        <v>9.5</v>
      </c>
      <c r="J21" s="52">
        <f>AVERAGE(J15:J16)</f>
        <v>5.6650000000000006E-2</v>
      </c>
      <c r="L21" s="10"/>
      <c r="M21" s="10"/>
    </row>
    <row r="22" spans="1:13" ht="16.5">
      <c r="A22" s="10"/>
      <c r="B22" s="10"/>
      <c r="D22" s="53" t="s">
        <v>0</v>
      </c>
      <c r="E22" s="12" t="s">
        <v>0</v>
      </c>
      <c r="G22" s="191" t="s">
        <v>0</v>
      </c>
      <c r="H22" s="52" t="s">
        <v>0</v>
      </c>
      <c r="I22" s="191" t="s">
        <v>0</v>
      </c>
      <c r="J22" s="52" t="s">
        <v>0</v>
      </c>
      <c r="L22" s="10"/>
      <c r="M22" s="10"/>
    </row>
    <row r="23" spans="1:13" ht="17.25" thickBot="1">
      <c r="A23" s="10"/>
      <c r="B23" s="10"/>
      <c r="C23" s="10"/>
      <c r="D23" s="10"/>
      <c r="E23" s="12"/>
      <c r="F23" s="53"/>
      <c r="H23" s="10"/>
      <c r="I23" s="10"/>
      <c r="J23" s="10"/>
      <c r="K23" s="10"/>
      <c r="L23" s="10"/>
      <c r="M23" s="10"/>
    </row>
    <row r="24" spans="1:13" ht="27" thickBot="1">
      <c r="A24" s="10"/>
      <c r="B24" s="10"/>
      <c r="C24" s="10"/>
      <c r="D24" s="10"/>
      <c r="E24" s="10"/>
      <c r="F24" s="165"/>
      <c r="G24" s="276"/>
      <c r="H24" s="166" t="s">
        <v>230</v>
      </c>
      <c r="I24" s="334">
        <v>10</v>
      </c>
      <c r="J24" s="346">
        <v>5.67E-2</v>
      </c>
      <c r="K24" s="10"/>
      <c r="L24" s="10"/>
      <c r="M24" s="10"/>
    </row>
    <row r="25" spans="1:13" ht="16.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16.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21" thickBot="1">
      <c r="A27" s="240" t="s">
        <v>137</v>
      </c>
      <c r="B27" s="10"/>
      <c r="G27" s="10"/>
      <c r="H27" s="10"/>
      <c r="I27" s="10"/>
      <c r="J27" s="10"/>
      <c r="K27" s="10"/>
      <c r="L27" s="10"/>
      <c r="M27" s="10"/>
    </row>
    <row r="28" spans="1:13" ht="24">
      <c r="A28" s="383" t="s">
        <v>474</v>
      </c>
      <c r="B28" s="383" t="s">
        <v>308</v>
      </c>
      <c r="C28" s="383" t="s">
        <v>376</v>
      </c>
      <c r="D28" s="391" t="s">
        <v>406</v>
      </c>
      <c r="E28" s="391" t="s">
        <v>407</v>
      </c>
      <c r="F28" s="10"/>
      <c r="G28" s="10"/>
      <c r="H28" s="10"/>
      <c r="I28" s="10"/>
      <c r="M28" s="10"/>
    </row>
    <row r="29" spans="1:13" ht="17.25">
      <c r="A29" s="246" t="s">
        <v>320</v>
      </c>
      <c r="B29" s="250">
        <v>1</v>
      </c>
      <c r="C29" s="247" t="s">
        <v>319</v>
      </c>
      <c r="D29" s="384">
        <v>5.1999999999999998E-2</v>
      </c>
      <c r="E29" s="384">
        <v>5.1999999999999998E-2</v>
      </c>
      <c r="F29" s="10"/>
      <c r="G29" s="10"/>
      <c r="H29" s="10"/>
      <c r="I29" s="10"/>
      <c r="M29" s="10"/>
    </row>
    <row r="30" spans="1:13" ht="17.25">
      <c r="A30" s="54" t="s">
        <v>321</v>
      </c>
      <c r="B30" s="241">
        <v>2</v>
      </c>
      <c r="C30" s="248" t="s">
        <v>293</v>
      </c>
      <c r="D30" s="384">
        <v>5.1999999999999998E-2</v>
      </c>
      <c r="E30" s="384">
        <v>5.1999999999999998E-2</v>
      </c>
      <c r="F30" s="10" t="s">
        <v>186</v>
      </c>
      <c r="H30" s="10"/>
      <c r="I30" s="10"/>
      <c r="M30" s="10"/>
    </row>
    <row r="31" spans="1:13" ht="17.25">
      <c r="A31" s="55" t="s">
        <v>322</v>
      </c>
      <c r="B31" s="243">
        <v>3</v>
      </c>
      <c r="C31" s="249" t="s">
        <v>318</v>
      </c>
      <c r="D31" s="384">
        <v>5.1999999999999998E-2</v>
      </c>
      <c r="E31" s="384">
        <v>5.1999999999999998E-2</v>
      </c>
      <c r="F31" s="10"/>
      <c r="H31" s="10"/>
      <c r="I31" s="10"/>
      <c r="M31" s="10"/>
    </row>
    <row r="32" spans="1:13" ht="17.25">
      <c r="A32" s="54" t="s">
        <v>136</v>
      </c>
      <c r="B32" s="241">
        <v>4</v>
      </c>
      <c r="C32" s="242" t="s">
        <v>292</v>
      </c>
      <c r="D32" s="384">
        <v>5.3699999999999998E-2</v>
      </c>
      <c r="E32" s="384">
        <v>5.45E-2</v>
      </c>
      <c r="F32" s="10"/>
      <c r="H32" s="10"/>
      <c r="I32" s="10"/>
      <c r="M32" s="10"/>
    </row>
    <row r="33" spans="1:13" ht="17.25">
      <c r="A33" s="54" t="s">
        <v>135</v>
      </c>
      <c r="B33" s="241">
        <v>5</v>
      </c>
      <c r="C33" s="242" t="s">
        <v>294</v>
      </c>
      <c r="D33" s="384">
        <v>5.3699999999999998E-2</v>
      </c>
      <c r="E33" s="384">
        <v>5.45E-2</v>
      </c>
      <c r="F33" s="10" t="s">
        <v>295</v>
      </c>
      <c r="H33" s="10"/>
      <c r="I33" s="10"/>
      <c r="M33" s="10"/>
    </row>
    <row r="34" spans="1:13" ht="17.25">
      <c r="A34" s="55" t="s">
        <v>134</v>
      </c>
      <c r="B34" s="243">
        <v>6</v>
      </c>
      <c r="C34" s="244" t="s">
        <v>296</v>
      </c>
      <c r="D34" s="384">
        <v>5.3699999999999998E-2</v>
      </c>
      <c r="E34" s="384">
        <v>5.45E-2</v>
      </c>
      <c r="F34" s="10"/>
      <c r="H34" s="10"/>
      <c r="I34" s="10"/>
      <c r="M34" s="10"/>
    </row>
    <row r="35" spans="1:13" ht="17.25">
      <c r="A35" s="54" t="s">
        <v>55</v>
      </c>
      <c r="B35" s="241">
        <v>7</v>
      </c>
      <c r="C35" s="242" t="s">
        <v>43</v>
      </c>
      <c r="D35" s="385">
        <v>5.5300000000000002E-2</v>
      </c>
      <c r="E35" s="385">
        <v>5.5800000000000002E-2</v>
      </c>
      <c r="H35" s="10"/>
      <c r="I35" s="10"/>
      <c r="M35" s="10"/>
    </row>
    <row r="36" spans="1:13" ht="17.25">
      <c r="A36" s="54" t="s">
        <v>133</v>
      </c>
      <c r="B36" s="241">
        <v>8</v>
      </c>
      <c r="C36" s="242" t="s">
        <v>24</v>
      </c>
      <c r="D36" s="385">
        <v>5.5300000000000002E-2</v>
      </c>
      <c r="E36" s="385">
        <v>5.5800000000000002E-2</v>
      </c>
      <c r="F36" s="10" t="s">
        <v>187</v>
      </c>
      <c r="H36" s="10"/>
      <c r="I36" s="10"/>
      <c r="M36" s="10"/>
    </row>
    <row r="37" spans="1:13" ht="17.25">
      <c r="A37" s="55" t="s">
        <v>57</v>
      </c>
      <c r="B37" s="243">
        <v>9</v>
      </c>
      <c r="C37" s="244" t="s">
        <v>59</v>
      </c>
      <c r="D37" s="385">
        <v>5.5300000000000002E-2</v>
      </c>
      <c r="E37" s="385">
        <v>5.5800000000000002E-2</v>
      </c>
      <c r="F37" s="10"/>
      <c r="H37" s="10"/>
      <c r="I37" s="10"/>
      <c r="M37" s="10"/>
    </row>
    <row r="38" spans="1:13" ht="17.25">
      <c r="A38" s="54" t="s">
        <v>52</v>
      </c>
      <c r="B38" s="241">
        <v>10</v>
      </c>
      <c r="C38" s="242" t="s">
        <v>297</v>
      </c>
      <c r="D38" s="385">
        <v>5.8000000000000003E-2</v>
      </c>
      <c r="E38" s="385">
        <v>5.7700000000000001E-2</v>
      </c>
      <c r="H38" s="10"/>
      <c r="I38" s="10"/>
      <c r="J38" s="10"/>
      <c r="K38" s="10"/>
      <c r="L38" s="10"/>
      <c r="M38" s="10"/>
    </row>
    <row r="39" spans="1:13" ht="17.25">
      <c r="A39" s="54" t="s">
        <v>53</v>
      </c>
      <c r="B39" s="241">
        <v>11</v>
      </c>
      <c r="C39" s="242" t="s">
        <v>298</v>
      </c>
      <c r="D39" s="385">
        <v>5.8000000000000003E-2</v>
      </c>
      <c r="E39" s="385">
        <v>5.7700000000000001E-2</v>
      </c>
      <c r="F39" s="10" t="s">
        <v>190</v>
      </c>
      <c r="H39" s="10"/>
      <c r="I39" s="10"/>
      <c r="J39" s="10"/>
      <c r="K39" s="10"/>
      <c r="L39" s="10"/>
      <c r="M39" s="10"/>
    </row>
    <row r="40" spans="1:13" ht="17.25">
      <c r="A40" s="55" t="s">
        <v>58</v>
      </c>
      <c r="B40" s="243">
        <v>12</v>
      </c>
      <c r="C40" s="244" t="s">
        <v>299</v>
      </c>
      <c r="D40" s="385">
        <v>5.8000000000000003E-2</v>
      </c>
      <c r="E40" s="385">
        <v>5.7700000000000001E-2</v>
      </c>
      <c r="F40" s="10"/>
      <c r="H40" s="10"/>
      <c r="I40" s="10"/>
      <c r="J40" s="10"/>
      <c r="K40" s="10"/>
      <c r="L40" s="10"/>
      <c r="M40" s="10"/>
    </row>
    <row r="41" spans="1:13" ht="17.25">
      <c r="A41" s="54" t="s">
        <v>56</v>
      </c>
      <c r="B41" s="241">
        <v>13</v>
      </c>
      <c r="C41" s="242" t="s">
        <v>300</v>
      </c>
      <c r="D41" s="384">
        <v>6.8400000000000002E-2</v>
      </c>
      <c r="E41" s="384">
        <v>6.8099999999999994E-2</v>
      </c>
      <c r="H41" s="10"/>
      <c r="I41" s="10"/>
      <c r="J41" s="10"/>
      <c r="K41" s="10"/>
      <c r="L41" s="10"/>
      <c r="M41" s="10"/>
    </row>
    <row r="42" spans="1:13" ht="17.25">
      <c r="A42" s="54" t="s">
        <v>132</v>
      </c>
      <c r="B42" s="241">
        <v>14</v>
      </c>
      <c r="C42" s="242" t="s">
        <v>301</v>
      </c>
      <c r="D42" s="384">
        <v>6.8400000000000002E-2</v>
      </c>
      <c r="E42" s="384">
        <v>6.8099999999999994E-2</v>
      </c>
      <c r="F42" s="10" t="s">
        <v>189</v>
      </c>
      <c r="H42" s="10"/>
      <c r="I42" s="10"/>
      <c r="J42" s="10"/>
      <c r="K42" s="10"/>
      <c r="L42" s="10"/>
      <c r="M42" s="10"/>
    </row>
    <row r="43" spans="1:13" ht="17.25">
      <c r="A43" s="55" t="s">
        <v>131</v>
      </c>
      <c r="B43" s="243">
        <v>15</v>
      </c>
      <c r="C43" s="244" t="s">
        <v>302</v>
      </c>
      <c r="D43" s="384">
        <v>6.8400000000000002E-2</v>
      </c>
      <c r="E43" s="384">
        <v>6.8099999999999994E-2</v>
      </c>
      <c r="F43" s="10"/>
      <c r="H43" s="10"/>
      <c r="I43" s="10"/>
      <c r="J43" s="10"/>
      <c r="K43" s="10"/>
      <c r="L43" s="10"/>
      <c r="M43" s="10"/>
    </row>
    <row r="44" spans="1:13" ht="17.25">
      <c r="A44" s="54" t="s">
        <v>130</v>
      </c>
      <c r="B44" s="241">
        <v>16</v>
      </c>
      <c r="C44" s="242" t="s">
        <v>25</v>
      </c>
      <c r="D44" s="385">
        <v>7.3300000000000004E-2</v>
      </c>
      <c r="E44" s="385">
        <v>7.2999999999999995E-2</v>
      </c>
      <c r="H44" s="10"/>
      <c r="I44" s="10"/>
      <c r="J44" s="10"/>
      <c r="K44" s="10"/>
      <c r="L44" s="10"/>
      <c r="M44" s="10"/>
    </row>
    <row r="45" spans="1:13" ht="17.25">
      <c r="A45" s="54" t="s">
        <v>129</v>
      </c>
      <c r="B45" s="241">
        <v>17</v>
      </c>
      <c r="C45" s="242" t="s">
        <v>88</v>
      </c>
      <c r="D45" s="385">
        <v>7.3300000000000004E-2</v>
      </c>
      <c r="E45" s="385">
        <v>7.2999999999999995E-2</v>
      </c>
      <c r="F45" s="10" t="s">
        <v>188</v>
      </c>
      <c r="H45" s="10"/>
      <c r="I45" s="10"/>
      <c r="J45" s="10"/>
      <c r="K45" s="10"/>
      <c r="L45" s="10"/>
      <c r="M45" s="10"/>
    </row>
    <row r="46" spans="1:13" ht="17.25">
      <c r="A46" s="55" t="s">
        <v>128</v>
      </c>
      <c r="B46" s="243">
        <v>18</v>
      </c>
      <c r="C46" s="244" t="s">
        <v>303</v>
      </c>
      <c r="D46" s="385">
        <v>7.3300000000000004E-2</v>
      </c>
      <c r="E46" s="385">
        <v>7.2999999999999995E-2</v>
      </c>
      <c r="F46" s="10"/>
      <c r="H46" s="10"/>
      <c r="I46" s="10"/>
      <c r="J46" s="10"/>
      <c r="K46" s="10"/>
      <c r="L46" s="10"/>
      <c r="M46" s="10"/>
    </row>
    <row r="47" spans="1:13" ht="17.25">
      <c r="A47" s="54" t="s">
        <v>127</v>
      </c>
      <c r="B47" s="241">
        <v>19</v>
      </c>
      <c r="C47" s="242" t="s">
        <v>304</v>
      </c>
      <c r="D47" s="385">
        <v>7.8200000000000006E-2</v>
      </c>
      <c r="E47" s="385">
        <v>7.7899999999999997E-2</v>
      </c>
      <c r="H47" s="10"/>
      <c r="I47" s="10"/>
      <c r="J47" s="10"/>
      <c r="K47" s="10"/>
      <c r="L47" s="10"/>
      <c r="M47" s="10"/>
    </row>
    <row r="48" spans="1:13" ht="17.25">
      <c r="A48" s="54" t="s">
        <v>126</v>
      </c>
      <c r="B48" s="241">
        <v>20</v>
      </c>
      <c r="C48" s="242" t="s">
        <v>305</v>
      </c>
      <c r="D48" s="385">
        <v>7.8200000000000006E-2</v>
      </c>
      <c r="E48" s="385">
        <v>7.7899999999999997E-2</v>
      </c>
      <c r="F48" s="10" t="s">
        <v>185</v>
      </c>
      <c r="H48" s="10"/>
      <c r="I48" s="10"/>
      <c r="J48" s="10"/>
      <c r="K48" s="10"/>
      <c r="L48" s="10"/>
      <c r="M48" s="10"/>
    </row>
    <row r="49" spans="1:13" ht="17.25">
      <c r="A49" s="55" t="s">
        <v>125</v>
      </c>
      <c r="B49" s="243">
        <v>21</v>
      </c>
      <c r="C49" s="342" t="s">
        <v>306</v>
      </c>
      <c r="D49" s="385">
        <v>7.8200000000000006E-2</v>
      </c>
      <c r="E49" s="385">
        <v>7.7899999999999997E-2</v>
      </c>
      <c r="F49" s="10"/>
      <c r="H49" s="10"/>
      <c r="I49" s="10"/>
      <c r="J49" s="10"/>
      <c r="K49" s="10"/>
      <c r="L49" s="10"/>
      <c r="M49" s="10"/>
    </row>
    <row r="50" spans="1:13" ht="17.25">
      <c r="A50" s="341" t="s">
        <v>313</v>
      </c>
      <c r="B50" s="386">
        <v>22</v>
      </c>
      <c r="C50" s="344" t="s">
        <v>316</v>
      </c>
      <c r="D50" s="385">
        <v>8.3099999999999993E-2</v>
      </c>
      <c r="E50" s="385">
        <v>8.2799999999999999E-2</v>
      </c>
      <c r="H50" s="10"/>
      <c r="I50" s="10"/>
      <c r="J50" s="10"/>
      <c r="K50" s="10"/>
      <c r="L50" s="10"/>
      <c r="M50" s="10"/>
    </row>
    <row r="51" spans="1:13" ht="17.25">
      <c r="A51" s="341" t="s">
        <v>314</v>
      </c>
      <c r="B51" s="387">
        <v>23</v>
      </c>
      <c r="C51" s="345" t="s">
        <v>307</v>
      </c>
      <c r="D51" s="385">
        <v>8.3099999999999993E-2</v>
      </c>
      <c r="E51" s="385">
        <v>8.2799999999999999E-2</v>
      </c>
      <c r="F51" s="10" t="s">
        <v>183</v>
      </c>
      <c r="H51" s="10"/>
      <c r="I51" s="10"/>
      <c r="J51" s="10"/>
      <c r="K51" s="10"/>
      <c r="L51" s="10"/>
      <c r="M51" s="10"/>
    </row>
    <row r="52" spans="1:13" ht="18" thickBot="1">
      <c r="A52" s="343" t="s">
        <v>315</v>
      </c>
      <c r="B52" s="388">
        <v>24</v>
      </c>
      <c r="C52" s="342" t="s">
        <v>317</v>
      </c>
      <c r="D52" s="385">
        <v>8.3099999999999993E-2</v>
      </c>
      <c r="E52" s="385">
        <v>8.2799999999999999E-2</v>
      </c>
      <c r="F52" s="10"/>
      <c r="H52" s="10"/>
      <c r="I52" s="10"/>
      <c r="J52" s="10"/>
      <c r="K52" s="10"/>
      <c r="L52" s="10"/>
      <c r="M52" s="10"/>
    </row>
    <row r="53" spans="1:13" ht="18" thickBot="1">
      <c r="A53" s="55" t="s">
        <v>246</v>
      </c>
      <c r="B53" s="243">
        <v>25</v>
      </c>
      <c r="C53" s="55" t="s">
        <v>89</v>
      </c>
      <c r="D53" s="389"/>
      <c r="E53" s="389"/>
      <c r="F53" s="10" t="s">
        <v>184</v>
      </c>
      <c r="H53" s="10"/>
      <c r="I53" s="10"/>
      <c r="J53" s="10"/>
      <c r="K53" s="10"/>
      <c r="L53" s="10"/>
    </row>
  </sheetData>
  <pageMargins left="0.25" right="0.25" top="0.75" bottom="0.75" header="0.3" footer="0.3"/>
  <pageSetup scale="4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92D050"/>
  </sheetPr>
  <dimension ref="A1:N33"/>
  <sheetViews>
    <sheetView view="pageBreakPreview" zoomScale="60" zoomScaleNormal="80" workbookViewId="0">
      <selection activeCell="H27" sqref="H27"/>
    </sheetView>
  </sheetViews>
  <sheetFormatPr defaultRowHeight="15"/>
  <cols>
    <col min="1" max="1" width="48.85546875" customWidth="1"/>
    <col min="2" max="2" width="13.140625" customWidth="1"/>
    <col min="3" max="3" width="19.85546875" customWidth="1"/>
    <col min="4" max="4" width="24.85546875" customWidth="1"/>
    <col min="5" max="5" width="22.85546875" customWidth="1"/>
    <col min="6" max="7" width="21.140625" customWidth="1"/>
    <col min="8" max="8" width="12.42578125" customWidth="1"/>
    <col min="9" max="9" width="18.42578125" customWidth="1"/>
    <col min="10" max="10" width="21.140625" customWidth="1"/>
    <col min="11" max="11" width="2.140625" customWidth="1"/>
    <col min="12" max="12" width="22.85546875" customWidth="1"/>
    <col min="13" max="13" width="17.140625" customWidth="1"/>
  </cols>
  <sheetData>
    <row r="1" spans="1:14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7.25">
      <c r="A2" s="59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10"/>
      <c r="B4" s="10"/>
      <c r="C4" s="10"/>
      <c r="D4" s="24" t="s"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8" thickBot="1">
      <c r="A5" s="5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18" thickBot="1">
      <c r="A6" s="231" t="str">
        <f>+'S&amp;D'!A12</f>
        <v>Air Freight Carriers</v>
      </c>
      <c r="B6" s="17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17.25">
      <c r="A7" s="5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8" thickBot="1">
      <c r="A8" s="59"/>
      <c r="B8" s="10"/>
      <c r="C8" s="26"/>
      <c r="D8" s="26"/>
      <c r="E8" s="26"/>
      <c r="F8" s="10"/>
      <c r="G8" s="10"/>
      <c r="H8" s="26"/>
      <c r="I8" s="26"/>
      <c r="J8" s="26"/>
      <c r="K8" s="26"/>
      <c r="L8" s="26"/>
      <c r="M8" s="26"/>
      <c r="N8" s="10"/>
    </row>
    <row r="9" spans="1:14" ht="26.25">
      <c r="B9" s="10"/>
      <c r="C9" s="10"/>
      <c r="D9" s="29" t="s">
        <v>282</v>
      </c>
      <c r="E9" s="10"/>
      <c r="F9" s="10"/>
      <c r="G9" s="10"/>
      <c r="H9" s="10"/>
      <c r="I9" s="10"/>
      <c r="J9" s="10"/>
      <c r="K9" s="65" t="s">
        <v>283</v>
      </c>
      <c r="L9" s="10"/>
      <c r="M9" s="10"/>
      <c r="N9" s="10"/>
    </row>
    <row r="10" spans="1:14" ht="21" thickBot="1">
      <c r="A10" s="28"/>
      <c r="B10" s="10"/>
      <c r="C10" s="26"/>
      <c r="D10" s="30" t="s">
        <v>410</v>
      </c>
      <c r="E10" s="26"/>
      <c r="F10" s="10"/>
      <c r="G10" s="10"/>
      <c r="H10" s="26"/>
      <c r="I10" s="26"/>
      <c r="J10" s="26"/>
      <c r="K10" s="30" t="s">
        <v>410</v>
      </c>
      <c r="L10" s="26"/>
      <c r="M10" s="26"/>
      <c r="N10" s="10"/>
    </row>
    <row r="11" spans="1:14" ht="17.25" thickBot="1">
      <c r="A11" s="31" t="s">
        <v>0</v>
      </c>
      <c r="B11" s="31" t="s">
        <v>0</v>
      </c>
      <c r="C11" s="31" t="s">
        <v>0</v>
      </c>
      <c r="D11" s="31" t="s">
        <v>0</v>
      </c>
      <c r="E11" s="31" t="s">
        <v>0</v>
      </c>
      <c r="F11" s="31" t="s">
        <v>0</v>
      </c>
      <c r="G11" s="38"/>
      <c r="H11" s="26"/>
      <c r="I11" s="31" t="s">
        <v>0</v>
      </c>
      <c r="J11" s="26"/>
      <c r="K11" s="26"/>
      <c r="L11" s="26"/>
      <c r="M11" s="26"/>
      <c r="N11" s="10"/>
    </row>
    <row r="12" spans="1:14" ht="16.5">
      <c r="A12" s="32" t="s">
        <v>0</v>
      </c>
      <c r="B12" s="32" t="s">
        <v>3</v>
      </c>
      <c r="C12" s="32" t="s">
        <v>323</v>
      </c>
      <c r="D12" s="32" t="s">
        <v>109</v>
      </c>
      <c r="E12" s="32" t="s">
        <v>109</v>
      </c>
      <c r="F12" s="32" t="s">
        <v>26</v>
      </c>
      <c r="G12" s="32"/>
      <c r="H12" s="32" t="s">
        <v>3</v>
      </c>
      <c r="I12" s="32" t="s">
        <v>323</v>
      </c>
      <c r="J12" s="32" t="s">
        <v>109</v>
      </c>
      <c r="K12" s="32"/>
      <c r="L12" s="32" t="s">
        <v>109</v>
      </c>
      <c r="M12" s="32" t="s">
        <v>26</v>
      </c>
      <c r="N12" s="10"/>
    </row>
    <row r="13" spans="1:14" ht="17.25" thickBot="1">
      <c r="A13" s="34" t="s">
        <v>2</v>
      </c>
      <c r="B13" s="34" t="s">
        <v>4</v>
      </c>
      <c r="C13" s="34" t="s">
        <v>27</v>
      </c>
      <c r="D13" s="34" t="s">
        <v>158</v>
      </c>
      <c r="E13" s="34" t="s">
        <v>28</v>
      </c>
      <c r="F13" s="34" t="s">
        <v>29</v>
      </c>
      <c r="G13" s="32"/>
      <c r="H13" s="34" t="s">
        <v>4</v>
      </c>
      <c r="I13" s="34" t="s">
        <v>27</v>
      </c>
      <c r="J13" s="34" t="s">
        <v>158</v>
      </c>
      <c r="K13" s="34"/>
      <c r="L13" s="34" t="s">
        <v>28</v>
      </c>
      <c r="M13" s="34" t="s">
        <v>29</v>
      </c>
      <c r="N13" s="10"/>
    </row>
    <row r="14" spans="1:14" ht="16.5">
      <c r="A14" s="36" t="s">
        <v>0</v>
      </c>
      <c r="B14" s="36" t="s">
        <v>0</v>
      </c>
      <c r="C14" s="37" t="s">
        <v>112</v>
      </c>
      <c r="D14" s="36" t="s">
        <v>113</v>
      </c>
      <c r="E14" s="36" t="s">
        <v>0</v>
      </c>
      <c r="F14" s="36" t="s">
        <v>0</v>
      </c>
      <c r="G14" s="38"/>
      <c r="H14" s="36" t="s">
        <v>0</v>
      </c>
      <c r="I14" s="37" t="s">
        <v>112</v>
      </c>
      <c r="J14" s="36" t="s">
        <v>114</v>
      </c>
      <c r="K14" s="36"/>
      <c r="L14" s="36" t="s">
        <v>0</v>
      </c>
      <c r="M14" s="36" t="s">
        <v>0</v>
      </c>
      <c r="N14" s="10"/>
    </row>
    <row r="15" spans="1:14" ht="16.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0"/>
    </row>
    <row r="16" spans="1:14" ht="16.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17.25">
      <c r="A17" s="59" t="str">
        <f>+'S&amp;D'!A22</f>
        <v xml:space="preserve">FedEx Corp </v>
      </c>
      <c r="B17" s="85" t="str">
        <f>+'S&amp;D'!B22</f>
        <v>FDX</v>
      </c>
      <c r="C17" s="56">
        <f>+'S&amp;D'!G22</f>
        <v>281.33</v>
      </c>
      <c r="D17" s="319">
        <v>36.450000000000003</v>
      </c>
      <c r="E17" s="67">
        <f t="shared" ref="E17:E18" si="0">C17/D17</f>
        <v>7.7182441700960212</v>
      </c>
      <c r="F17" s="53">
        <f t="shared" ref="F17:F18" si="1">1/E17</f>
        <v>0.12956314648277825</v>
      </c>
      <c r="G17" s="53"/>
      <c r="H17" s="85" t="str">
        <f t="shared" ref="H17:H18" si="2">+B17</f>
        <v>FDX</v>
      </c>
      <c r="I17" s="56">
        <f t="shared" ref="I17:I18" si="3">+C17</f>
        <v>281.33</v>
      </c>
      <c r="J17" s="319">
        <v>38.700000000000003</v>
      </c>
      <c r="K17" s="319"/>
      <c r="L17" s="67">
        <f t="shared" ref="L17:L18" si="4">I17/J17</f>
        <v>7.2695090439276475</v>
      </c>
      <c r="M17" s="53">
        <f t="shared" ref="M17:M18" si="5">1/L17</f>
        <v>0.13756087157430777</v>
      </c>
      <c r="N17" s="10"/>
    </row>
    <row r="18" spans="1:14" ht="17.25">
      <c r="A18" s="59" t="str">
        <f>+'S&amp;D'!A23</f>
        <v xml:space="preserve">United Parcel Service </v>
      </c>
      <c r="B18" s="85" t="str">
        <f>+'S&amp;D'!B23</f>
        <v>UPS</v>
      </c>
      <c r="C18" s="56">
        <f>+'S&amp;D'!G23</f>
        <v>126.1</v>
      </c>
      <c r="D18" s="319">
        <v>11.2</v>
      </c>
      <c r="E18" s="67">
        <f t="shared" si="0"/>
        <v>11.258928571428571</v>
      </c>
      <c r="F18" s="53">
        <f t="shared" si="1"/>
        <v>8.8818398096748616E-2</v>
      </c>
      <c r="G18" s="53"/>
      <c r="H18" s="85" t="str">
        <f t="shared" si="2"/>
        <v>UPS</v>
      </c>
      <c r="I18" s="56">
        <f t="shared" si="3"/>
        <v>126.1</v>
      </c>
      <c r="J18" s="319">
        <v>12.35</v>
      </c>
      <c r="K18" s="319"/>
      <c r="L18" s="67">
        <f t="shared" si="4"/>
        <v>10.210526315789474</v>
      </c>
      <c r="M18" s="53">
        <f t="shared" si="5"/>
        <v>9.7938144329896906E-2</v>
      </c>
      <c r="N18" s="10"/>
    </row>
    <row r="19" spans="1:14" ht="17.25" thickBot="1">
      <c r="A19" s="10"/>
      <c r="B19" s="66"/>
      <c r="C19" s="66"/>
      <c r="D19" s="66"/>
      <c r="E19" s="66"/>
      <c r="F19" s="66"/>
      <c r="G19" s="10"/>
      <c r="H19" s="66"/>
      <c r="I19" s="66"/>
      <c r="J19" s="263" t="s">
        <v>0</v>
      </c>
      <c r="K19" s="66"/>
      <c r="L19" s="66"/>
      <c r="M19" s="66"/>
      <c r="N19" s="10"/>
    </row>
    <row r="20" spans="1:14" ht="17.25" thickTop="1">
      <c r="A20" s="10"/>
      <c r="C20" s="12" t="s">
        <v>45</v>
      </c>
      <c r="D20" s="309">
        <f>MAX(D17:D18)</f>
        <v>36.450000000000003</v>
      </c>
      <c r="E20" s="309">
        <f>MAX(E17:E18)</f>
        <v>11.258928571428571</v>
      </c>
      <c r="F20" s="307">
        <f>MAX(F17:F18)</f>
        <v>0.12956314648277825</v>
      </c>
      <c r="I20" s="12" t="s">
        <v>45</v>
      </c>
      <c r="J20" s="309">
        <f>MAX(J17:J18)</f>
        <v>38.700000000000003</v>
      </c>
      <c r="K20" s="309"/>
      <c r="L20" s="309">
        <f>MAX(L17:L18)</f>
        <v>10.210526315789474</v>
      </c>
      <c r="M20" s="307">
        <f>MAX(M17:M18)</f>
        <v>0.13756087157430777</v>
      </c>
      <c r="N20" s="10"/>
    </row>
    <row r="21" spans="1:14" ht="16.5">
      <c r="A21" s="10"/>
      <c r="C21" s="282" t="s">
        <v>46</v>
      </c>
      <c r="D21" s="310">
        <f>MIN(D17:D18)</f>
        <v>11.2</v>
      </c>
      <c r="E21" s="310">
        <f>MIN(E17:E18)</f>
        <v>7.7182441700960212</v>
      </c>
      <c r="F21" s="308">
        <f>MIN(F17:F18)</f>
        <v>8.8818398096748616E-2</v>
      </c>
      <c r="I21" s="282" t="s">
        <v>46</v>
      </c>
      <c r="J21" s="310">
        <f>MIN(J17:J18)</f>
        <v>12.35</v>
      </c>
      <c r="K21" s="310"/>
      <c r="L21" s="310">
        <f>MIN(L17:L18)</f>
        <v>7.2695090439276475</v>
      </c>
      <c r="M21" s="308">
        <f>MIN(M17:M18)</f>
        <v>9.7938144329896906E-2</v>
      </c>
      <c r="N21" s="10"/>
    </row>
    <row r="22" spans="1:14" ht="16.5">
      <c r="A22" s="10"/>
      <c r="C22" s="12" t="s">
        <v>18</v>
      </c>
      <c r="D22" s="67">
        <f>MEDIAN(D17:D18)</f>
        <v>23.825000000000003</v>
      </c>
      <c r="E22" s="19">
        <f>MEDIAN(E17:E18)</f>
        <v>9.4885863707622953</v>
      </c>
      <c r="F22" s="53">
        <f>MEDIAN(F17:F18)</f>
        <v>0.10919077228976343</v>
      </c>
      <c r="G22" s="53"/>
      <c r="I22" s="12" t="s">
        <v>18</v>
      </c>
      <c r="J22" s="67">
        <f>MEDIAN(J17:J18)</f>
        <v>25.524999999999999</v>
      </c>
      <c r="K22" s="67"/>
      <c r="L22" s="19">
        <f>MEDIAN(L17:L18)</f>
        <v>8.7400176798585605</v>
      </c>
      <c r="M22" s="53">
        <f>MEDIAN(M17:M18)</f>
        <v>0.11774950795210234</v>
      </c>
      <c r="N22" s="10"/>
    </row>
    <row r="23" spans="1:14" ht="16.5">
      <c r="A23" s="10"/>
      <c r="C23" s="12" t="s">
        <v>374</v>
      </c>
      <c r="D23" s="15">
        <f>AVERAGE(D17:D18)</f>
        <v>23.825000000000003</v>
      </c>
      <c r="E23" s="19">
        <f>AVERAGE(E17:E18)</f>
        <v>9.4885863707622953</v>
      </c>
      <c r="F23" s="68">
        <f>AVERAGE(F17:F18)</f>
        <v>0.10919077228976343</v>
      </c>
      <c r="G23" s="68"/>
      <c r="I23" s="12" t="s">
        <v>374</v>
      </c>
      <c r="J23" s="15">
        <f>AVERAGE(J17:J18)</f>
        <v>25.525000000000002</v>
      </c>
      <c r="K23" s="15"/>
      <c r="L23" s="19">
        <f>AVERAGE(L17:L18)</f>
        <v>8.7400176798585605</v>
      </c>
      <c r="M23" s="68">
        <f>AVERAGE(M17:M18)</f>
        <v>0.11774950795210234</v>
      </c>
      <c r="N23" s="10"/>
    </row>
    <row r="24" spans="1:14" ht="16.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ht="26.25">
      <c r="A25" s="10"/>
      <c r="B25" s="10"/>
      <c r="C25" s="10"/>
      <c r="D25" s="72" t="s">
        <v>73</v>
      </c>
      <c r="E25" s="312">
        <v>9.49</v>
      </c>
      <c r="F25" s="313">
        <v>0.10920000000000001</v>
      </c>
      <c r="G25" s="239"/>
      <c r="H25" s="10"/>
      <c r="I25" s="10"/>
      <c r="J25" s="72" t="s">
        <v>73</v>
      </c>
      <c r="K25" s="46"/>
      <c r="L25" s="314">
        <v>8.74</v>
      </c>
      <c r="M25" s="313">
        <v>0.1177</v>
      </c>
      <c r="N25" s="10"/>
    </row>
    <row r="26" spans="1:14" ht="30" customHeight="1" thickBot="1">
      <c r="A26" s="10"/>
      <c r="B26" s="10"/>
      <c r="C26" s="10"/>
      <c r="D26" s="10"/>
      <c r="E26" s="10"/>
      <c r="G26" s="69"/>
      <c r="H26" s="10"/>
      <c r="I26" s="10"/>
      <c r="J26" s="10"/>
      <c r="K26" s="10"/>
      <c r="L26" s="10"/>
      <c r="M26" s="10"/>
      <c r="N26" s="10"/>
    </row>
    <row r="27" spans="1:14" ht="27" thickBot="1">
      <c r="A27" s="70" t="s">
        <v>0</v>
      </c>
      <c r="B27" s="10"/>
      <c r="C27" s="10"/>
      <c r="D27" s="10"/>
      <c r="E27" s="21" t="s">
        <v>118</v>
      </c>
      <c r="F27" s="21"/>
      <c r="G27" s="347">
        <f>(+E25+L25)/2</f>
        <v>9.1150000000000002</v>
      </c>
      <c r="H27" s="346">
        <f>(+F25+M25)/2</f>
        <v>0.11345</v>
      </c>
      <c r="K27" s="10"/>
      <c r="N27" s="10"/>
    </row>
    <row r="28" spans="1:14" ht="16.5">
      <c r="A28" s="70" t="s">
        <v>0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ht="16.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ht="16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ht="17.25">
      <c r="A31" s="101" t="s">
        <v>329</v>
      </c>
    </row>
    <row r="32" spans="1:14" ht="17.25">
      <c r="A32" s="101" t="s">
        <v>330</v>
      </c>
    </row>
    <row r="33" spans="1:1" ht="17.25">
      <c r="A33" s="101" t="s">
        <v>331</v>
      </c>
    </row>
  </sheetData>
  <pageMargins left="0.25" right="0.25" top="0.75" bottom="0.75" header="0.3" footer="0.3"/>
  <pageSetup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EAAB1-5671-4283-A0D0-11DDA5DBBF04}">
  <sheetPr codeName="Sheet13">
    <tabColor rgb="FF92D050"/>
  </sheetPr>
  <dimension ref="A1:O49"/>
  <sheetViews>
    <sheetView view="pageBreakPreview" topLeftCell="A5" zoomScale="60" zoomScaleNormal="80" workbookViewId="0">
      <selection activeCell="G50" sqref="G50"/>
    </sheetView>
  </sheetViews>
  <sheetFormatPr defaultRowHeight="15"/>
  <cols>
    <col min="1" max="1" width="53.85546875" customWidth="1"/>
    <col min="2" max="2" width="8" customWidth="1"/>
    <col min="3" max="3" width="12.140625" bestFit="1" customWidth="1"/>
    <col min="4" max="4" width="20.140625" customWidth="1"/>
    <col min="5" max="5" width="18.85546875" customWidth="1"/>
    <col min="6" max="6" width="19" customWidth="1"/>
    <col min="7" max="7" width="16.42578125" customWidth="1"/>
    <col min="8" max="10" width="19.140625" customWidth="1"/>
    <col min="11" max="12" width="21.5703125" customWidth="1"/>
    <col min="13" max="13" width="18.140625" customWidth="1"/>
  </cols>
  <sheetData>
    <row r="1" spans="1:15" ht="26.25">
      <c r="A1" s="21" t="s">
        <v>1</v>
      </c>
      <c r="B1" s="2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ht="17.25">
      <c r="A2" s="59" t="s">
        <v>9</v>
      </c>
      <c r="B2" s="5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16.5">
      <c r="A3" s="23" t="s">
        <v>409</v>
      </c>
      <c r="B3" s="4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16.5">
      <c r="A4" s="10"/>
      <c r="B4" s="10"/>
      <c r="C4" s="10"/>
      <c r="D4" s="10"/>
      <c r="E4" s="24" t="s">
        <v>0</v>
      </c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8" thickBot="1">
      <c r="A5" s="59"/>
      <c r="B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 ht="21" thickBot="1">
      <c r="A6" s="229" t="str">
        <f>+'S&amp;D'!A12</f>
        <v>Air Freight Carriers</v>
      </c>
      <c r="B6" s="232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8" thickBot="1">
      <c r="A7" s="59"/>
      <c r="B7" s="59"/>
      <c r="C7" s="26"/>
      <c r="D7" s="26"/>
      <c r="E7" s="26"/>
      <c r="F7" s="26"/>
      <c r="G7" s="26"/>
      <c r="H7" s="10"/>
      <c r="I7" s="26"/>
      <c r="J7" s="26"/>
      <c r="K7" s="26"/>
      <c r="L7" s="26"/>
      <c r="M7" s="26"/>
      <c r="N7" s="10"/>
      <c r="O7" s="10"/>
    </row>
    <row r="8" spans="1:15" ht="26.25">
      <c r="B8" s="28"/>
      <c r="C8" s="10"/>
      <c r="D8" s="10"/>
      <c r="E8" s="29" t="s">
        <v>222</v>
      </c>
      <c r="F8" s="10"/>
      <c r="G8" s="10"/>
      <c r="H8" s="10"/>
      <c r="I8" s="10"/>
      <c r="J8" s="10"/>
      <c r="K8" s="29" t="s">
        <v>223</v>
      </c>
      <c r="L8" s="10"/>
      <c r="M8" s="10"/>
      <c r="N8" s="10"/>
      <c r="O8" s="10"/>
    </row>
    <row r="9" spans="1:15" ht="21" thickBot="1">
      <c r="A9" s="28"/>
      <c r="B9" s="28"/>
      <c r="C9" s="26"/>
      <c r="D9" s="26"/>
      <c r="E9" s="34" t="s">
        <v>410</v>
      </c>
      <c r="F9" s="26"/>
      <c r="G9" s="26"/>
      <c r="H9" s="10"/>
      <c r="I9" s="26"/>
      <c r="J9" s="26"/>
      <c r="K9" s="34" t="s">
        <v>410</v>
      </c>
      <c r="L9" s="26"/>
      <c r="M9" s="26"/>
      <c r="N9" s="10"/>
      <c r="O9" s="10"/>
    </row>
    <row r="10" spans="1:15" ht="17.25" thickBot="1">
      <c r="A10" s="31" t="s">
        <v>0</v>
      </c>
      <c r="B10" s="31"/>
      <c r="C10" s="31" t="s">
        <v>0</v>
      </c>
      <c r="D10" s="31" t="s">
        <v>0</v>
      </c>
      <c r="E10" s="31" t="s">
        <v>0</v>
      </c>
      <c r="F10" s="31" t="s">
        <v>0</v>
      </c>
      <c r="G10" s="31" t="s">
        <v>0</v>
      </c>
      <c r="H10" s="10"/>
      <c r="I10" s="26"/>
      <c r="J10" s="26"/>
      <c r="K10" s="26"/>
      <c r="L10" s="26"/>
      <c r="M10" s="26"/>
      <c r="N10" s="10"/>
      <c r="O10" s="10"/>
    </row>
    <row r="11" spans="1:15" ht="16.5">
      <c r="A11" s="32" t="s">
        <v>0</v>
      </c>
      <c r="B11" s="32"/>
      <c r="C11" s="32" t="s">
        <v>3</v>
      </c>
      <c r="D11" s="32" t="s">
        <v>323</v>
      </c>
      <c r="E11" s="32" t="s">
        <v>325</v>
      </c>
      <c r="F11" s="32" t="s">
        <v>110</v>
      </c>
      <c r="G11" s="32" t="s">
        <v>26</v>
      </c>
      <c r="H11" s="10"/>
      <c r="I11" s="32" t="s">
        <v>3</v>
      </c>
      <c r="J11" s="32" t="s">
        <v>323</v>
      </c>
      <c r="K11" s="32" t="s">
        <v>325</v>
      </c>
      <c r="L11" s="32" t="s">
        <v>110</v>
      </c>
      <c r="M11" s="32" t="s">
        <v>26</v>
      </c>
      <c r="N11" s="10"/>
      <c r="O11" s="10"/>
    </row>
    <row r="12" spans="1:15" ht="17.25" thickBot="1">
      <c r="A12" s="34" t="s">
        <v>2</v>
      </c>
      <c r="B12" s="34"/>
      <c r="C12" s="34" t="s">
        <v>4</v>
      </c>
      <c r="D12" s="34" t="s">
        <v>27</v>
      </c>
      <c r="E12" s="34" t="s">
        <v>158</v>
      </c>
      <c r="F12" s="34" t="s">
        <v>28</v>
      </c>
      <c r="G12" s="34" t="s">
        <v>29</v>
      </c>
      <c r="H12" s="10"/>
      <c r="I12" s="34" t="s">
        <v>4</v>
      </c>
      <c r="J12" s="34" t="s">
        <v>27</v>
      </c>
      <c r="K12" s="34" t="s">
        <v>158</v>
      </c>
      <c r="L12" s="34" t="s">
        <v>28</v>
      </c>
      <c r="M12" s="34" t="s">
        <v>29</v>
      </c>
      <c r="N12" s="10"/>
      <c r="O12" s="10"/>
    </row>
    <row r="13" spans="1:15" ht="16.5">
      <c r="A13" s="36" t="s">
        <v>0</v>
      </c>
      <c r="B13" s="36"/>
      <c r="C13" s="36" t="s">
        <v>0</v>
      </c>
      <c r="D13" s="37" t="s">
        <v>112</v>
      </c>
      <c r="E13" s="71" t="s">
        <v>113</v>
      </c>
      <c r="F13" s="36" t="s">
        <v>0</v>
      </c>
      <c r="G13" s="36" t="s">
        <v>0</v>
      </c>
      <c r="H13" s="10"/>
      <c r="I13" s="36" t="s">
        <v>0</v>
      </c>
      <c r="J13" s="37" t="s">
        <v>112</v>
      </c>
      <c r="K13" s="71" t="s">
        <v>111</v>
      </c>
      <c r="L13" s="36" t="s">
        <v>0</v>
      </c>
      <c r="M13" s="36" t="s">
        <v>0</v>
      </c>
      <c r="N13" s="10"/>
      <c r="O13" s="10"/>
    </row>
    <row r="14" spans="1:15" ht="16.5">
      <c r="A14" s="32"/>
      <c r="B14" s="32"/>
      <c r="C14" s="32"/>
      <c r="D14" s="32"/>
      <c r="E14" s="32"/>
      <c r="F14" s="32"/>
      <c r="G14" s="32"/>
      <c r="H14" s="10"/>
      <c r="I14" s="32"/>
      <c r="J14" s="32"/>
      <c r="K14" s="32"/>
      <c r="L14" s="32"/>
      <c r="M14" s="32"/>
      <c r="N14" s="10"/>
      <c r="O14" s="10"/>
    </row>
    <row r="15" spans="1:15" ht="16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ht="17.25">
      <c r="A16" s="59" t="str">
        <f>+'S&amp;D'!A22</f>
        <v xml:space="preserve">FedEx Corp </v>
      </c>
      <c r="B16" s="59"/>
      <c r="C16" s="85" t="str">
        <f>+'S&amp;D'!B22</f>
        <v>FDX</v>
      </c>
      <c r="D16" s="56">
        <f>'S&amp;D'!G22</f>
        <v>281.33</v>
      </c>
      <c r="E16" s="319">
        <f>+Earnings!E16</f>
        <v>18.2</v>
      </c>
      <c r="F16" s="67">
        <f t="shared" ref="F16:F17" si="0">D16/E16</f>
        <v>15.457692307692307</v>
      </c>
      <c r="G16" s="53">
        <f t="shared" ref="G16:G17" si="1">1/F16</f>
        <v>6.4692709629261019E-2</v>
      </c>
      <c r="H16" s="10"/>
      <c r="I16" s="32" t="str">
        <f t="shared" ref="I16:I17" si="2">+C16</f>
        <v>FDX</v>
      </c>
      <c r="J16" s="56">
        <f t="shared" ref="J16:J17" si="3">+D16</f>
        <v>281.33</v>
      </c>
      <c r="K16" s="319">
        <f>+Earnings!G16</f>
        <v>19.7</v>
      </c>
      <c r="L16" s="67">
        <f t="shared" ref="L16:L17" si="4">J16/K16</f>
        <v>14.280710659898476</v>
      </c>
      <c r="M16" s="53">
        <f t="shared" ref="M16:M17" si="5">1/L16</f>
        <v>7.0024526356947364E-2</v>
      </c>
      <c r="N16" s="10"/>
      <c r="O16" s="10"/>
    </row>
    <row r="17" spans="1:15" ht="17.25">
      <c r="A17" s="59" t="str">
        <f>+'S&amp;D'!A23</f>
        <v xml:space="preserve">United Parcel Service </v>
      </c>
      <c r="B17" s="59"/>
      <c r="C17" s="85" t="str">
        <f>+'S&amp;D'!B23</f>
        <v>UPS</v>
      </c>
      <c r="D17" s="56">
        <f>'S&amp;D'!G23</f>
        <v>126.1</v>
      </c>
      <c r="E17" s="319">
        <f>+Earnings!E17</f>
        <v>7</v>
      </c>
      <c r="F17" s="67">
        <f t="shared" si="0"/>
        <v>18.014285714285712</v>
      </c>
      <c r="G17" s="53">
        <f t="shared" si="1"/>
        <v>5.5511498810467887E-2</v>
      </c>
      <c r="H17" s="10"/>
      <c r="I17" s="32" t="str">
        <f t="shared" si="2"/>
        <v>UPS</v>
      </c>
      <c r="J17" s="56">
        <f t="shared" si="3"/>
        <v>126.1</v>
      </c>
      <c r="K17" s="319">
        <f>+Earnings!G17</f>
        <v>8</v>
      </c>
      <c r="L17" s="67">
        <f t="shared" si="4"/>
        <v>15.762499999999999</v>
      </c>
      <c r="M17" s="53">
        <f t="shared" si="5"/>
        <v>6.3441712926249005E-2</v>
      </c>
      <c r="N17" s="10"/>
      <c r="O17" s="10"/>
    </row>
    <row r="18" spans="1:15" ht="18" thickBot="1">
      <c r="A18" s="10"/>
      <c r="B18" s="10"/>
      <c r="C18" s="66"/>
      <c r="D18" s="66"/>
      <c r="E18" s="66"/>
      <c r="F18" s="66"/>
      <c r="G18" s="66"/>
      <c r="H18" s="10"/>
      <c r="I18" s="66"/>
      <c r="J18" s="61" t="s">
        <v>0</v>
      </c>
      <c r="K18" s="66"/>
      <c r="L18" s="66"/>
      <c r="M18" s="66"/>
      <c r="N18" s="10"/>
      <c r="O18" s="10"/>
    </row>
    <row r="19" spans="1:15" ht="17.25" thickTop="1">
      <c r="A19" s="10"/>
      <c r="B19" s="10"/>
      <c r="D19" s="12" t="s">
        <v>45</v>
      </c>
      <c r="E19" s="309">
        <f>MAX(E16:E17)</f>
        <v>18.2</v>
      </c>
      <c r="F19" s="309">
        <f>MAX(F16:F17)</f>
        <v>18.014285714285712</v>
      </c>
      <c r="G19" s="307">
        <f>MAX(G16:G17)</f>
        <v>6.4692709629261019E-2</v>
      </c>
      <c r="H19" s="10"/>
      <c r="J19" s="12" t="s">
        <v>45</v>
      </c>
      <c r="K19" s="309">
        <f>MAX(K16:K17)</f>
        <v>19.7</v>
      </c>
      <c r="L19" s="309">
        <f>MAX(L16:L17)</f>
        <v>15.762499999999999</v>
      </c>
      <c r="M19" s="307">
        <f>MAX(M16:M17)</f>
        <v>7.0024526356947364E-2</v>
      </c>
      <c r="N19" s="10"/>
      <c r="O19" s="10"/>
    </row>
    <row r="20" spans="1:15" ht="16.5">
      <c r="A20" s="10"/>
      <c r="B20" s="10"/>
      <c r="D20" s="282" t="s">
        <v>46</v>
      </c>
      <c r="E20" s="310">
        <f>MIN(E16:E17)</f>
        <v>7</v>
      </c>
      <c r="F20" s="310">
        <f>MIN(F16:F17)</f>
        <v>15.457692307692307</v>
      </c>
      <c r="G20" s="308">
        <f>MIN(G16:G17)</f>
        <v>5.5511498810467887E-2</v>
      </c>
      <c r="H20" s="10"/>
      <c r="J20" s="282" t="s">
        <v>46</v>
      </c>
      <c r="K20" s="310">
        <f>MIN(K16:K17)</f>
        <v>8</v>
      </c>
      <c r="L20" s="310">
        <f>MIN(L16:L17)</f>
        <v>14.280710659898476</v>
      </c>
      <c r="M20" s="308">
        <f>MIN(M16:M17)</f>
        <v>6.3441712926249005E-2</v>
      </c>
      <c r="N20" s="10"/>
      <c r="O20" s="10"/>
    </row>
    <row r="21" spans="1:15" ht="16.5">
      <c r="A21" s="10"/>
      <c r="B21" s="10"/>
      <c r="D21" s="12" t="s">
        <v>18</v>
      </c>
      <c r="E21" s="67">
        <f>MEDIAN(E16:E17)</f>
        <v>12.6</v>
      </c>
      <c r="F21" s="19">
        <f>MEDIAN(F16:F17)</f>
        <v>16.735989010989009</v>
      </c>
      <c r="G21" s="53">
        <f>MEDIAN(G16:G17)</f>
        <v>6.010210421986445E-2</v>
      </c>
      <c r="H21" s="10"/>
      <c r="J21" s="12" t="s">
        <v>18</v>
      </c>
      <c r="K21" s="67">
        <f>MEDIAN(K16:K17)</f>
        <v>13.85</v>
      </c>
      <c r="L21" s="19">
        <f>MEDIAN(L16:L17)</f>
        <v>15.021605329949239</v>
      </c>
      <c r="M21" s="53">
        <f>MEDIAN(M16:M17)</f>
        <v>6.6733119641598185E-2</v>
      </c>
      <c r="N21" s="10"/>
      <c r="O21" s="10"/>
    </row>
    <row r="22" spans="1:15" ht="16.5">
      <c r="A22" s="10"/>
      <c r="B22" s="10"/>
      <c r="D22" s="12" t="s">
        <v>374</v>
      </c>
      <c r="E22" s="15">
        <f>AVERAGE(E16:E17)</f>
        <v>12.6</v>
      </c>
      <c r="F22" s="19">
        <f>AVERAGE(F16:F17)</f>
        <v>16.735989010989009</v>
      </c>
      <c r="G22" s="68">
        <f>AVERAGE(G16:G17)</f>
        <v>6.010210421986445E-2</v>
      </c>
      <c r="H22" s="10"/>
      <c r="J22" s="12" t="s">
        <v>374</v>
      </c>
      <c r="K22" s="15">
        <f>AVERAGE(K16:K17)</f>
        <v>13.85</v>
      </c>
      <c r="L22" s="19">
        <f>AVERAGE(L16:L17)</f>
        <v>15.021605329949239</v>
      </c>
      <c r="M22" s="68">
        <f>AVERAGE(M16:M17)</f>
        <v>6.6733119641598185E-2</v>
      </c>
      <c r="N22" s="10"/>
      <c r="O22" s="10"/>
    </row>
    <row r="23" spans="1:15" ht="16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ht="26.25">
      <c r="A24" s="10"/>
      <c r="B24" s="10"/>
      <c r="C24" s="10"/>
      <c r="D24" s="10"/>
      <c r="E24" s="72" t="s">
        <v>73</v>
      </c>
      <c r="F24" s="315">
        <v>16.739999999999998</v>
      </c>
      <c r="G24" s="313">
        <v>6.0100000000000001E-2</v>
      </c>
      <c r="H24" s="10"/>
      <c r="I24" s="10"/>
      <c r="J24" s="10"/>
      <c r="K24" s="72" t="s">
        <v>73</v>
      </c>
      <c r="L24" s="316">
        <v>15.02</v>
      </c>
      <c r="M24" s="313">
        <v>6.6699999999999995E-2</v>
      </c>
      <c r="N24" s="10"/>
      <c r="O24" s="10"/>
    </row>
    <row r="25" spans="1:15" ht="16.5">
      <c r="A25" s="10"/>
      <c r="B25" s="10"/>
      <c r="C25" s="10"/>
      <c r="D25" s="10"/>
      <c r="E25" s="10"/>
      <c r="F25" s="10"/>
      <c r="K25" s="10"/>
      <c r="L25" s="10"/>
      <c r="M25" s="10"/>
      <c r="N25" s="10"/>
      <c r="O25" s="10"/>
    </row>
    <row r="26" spans="1:15" ht="30" customHeight="1">
      <c r="A26" s="10"/>
      <c r="B26" s="10"/>
      <c r="C26" s="10"/>
      <c r="D26" s="10"/>
      <c r="E26" s="10"/>
      <c r="F26" s="10"/>
      <c r="K26" s="10"/>
      <c r="L26" s="10"/>
      <c r="M26" s="10"/>
      <c r="N26" s="10"/>
      <c r="O26" s="10"/>
    </row>
    <row r="27" spans="1:15" ht="17.25" thickBot="1">
      <c r="A27" s="10"/>
      <c r="B27" s="10"/>
      <c r="C27" s="10"/>
      <c r="D27" s="10"/>
      <c r="E27" s="10"/>
      <c r="F27" s="10"/>
      <c r="K27" s="10"/>
      <c r="L27" s="10"/>
      <c r="M27" s="10"/>
      <c r="N27" s="10"/>
      <c r="O27" s="10"/>
    </row>
    <row r="28" spans="1:15" ht="30.75" customHeight="1" thickBot="1">
      <c r="A28" s="70" t="s">
        <v>0</v>
      </c>
      <c r="B28" s="70"/>
      <c r="C28" s="10"/>
      <c r="D28" s="10"/>
      <c r="E28" s="10"/>
      <c r="G28" s="21" t="s">
        <v>118</v>
      </c>
      <c r="H28" s="10"/>
      <c r="I28" s="348">
        <f>(+F24+L24)/2</f>
        <v>15.879999999999999</v>
      </c>
      <c r="J28" s="349">
        <f>(+G24+M24)/2</f>
        <v>6.3399999999999998E-2</v>
      </c>
      <c r="N28" s="10"/>
      <c r="O28" s="10"/>
    </row>
    <row r="29" spans="1:15" ht="16.5">
      <c r="A29" s="70" t="s">
        <v>0</v>
      </c>
      <c r="B29" s="7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</row>
    <row r="30" spans="1:15" ht="16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  <row r="31" spans="1:15" ht="16.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ht="15.75" thickBot="1">
      <c r="B32" s="139"/>
      <c r="C32" s="139"/>
      <c r="D32" s="139"/>
      <c r="E32" s="139"/>
      <c r="F32" s="139"/>
      <c r="G32" s="139"/>
    </row>
    <row r="33" spans="1:7" ht="26.25">
      <c r="C33" s="10"/>
      <c r="D33" s="10"/>
      <c r="E33" s="29" t="s">
        <v>228</v>
      </c>
      <c r="F33" s="10"/>
      <c r="G33" s="10"/>
    </row>
    <row r="34" spans="1:7" ht="21" thickBot="1">
      <c r="A34" s="28"/>
      <c r="B34" s="139"/>
      <c r="C34" s="26"/>
      <c r="D34" s="26"/>
      <c r="E34" s="34" t="s">
        <v>410</v>
      </c>
      <c r="F34" s="26"/>
      <c r="G34" s="26"/>
    </row>
    <row r="35" spans="1:7" ht="15.75" thickBot="1">
      <c r="A35" s="31" t="s">
        <v>0</v>
      </c>
      <c r="B35" s="139"/>
      <c r="C35" s="31" t="s">
        <v>0</v>
      </c>
      <c r="D35" s="31" t="s">
        <v>0</v>
      </c>
      <c r="E35" s="31" t="s">
        <v>0</v>
      </c>
      <c r="F35" s="31" t="s">
        <v>0</v>
      </c>
      <c r="G35" s="31" t="s">
        <v>0</v>
      </c>
    </row>
    <row r="36" spans="1:7" ht="16.5">
      <c r="A36" s="32" t="s">
        <v>0</v>
      </c>
      <c r="C36" s="32" t="s">
        <v>3</v>
      </c>
      <c r="D36" s="32" t="s">
        <v>323</v>
      </c>
      <c r="E36" s="32" t="s">
        <v>325</v>
      </c>
      <c r="F36" s="32" t="s">
        <v>110</v>
      </c>
      <c r="G36" s="32" t="s">
        <v>26</v>
      </c>
    </row>
    <row r="37" spans="1:7" ht="17.25" thickBot="1">
      <c r="A37" s="34" t="s">
        <v>2</v>
      </c>
      <c r="B37" s="139"/>
      <c r="C37" s="34" t="s">
        <v>4</v>
      </c>
      <c r="D37" s="34" t="s">
        <v>27</v>
      </c>
      <c r="E37" s="34" t="s">
        <v>158</v>
      </c>
      <c r="F37" s="34" t="s">
        <v>28</v>
      </c>
      <c r="G37" s="34" t="s">
        <v>29</v>
      </c>
    </row>
    <row r="38" spans="1:7">
      <c r="A38" s="36" t="s">
        <v>0</v>
      </c>
      <c r="C38" s="36" t="s">
        <v>0</v>
      </c>
      <c r="D38" s="37" t="s">
        <v>112</v>
      </c>
      <c r="E38" s="71" t="s">
        <v>229</v>
      </c>
      <c r="F38" s="36" t="s">
        <v>0</v>
      </c>
      <c r="G38" s="36" t="s">
        <v>0</v>
      </c>
    </row>
    <row r="39" spans="1:7" ht="16.5">
      <c r="A39" s="32"/>
      <c r="C39" s="32"/>
      <c r="D39" s="32"/>
      <c r="E39" s="32"/>
      <c r="F39" s="32"/>
      <c r="G39" s="32"/>
    </row>
    <row r="40" spans="1:7" ht="16.5">
      <c r="A40" s="10"/>
      <c r="C40" s="10"/>
      <c r="D40" s="10"/>
      <c r="E40" s="10"/>
      <c r="F40" s="10"/>
      <c r="G40" s="10"/>
    </row>
    <row r="41" spans="1:7" ht="17.25">
      <c r="A41" s="59" t="str">
        <f>+'S&amp;D'!A22</f>
        <v xml:space="preserve">FedEx Corp </v>
      </c>
      <c r="C41" s="85" t="str">
        <f>+'S&amp;D'!B22</f>
        <v>FDX</v>
      </c>
      <c r="D41" s="56">
        <f>'S&amp;D'!G22</f>
        <v>281.33</v>
      </c>
      <c r="E41" s="319">
        <f>+Earnings!I16</f>
        <v>26</v>
      </c>
      <c r="F41" s="67">
        <f t="shared" ref="F41:F42" si="6">D41/E41</f>
        <v>10.820384615384615</v>
      </c>
      <c r="G41" s="53">
        <f t="shared" ref="G41:G42" si="7">1/F41</f>
        <v>9.2418156613230024E-2</v>
      </c>
    </row>
    <row r="42" spans="1:7" ht="17.25">
      <c r="A42" s="59" t="str">
        <f>+'S&amp;D'!A23</f>
        <v xml:space="preserve">United Parcel Service </v>
      </c>
      <c r="C42" s="85" t="str">
        <f>+'S&amp;D'!B23</f>
        <v>UPS</v>
      </c>
      <c r="D42" s="56">
        <f>'S&amp;D'!G23</f>
        <v>126.1</v>
      </c>
      <c r="E42" s="319">
        <f>+Earnings!I17</f>
        <v>10</v>
      </c>
      <c r="F42" s="67">
        <f t="shared" si="6"/>
        <v>12.61</v>
      </c>
      <c r="G42" s="53">
        <f t="shared" si="7"/>
        <v>7.9302141157811271E-2</v>
      </c>
    </row>
    <row r="43" spans="1:7" ht="17.25" thickBot="1">
      <c r="A43" s="10"/>
      <c r="D43" s="66"/>
      <c r="E43" s="66"/>
      <c r="F43" s="66"/>
      <c r="G43" s="66"/>
    </row>
    <row r="44" spans="1:7" ht="17.25" thickTop="1">
      <c r="A44" s="10"/>
      <c r="D44" s="12" t="s">
        <v>45</v>
      </c>
      <c r="E44" s="309">
        <f>MAX(E41:E42)</f>
        <v>26</v>
      </c>
      <c r="F44" s="309">
        <f>MAX(F41:F42)</f>
        <v>12.61</v>
      </c>
      <c r="G44" s="307">
        <f>MAX(G41:G42)</f>
        <v>9.2418156613230024E-2</v>
      </c>
    </row>
    <row r="45" spans="1:7" ht="16.5">
      <c r="A45" s="10"/>
      <c r="D45" s="12" t="s">
        <v>46</v>
      </c>
      <c r="E45" s="310">
        <f>MIN(E41:E42)</f>
        <v>10</v>
      </c>
      <c r="F45" s="310">
        <f>MIN(F41:F42)</f>
        <v>10.820384615384615</v>
      </c>
      <c r="G45" s="308">
        <f>MIN(G41:G42)</f>
        <v>7.9302141157811271E-2</v>
      </c>
    </row>
    <row r="46" spans="1:7" ht="16.5">
      <c r="A46" s="10"/>
      <c r="D46" s="12" t="s">
        <v>18</v>
      </c>
      <c r="E46" s="67">
        <f>MEDIAN(E41:E42)</f>
        <v>18</v>
      </c>
      <c r="F46" s="19">
        <f>MEDIAN(F41:F42)</f>
        <v>11.715192307692307</v>
      </c>
      <c r="G46" s="53">
        <f>MEDIAN(G41:G42)</f>
        <v>8.5860148885520654E-2</v>
      </c>
    </row>
    <row r="47" spans="1:7" ht="16.5">
      <c r="A47" s="10"/>
      <c r="D47" s="12" t="s">
        <v>374</v>
      </c>
      <c r="E47" s="15">
        <f>AVERAGE(E41:E42)</f>
        <v>18</v>
      </c>
      <c r="F47" s="19">
        <f>AVERAGE(F41:F42)</f>
        <v>11.715192307692307</v>
      </c>
      <c r="G47" s="68">
        <f>AVERAGE(G41:G42)</f>
        <v>8.5860148885520654E-2</v>
      </c>
    </row>
    <row r="48" spans="1:7" ht="16.5">
      <c r="A48" s="10"/>
      <c r="C48" s="10"/>
      <c r="D48" s="10"/>
      <c r="E48" s="10"/>
      <c r="F48" s="10"/>
      <c r="G48" s="10"/>
    </row>
    <row r="49" spans="1:7" ht="26.25">
      <c r="A49" s="10"/>
      <c r="C49" s="10"/>
      <c r="D49" s="10"/>
      <c r="E49" s="72" t="s">
        <v>73</v>
      </c>
      <c r="F49" s="316">
        <v>11.72</v>
      </c>
      <c r="G49" s="313">
        <v>8.5900000000000004E-2</v>
      </c>
    </row>
  </sheetData>
  <pageMargins left="0.25" right="0.25" top="0.75" bottom="0.75" header="0.3" footer="0.3"/>
  <pageSetup scale="3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61EB1-A6C7-4F92-B1F9-7A98AB737123}">
  <sheetPr>
    <tabColor rgb="FF92D050"/>
  </sheetPr>
  <dimension ref="A1:R108"/>
  <sheetViews>
    <sheetView view="pageBreakPreview" topLeftCell="A61" zoomScale="50" zoomScaleNormal="80" zoomScaleSheetLayoutView="50" workbookViewId="0">
      <selection activeCell="J39" sqref="J39:K50"/>
    </sheetView>
  </sheetViews>
  <sheetFormatPr defaultRowHeight="15"/>
  <cols>
    <col min="1" max="1" width="70.5703125" customWidth="1"/>
    <col min="2" max="2" width="23.5703125" customWidth="1"/>
    <col min="3" max="3" width="26.7109375" customWidth="1"/>
    <col min="4" max="4" width="27.85546875" customWidth="1"/>
    <col min="5" max="5" width="28.85546875" customWidth="1"/>
    <col min="6" max="6" width="29.140625" customWidth="1"/>
    <col min="7" max="7" width="31" customWidth="1"/>
    <col min="8" max="8" width="27.42578125" customWidth="1"/>
    <col min="9" max="9" width="15.42578125" customWidth="1"/>
    <col min="10" max="10" width="23.42578125" customWidth="1"/>
    <col min="11" max="11" width="18.28515625" customWidth="1"/>
    <col min="12" max="12" width="14.140625" bestFit="1" customWidth="1"/>
    <col min="14" max="14" width="1.7109375" bestFit="1" customWidth="1"/>
    <col min="16" max="16" width="18.140625" bestFit="1" customWidth="1"/>
    <col min="17" max="17" width="18.5703125" bestFit="1" customWidth="1"/>
    <col min="18" max="18" width="47.42578125" bestFit="1" customWidth="1"/>
  </cols>
  <sheetData>
    <row r="1" spans="1:11" ht="26.25">
      <c r="A1" s="21" t="s">
        <v>1</v>
      </c>
      <c r="C1" s="21"/>
      <c r="D1" s="21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C2" s="22"/>
      <c r="D2" s="22"/>
      <c r="E2" s="10"/>
      <c r="F2" s="10"/>
      <c r="G2" s="10"/>
      <c r="H2" s="10"/>
      <c r="I2" s="10"/>
      <c r="J2" s="10"/>
      <c r="K2" s="10"/>
    </row>
    <row r="3" spans="1:11" ht="16.5">
      <c r="A3" s="23" t="s">
        <v>409</v>
      </c>
      <c r="C3" s="23"/>
      <c r="D3" s="23"/>
      <c r="E3" s="10"/>
      <c r="F3" s="10"/>
      <c r="G3" s="10"/>
      <c r="H3" s="10"/>
      <c r="I3" s="10"/>
      <c r="J3" s="10"/>
      <c r="K3" s="10"/>
    </row>
    <row r="4" spans="1:11" ht="16.5">
      <c r="B4" s="23"/>
      <c r="C4" s="23"/>
      <c r="D4" s="23"/>
      <c r="E4" s="10"/>
      <c r="F4" s="10"/>
      <c r="G4" s="10"/>
      <c r="H4" s="10"/>
      <c r="I4" s="10"/>
      <c r="J4" s="10"/>
      <c r="K4" s="10"/>
    </row>
    <row r="5" spans="1:11" ht="16.5">
      <c r="B5" s="10"/>
      <c r="C5" s="10"/>
      <c r="D5" s="10"/>
      <c r="E5" s="10"/>
      <c r="F5" s="10"/>
      <c r="G5" s="10"/>
      <c r="H5" s="10"/>
      <c r="I5" s="24" t="s">
        <v>0</v>
      </c>
      <c r="J5" s="24"/>
      <c r="K5" s="10"/>
    </row>
    <row r="6" spans="1:11" ht="17.25" thickBot="1">
      <c r="B6" s="10"/>
      <c r="C6" s="10"/>
      <c r="D6" s="26"/>
      <c r="E6" s="26"/>
      <c r="F6" s="139"/>
      <c r="H6" s="10"/>
      <c r="I6" s="10"/>
      <c r="J6" s="10"/>
    </row>
    <row r="7" spans="1:11" ht="27" thickBot="1">
      <c r="A7" s="25" t="str">
        <f>+'S&amp;D'!A12</f>
        <v>Air Freight Carriers</v>
      </c>
      <c r="C7" s="28"/>
      <c r="D7" s="28"/>
      <c r="E7" s="29" t="s">
        <v>237</v>
      </c>
      <c r="H7" s="10"/>
      <c r="I7" s="10"/>
      <c r="J7" s="10"/>
    </row>
    <row r="8" spans="1:11" ht="21" thickBot="1">
      <c r="B8" s="28"/>
      <c r="C8" s="28"/>
      <c r="D8" s="140"/>
      <c r="E8" s="34" t="s">
        <v>410</v>
      </c>
      <c r="F8" s="139"/>
      <c r="H8" s="10"/>
      <c r="I8" s="10"/>
    </row>
    <row r="9" spans="1:11" ht="20.25">
      <c r="B9" s="28"/>
      <c r="C9" s="28"/>
      <c r="D9" s="28"/>
      <c r="E9" s="32"/>
      <c r="H9" s="10"/>
      <c r="I9" s="10"/>
    </row>
    <row r="10" spans="1:11" ht="29.1" customHeight="1" thickBot="1">
      <c r="A10" s="140"/>
      <c r="B10" s="28"/>
      <c r="I10" s="10"/>
    </row>
    <row r="11" spans="1:11" ht="22.5" customHeight="1" thickBot="1">
      <c r="A11" s="152" t="s">
        <v>236</v>
      </c>
      <c r="B11" s="28"/>
      <c r="I11" s="10"/>
    </row>
    <row r="12" spans="1:11" ht="20.100000000000001" customHeight="1" thickBot="1">
      <c r="A12" s="151" t="s">
        <v>0</v>
      </c>
      <c r="B12" s="10"/>
      <c r="C12" s="10"/>
      <c r="D12" s="10"/>
      <c r="E12" s="10"/>
      <c r="F12" s="10"/>
      <c r="G12" s="10"/>
      <c r="H12" s="10"/>
      <c r="I12" s="10"/>
    </row>
    <row r="13" spans="1:11" ht="60.6" customHeight="1" thickBot="1">
      <c r="A13" s="192" t="s">
        <v>0</v>
      </c>
      <c r="B13" s="146" t="s">
        <v>285</v>
      </c>
      <c r="C13" s="146" t="s">
        <v>284</v>
      </c>
      <c r="D13" s="145" t="s">
        <v>216</v>
      </c>
      <c r="E13" s="146" t="s">
        <v>217</v>
      </c>
      <c r="F13" s="146" t="s">
        <v>254</v>
      </c>
      <c r="G13" s="146" t="s">
        <v>253</v>
      </c>
      <c r="H13" s="146" t="s">
        <v>218</v>
      </c>
    </row>
    <row r="14" spans="1:11" ht="16.5">
      <c r="A14" s="141"/>
      <c r="B14" s="188"/>
      <c r="C14" s="188"/>
      <c r="D14" s="107"/>
      <c r="E14" s="188"/>
      <c r="F14" s="188"/>
      <c r="G14" s="188"/>
      <c r="H14" s="188"/>
    </row>
    <row r="15" spans="1:11" ht="20.25">
      <c r="A15" s="150" t="str">
        <f>+A7</f>
        <v>Air Freight Carriers</v>
      </c>
      <c r="B15" s="203">
        <v>0</v>
      </c>
      <c r="C15" s="203">
        <v>0</v>
      </c>
      <c r="D15" s="396">
        <v>0</v>
      </c>
      <c r="E15" s="203">
        <v>0</v>
      </c>
      <c r="F15" s="203">
        <f>+'Dividends '!K21</f>
        <v>4.3609004224122505E-2</v>
      </c>
      <c r="G15" s="203">
        <f>+Earnings!K20</f>
        <v>8.7061203422889047E-2</v>
      </c>
      <c r="H15" s="203">
        <v>0</v>
      </c>
    </row>
    <row r="16" spans="1:11" ht="21" thickBot="1">
      <c r="A16" s="143" t="s">
        <v>0</v>
      </c>
      <c r="B16" s="189" t="s">
        <v>0</v>
      </c>
      <c r="C16" s="189"/>
      <c r="D16" s="294"/>
      <c r="E16" s="189"/>
      <c r="F16" s="228">
        <f>+'Dividends '!K22</f>
        <v>4.3609004224122505E-2</v>
      </c>
      <c r="G16" s="228">
        <f>+Earnings!K21</f>
        <v>8.7061203422889047E-2</v>
      </c>
      <c r="H16" s="189"/>
    </row>
    <row r="17" spans="1:18" ht="57.95" customHeight="1" thickBot="1">
      <c r="A17" s="10"/>
      <c r="B17" s="10"/>
      <c r="C17" s="10"/>
      <c r="D17" s="10"/>
      <c r="E17" s="10"/>
      <c r="F17" s="10"/>
      <c r="G17" s="10"/>
      <c r="H17" s="10"/>
      <c r="I17" s="10"/>
    </row>
    <row r="18" spans="1:18" ht="24.95" customHeight="1" thickBot="1">
      <c r="A18" s="152" t="s">
        <v>452</v>
      </c>
      <c r="B18" s="10"/>
      <c r="C18" s="10"/>
      <c r="D18" s="421"/>
      <c r="E18" s="10"/>
      <c r="F18" s="10"/>
      <c r="G18" s="10"/>
      <c r="H18" s="10"/>
      <c r="I18" s="10"/>
    </row>
    <row r="19" spans="1:18" ht="20.100000000000001" customHeight="1">
      <c r="A19" s="10"/>
      <c r="B19" s="10"/>
      <c r="C19" s="10"/>
      <c r="D19" s="438" t="s">
        <v>452</v>
      </c>
      <c r="E19" s="10"/>
      <c r="F19" s="10"/>
      <c r="G19" s="10"/>
      <c r="H19" s="10"/>
      <c r="I19" s="10"/>
    </row>
    <row r="20" spans="1:18" ht="27.95" customHeight="1">
      <c r="A20" s="439"/>
      <c r="B20" s="415"/>
      <c r="C20" s="440" t="s">
        <v>453</v>
      </c>
      <c r="D20" s="441"/>
      <c r="E20" s="10"/>
      <c r="F20" s="10"/>
      <c r="G20" s="10"/>
      <c r="H20" s="10"/>
      <c r="I20" s="10"/>
    </row>
    <row r="21" spans="1:18" ht="27.95" customHeight="1">
      <c r="A21" s="357"/>
      <c r="C21" s="442" t="s">
        <v>454</v>
      </c>
      <c r="D21" s="443">
        <v>4.5699999999999998E-2</v>
      </c>
      <c r="E21" s="10"/>
      <c r="F21" s="10"/>
      <c r="G21" s="10"/>
      <c r="H21" s="10"/>
      <c r="I21" s="10"/>
    </row>
    <row r="22" spans="1:18" ht="27.95" customHeight="1">
      <c r="A22" s="357"/>
      <c r="C22" s="442" t="s">
        <v>455</v>
      </c>
      <c r="D22" s="443">
        <v>4.6600000000000003E-2</v>
      </c>
      <c r="E22" s="10"/>
      <c r="F22" s="10"/>
      <c r="G22" s="10"/>
      <c r="H22" s="10"/>
      <c r="I22" s="10"/>
    </row>
    <row r="23" spans="1:18" ht="27" customHeight="1">
      <c r="A23" s="357"/>
      <c r="C23" s="442" t="s">
        <v>456</v>
      </c>
      <c r="D23" s="443">
        <v>4.8599999999999997E-2</v>
      </c>
      <c r="E23" s="10"/>
      <c r="F23" s="10"/>
      <c r="G23" s="10"/>
      <c r="H23" s="10"/>
      <c r="I23" s="10"/>
    </row>
    <row r="24" spans="1:18" ht="27" customHeight="1" thickBot="1">
      <c r="A24" s="357"/>
      <c r="C24" s="442" t="s">
        <v>457</v>
      </c>
      <c r="D24" s="443">
        <v>4.7899999999999998E-2</v>
      </c>
      <c r="E24" s="10"/>
      <c r="F24" s="10"/>
      <c r="G24" s="444" t="s">
        <v>458</v>
      </c>
      <c r="I24" s="10"/>
    </row>
    <row r="25" spans="1:18" ht="27" customHeight="1" thickBot="1">
      <c r="A25" s="357"/>
      <c r="B25" s="10"/>
      <c r="C25" s="445" t="s">
        <v>459</v>
      </c>
      <c r="D25" s="446"/>
      <c r="E25" s="10"/>
      <c r="F25" s="10"/>
      <c r="G25" s="447">
        <v>4.8599999999999997E-2</v>
      </c>
      <c r="H25" s="10"/>
      <c r="I25" s="10"/>
    </row>
    <row r="26" spans="1:18" ht="27" customHeight="1">
      <c r="A26" s="357"/>
      <c r="C26" s="442" t="s">
        <v>454</v>
      </c>
      <c r="D26" s="443">
        <v>4.5499999999999999E-2</v>
      </c>
      <c r="E26" s="10"/>
      <c r="F26" s="10"/>
      <c r="G26" s="10"/>
      <c r="H26" s="10"/>
      <c r="I26" s="10"/>
    </row>
    <row r="27" spans="1:18" ht="27" customHeight="1">
      <c r="A27" s="357"/>
      <c r="C27" s="442" t="s">
        <v>460</v>
      </c>
      <c r="D27" s="443">
        <v>0</v>
      </c>
      <c r="E27" s="10"/>
      <c r="F27" s="10"/>
      <c r="G27" s="10"/>
      <c r="H27" s="10"/>
      <c r="I27" s="10"/>
    </row>
    <row r="28" spans="1:18" ht="27" customHeight="1">
      <c r="A28" s="357"/>
      <c r="C28" s="442" t="s">
        <v>461</v>
      </c>
      <c r="D28" s="443">
        <v>4.7699999999999999E-2</v>
      </c>
      <c r="E28" s="10"/>
      <c r="F28" s="10"/>
      <c r="G28" s="10"/>
      <c r="H28" s="10"/>
      <c r="I28" s="10"/>
    </row>
    <row r="29" spans="1:18" ht="27" customHeight="1">
      <c r="A29" s="357"/>
      <c r="C29" s="448" t="s">
        <v>462</v>
      </c>
      <c r="D29" s="449">
        <v>4.58E-2</v>
      </c>
      <c r="E29" s="10"/>
      <c r="F29" s="10"/>
      <c r="G29" s="10"/>
      <c r="H29" s="10"/>
      <c r="I29" s="10"/>
    </row>
    <row r="30" spans="1:18" ht="20.25">
      <c r="A30" s="450"/>
      <c r="B30" s="211"/>
      <c r="C30" s="451" t="s">
        <v>463</v>
      </c>
      <c r="D30" s="452">
        <v>4.8599999999999997E-2</v>
      </c>
      <c r="L30" s="10"/>
    </row>
    <row r="31" spans="1:18" ht="63.6" customHeight="1" thickBot="1">
      <c r="B31" s="10"/>
      <c r="C31" s="10"/>
      <c r="D31" s="26"/>
      <c r="E31" s="26"/>
      <c r="F31" s="26"/>
      <c r="G31" s="10"/>
      <c r="H31" s="10"/>
      <c r="I31" s="10"/>
      <c r="L31" s="10"/>
    </row>
    <row r="32" spans="1:18" ht="26.25">
      <c r="B32" s="28"/>
      <c r="C32" s="28"/>
      <c r="D32" s="10"/>
      <c r="E32" s="29" t="s">
        <v>201</v>
      </c>
      <c r="F32" s="10"/>
      <c r="G32" s="10"/>
      <c r="H32" s="10"/>
      <c r="I32" s="10"/>
      <c r="J32" s="453" t="s">
        <v>0</v>
      </c>
      <c r="K32" s="81"/>
      <c r="L32" s="81"/>
      <c r="M32" s="81"/>
      <c r="N32" s="81"/>
      <c r="O32" s="10"/>
      <c r="P32" s="10"/>
      <c r="Q32" s="10"/>
      <c r="R32" s="10"/>
    </row>
    <row r="33" spans="1:18" ht="21" thickBot="1">
      <c r="A33" s="139"/>
      <c r="B33" s="28"/>
      <c r="C33" s="28"/>
      <c r="D33" s="26"/>
      <c r="E33" s="34" t="s">
        <v>410</v>
      </c>
      <c r="F33" s="26"/>
      <c r="G33" s="10"/>
      <c r="H33" s="10"/>
      <c r="I33" s="10"/>
      <c r="J33" s="454"/>
      <c r="K33" s="455"/>
      <c r="L33" s="455"/>
      <c r="M33" s="81"/>
      <c r="N33" s="81"/>
      <c r="O33" s="10"/>
      <c r="P33" s="10"/>
      <c r="Q33" s="10"/>
      <c r="R33" s="10"/>
    </row>
    <row r="34" spans="1:18" ht="21" thickBot="1">
      <c r="A34" s="138" t="s">
        <v>413</v>
      </c>
      <c r="B34" s="28"/>
      <c r="C34" s="28"/>
      <c r="D34" s="32"/>
      <c r="E34" s="136"/>
      <c r="F34" s="10"/>
      <c r="G34" s="10"/>
      <c r="H34" s="10"/>
      <c r="I34" s="10"/>
      <c r="J34" s="454"/>
      <c r="K34" s="454"/>
      <c r="L34" s="454"/>
      <c r="M34" s="455"/>
      <c r="N34" s="456"/>
      <c r="O34" s="10"/>
      <c r="P34" s="10"/>
      <c r="Q34" s="10"/>
      <c r="R34" s="10"/>
    </row>
    <row r="35" spans="1:18" ht="18.75">
      <c r="A35" s="38" t="s">
        <v>0</v>
      </c>
      <c r="B35" s="38"/>
      <c r="C35" s="38"/>
      <c r="D35" s="38" t="s">
        <v>0</v>
      </c>
      <c r="E35" s="38" t="s">
        <v>0</v>
      </c>
      <c r="F35" s="38" t="s">
        <v>0</v>
      </c>
      <c r="G35" s="38"/>
      <c r="H35" s="10"/>
      <c r="I35" s="10"/>
      <c r="J35" s="454"/>
      <c r="K35" s="457"/>
      <c r="L35" s="454"/>
      <c r="M35" s="455"/>
      <c r="N35" s="81"/>
      <c r="O35" s="10"/>
      <c r="P35" s="10"/>
      <c r="Q35" s="10"/>
      <c r="R35" s="10"/>
    </row>
    <row r="36" spans="1:18" ht="20.25">
      <c r="A36" s="32" t="s">
        <v>0</v>
      </c>
      <c r="B36" s="32"/>
      <c r="C36" s="32"/>
      <c r="D36" s="398" t="s">
        <v>77</v>
      </c>
      <c r="E36" s="398" t="s">
        <v>238</v>
      </c>
      <c r="F36" s="398" t="s">
        <v>121</v>
      </c>
      <c r="G36" s="225"/>
      <c r="H36" s="10"/>
      <c r="I36" s="10"/>
      <c r="J36" s="454"/>
      <c r="K36" s="454"/>
      <c r="L36" s="454"/>
      <c r="M36" s="455"/>
      <c r="N36" s="81"/>
      <c r="O36" s="10"/>
      <c r="P36" s="10"/>
      <c r="Q36" s="10"/>
      <c r="R36" s="10"/>
    </row>
    <row r="37" spans="1:18" ht="20.25">
      <c r="A37" s="477" t="s">
        <v>119</v>
      </c>
      <c r="B37" s="478"/>
      <c r="C37" s="479"/>
      <c r="D37" s="399" t="s">
        <v>79</v>
      </c>
      <c r="E37" s="399" t="s">
        <v>120</v>
      </c>
      <c r="F37" s="399" t="s">
        <v>122</v>
      </c>
      <c r="G37" s="225"/>
      <c r="H37" s="10"/>
      <c r="I37" s="10"/>
      <c r="J37" s="455"/>
      <c r="K37" s="455"/>
      <c r="L37" s="458"/>
      <c r="M37" s="455"/>
      <c r="N37" s="81"/>
      <c r="O37" s="10"/>
      <c r="P37" s="10"/>
      <c r="Q37" s="10"/>
      <c r="R37" s="10"/>
    </row>
    <row r="38" spans="1:18" ht="18.75">
      <c r="H38" s="397"/>
      <c r="J38" s="455"/>
      <c r="K38" s="455"/>
      <c r="L38" s="81"/>
      <c r="M38" s="81"/>
      <c r="N38" s="81"/>
      <c r="O38" s="10"/>
      <c r="P38" s="10"/>
      <c r="Q38" s="10"/>
      <c r="R38" s="10"/>
    </row>
    <row r="39" spans="1:18" ht="20.25">
      <c r="A39" s="400" t="s">
        <v>239</v>
      </c>
      <c r="B39" s="153"/>
      <c r="C39" s="185"/>
      <c r="D39" s="401">
        <v>2.3300000000000001E-2</v>
      </c>
      <c r="E39" s="402" t="s">
        <v>365</v>
      </c>
      <c r="F39" s="402" t="s">
        <v>365</v>
      </c>
      <c r="H39" s="397" t="s">
        <v>0</v>
      </c>
      <c r="J39" s="459"/>
      <c r="K39" s="455"/>
      <c r="L39" s="455"/>
      <c r="M39" s="81"/>
      <c r="N39" s="81"/>
      <c r="O39" s="10"/>
      <c r="P39" s="10"/>
      <c r="Q39" s="10"/>
      <c r="R39" s="10"/>
    </row>
    <row r="40" spans="1:18" ht="20.25">
      <c r="A40" s="403" t="s">
        <v>240</v>
      </c>
      <c r="B40" s="59"/>
      <c r="C40" s="186"/>
      <c r="D40" s="404">
        <v>2.46E-2</v>
      </c>
      <c r="E40" s="405" t="s">
        <v>365</v>
      </c>
      <c r="F40" s="405" t="s">
        <v>365</v>
      </c>
      <c r="H40" s="28" t="s">
        <v>0</v>
      </c>
      <c r="I40" s="10"/>
      <c r="J40" s="459"/>
      <c r="K40" s="455"/>
      <c r="L40" s="455"/>
      <c r="M40" s="81"/>
      <c r="N40" s="81"/>
      <c r="O40" s="10"/>
      <c r="P40" s="10"/>
      <c r="Q40" s="10"/>
      <c r="R40" s="10"/>
    </row>
    <row r="41" spans="1:18" ht="20.25">
      <c r="A41" s="406" t="s">
        <v>241</v>
      </c>
      <c r="B41" s="155"/>
      <c r="C41" s="187"/>
      <c r="D41" s="407">
        <v>2.3099999999999999E-2</v>
      </c>
      <c r="E41" s="408" t="s">
        <v>365</v>
      </c>
      <c r="F41" s="408" t="s">
        <v>365</v>
      </c>
      <c r="H41" s="119" t="s">
        <v>0</v>
      </c>
      <c r="I41" s="10"/>
      <c r="J41" s="459"/>
      <c r="K41" s="455"/>
      <c r="L41" s="455"/>
      <c r="M41" s="81"/>
      <c r="N41" s="81"/>
      <c r="O41" s="10"/>
      <c r="P41" s="10"/>
      <c r="Q41" s="10"/>
      <c r="R41" s="10"/>
    </row>
    <row r="42" spans="1:18" ht="20.25">
      <c r="A42" s="403" t="s">
        <v>242</v>
      </c>
      <c r="B42" s="59"/>
      <c r="C42" s="186"/>
      <c r="D42" s="409">
        <v>2.29E-2</v>
      </c>
      <c r="E42" s="409">
        <v>2.1100000000000001E-2</v>
      </c>
      <c r="F42" s="404">
        <f t="shared" ref="F42:F50" si="0">+D42+E42</f>
        <v>4.3999999999999997E-2</v>
      </c>
      <c r="H42" s="10" t="s">
        <v>0</v>
      </c>
      <c r="I42" s="10"/>
      <c r="J42" s="459"/>
      <c r="K42" s="455"/>
      <c r="L42" s="455"/>
      <c r="M42" s="81"/>
      <c r="N42" s="81"/>
      <c r="O42" s="10"/>
      <c r="P42" s="10"/>
      <c r="Q42" s="10"/>
      <c r="R42" s="10"/>
    </row>
    <row r="43" spans="1:18" ht="20.25">
      <c r="A43" s="403" t="s">
        <v>414</v>
      </c>
      <c r="B43" s="59"/>
      <c r="C43" s="186"/>
      <c r="D43" s="409">
        <v>2.2800000000000001E-2</v>
      </c>
      <c r="E43" s="409">
        <v>2.0500000000000001E-2</v>
      </c>
      <c r="F43" s="404">
        <f t="shared" si="0"/>
        <v>4.3300000000000005E-2</v>
      </c>
      <c r="H43" s="10"/>
      <c r="I43" s="10"/>
      <c r="J43" s="459"/>
      <c r="K43" s="455"/>
      <c r="L43" s="81"/>
      <c r="M43" s="81"/>
      <c r="N43" s="81"/>
      <c r="O43" s="10"/>
      <c r="P43" s="10"/>
      <c r="Q43" s="10"/>
      <c r="R43" s="10"/>
    </row>
    <row r="44" spans="1:18" ht="20.25">
      <c r="A44" s="406" t="s">
        <v>415</v>
      </c>
      <c r="B44" s="155"/>
      <c r="C44" s="187"/>
      <c r="D44" s="410">
        <v>2.3800000000000002E-2</v>
      </c>
      <c r="E44" s="410">
        <v>2.1000000000000001E-2</v>
      </c>
      <c r="F44" s="407">
        <f t="shared" si="0"/>
        <v>4.4800000000000006E-2</v>
      </c>
      <c r="H44" s="10"/>
      <c r="I44" s="10"/>
      <c r="J44" s="459"/>
      <c r="K44" s="455"/>
      <c r="L44" s="81"/>
      <c r="M44" s="81"/>
      <c r="N44" s="81"/>
      <c r="O44" s="10"/>
      <c r="P44" s="10"/>
      <c r="Q44" s="10"/>
      <c r="R44" s="10"/>
    </row>
    <row r="45" spans="1:18" ht="20.25">
      <c r="A45" s="403" t="s">
        <v>416</v>
      </c>
      <c r="B45" s="59"/>
      <c r="C45" s="186"/>
      <c r="D45" s="404">
        <v>2.3E-2</v>
      </c>
      <c r="E45" s="409">
        <v>1.7999999999999999E-2</v>
      </c>
      <c r="F45" s="404">
        <f t="shared" si="0"/>
        <v>4.0999999999999995E-2</v>
      </c>
      <c r="H45" s="118" t="s">
        <v>0</v>
      </c>
      <c r="I45" s="10"/>
      <c r="J45" s="459"/>
      <c r="K45" s="455"/>
      <c r="L45" s="81"/>
      <c r="M45" s="81"/>
      <c r="N45" s="81"/>
      <c r="O45" s="10"/>
      <c r="P45" s="10"/>
      <c r="Q45" s="10"/>
      <c r="R45" s="10"/>
    </row>
    <row r="46" spans="1:18" ht="20.25">
      <c r="A46" s="403" t="s">
        <v>417</v>
      </c>
      <c r="B46" s="59"/>
      <c r="C46" s="186"/>
      <c r="D46" s="404">
        <v>2.3E-2</v>
      </c>
      <c r="E46" s="409">
        <v>2.1999999999999999E-2</v>
      </c>
      <c r="F46" s="404">
        <f t="shared" si="0"/>
        <v>4.4999999999999998E-2</v>
      </c>
      <c r="H46" s="118" t="s">
        <v>0</v>
      </c>
      <c r="I46" s="10"/>
      <c r="J46" s="459"/>
      <c r="K46" s="455"/>
      <c r="L46" s="81"/>
      <c r="M46" s="81"/>
      <c r="N46" s="81"/>
      <c r="O46" s="10"/>
      <c r="P46" s="10"/>
      <c r="Q46" s="10"/>
      <c r="R46" s="10"/>
    </row>
    <row r="47" spans="1:18" ht="20.25">
      <c r="A47" s="406" t="s">
        <v>418</v>
      </c>
      <c r="B47" s="155"/>
      <c r="C47" s="187"/>
      <c r="D47" s="407">
        <v>2.3E-2</v>
      </c>
      <c r="E47" s="410">
        <v>1.9E-2</v>
      </c>
      <c r="F47" s="407">
        <f t="shared" si="0"/>
        <v>4.1999999999999996E-2</v>
      </c>
      <c r="H47" s="10"/>
      <c r="I47" s="10"/>
      <c r="J47" s="459"/>
      <c r="K47" s="455"/>
      <c r="L47" s="81"/>
      <c r="M47" s="81"/>
      <c r="N47" s="81"/>
      <c r="O47" s="10"/>
      <c r="P47" s="10"/>
      <c r="Q47" s="10"/>
      <c r="R47" s="10"/>
    </row>
    <row r="48" spans="1:18" ht="20.25">
      <c r="A48" s="403" t="s">
        <v>419</v>
      </c>
      <c r="B48" s="59"/>
      <c r="C48" s="186"/>
      <c r="D48" s="404">
        <v>2.3E-2</v>
      </c>
      <c r="E48" s="409">
        <v>2.1000000000000001E-2</v>
      </c>
      <c r="F48" s="404">
        <f t="shared" si="0"/>
        <v>4.3999999999999997E-2</v>
      </c>
      <c r="H48" s="10"/>
      <c r="I48" s="10"/>
      <c r="J48" s="459"/>
      <c r="K48" s="455"/>
      <c r="L48" s="81"/>
      <c r="M48" s="81"/>
      <c r="N48" s="81"/>
      <c r="O48" s="10"/>
      <c r="P48" s="10"/>
      <c r="Q48" s="10"/>
      <c r="R48" s="10"/>
    </row>
    <row r="49" spans="1:18" ht="20.25">
      <c r="A49" s="403" t="s">
        <v>420</v>
      </c>
      <c r="B49" s="59"/>
      <c r="C49" s="186"/>
      <c r="D49" s="405" t="s">
        <v>365</v>
      </c>
      <c r="E49" s="409">
        <v>2.3E-2</v>
      </c>
      <c r="F49" s="405" t="s">
        <v>365</v>
      </c>
      <c r="H49" s="10"/>
      <c r="I49" s="10"/>
      <c r="J49" s="459"/>
      <c r="K49" s="455"/>
      <c r="L49" s="81"/>
      <c r="M49" s="81"/>
      <c r="N49" s="81"/>
      <c r="O49" s="10"/>
      <c r="P49" s="10"/>
      <c r="Q49" s="10"/>
      <c r="R49" s="10"/>
    </row>
    <row r="50" spans="1:18" ht="20.25">
      <c r="A50" s="406" t="s">
        <v>421</v>
      </c>
      <c r="B50" s="155"/>
      <c r="C50" s="187"/>
      <c r="D50" s="407">
        <v>0.02</v>
      </c>
      <c r="E50" s="407">
        <v>1.7999999999999999E-2</v>
      </c>
      <c r="F50" s="407">
        <f t="shared" si="0"/>
        <v>3.7999999999999999E-2</v>
      </c>
      <c r="H50" s="10"/>
      <c r="I50" s="10"/>
      <c r="J50" s="459"/>
      <c r="K50" s="460"/>
      <c r="L50" s="81"/>
      <c r="M50" s="81"/>
      <c r="N50" s="81"/>
      <c r="O50" s="10"/>
      <c r="P50" s="10"/>
      <c r="Q50" s="10"/>
      <c r="R50" s="10"/>
    </row>
    <row r="51" spans="1:18" ht="20.25">
      <c r="A51" s="101"/>
      <c r="B51" s="113"/>
      <c r="C51" s="113" t="s">
        <v>45</v>
      </c>
      <c r="D51" s="411">
        <f>MAX(D39:D50)</f>
        <v>2.46E-2</v>
      </c>
      <c r="E51" s="411">
        <f>MAX(E39:E50)</f>
        <v>2.3E-2</v>
      </c>
      <c r="F51" s="411">
        <f>MAX(F39:F50)</f>
        <v>4.4999999999999998E-2</v>
      </c>
      <c r="G51" s="226"/>
      <c r="H51" s="10"/>
      <c r="I51" s="10"/>
      <c r="L51" s="10"/>
      <c r="M51" s="10"/>
      <c r="N51" s="10"/>
      <c r="Q51" s="10"/>
      <c r="R51" s="10"/>
    </row>
    <row r="52" spans="1:18" ht="18.75" customHeight="1">
      <c r="A52" s="101"/>
      <c r="B52" s="113"/>
      <c r="C52" s="113" t="s">
        <v>46</v>
      </c>
      <c r="D52" s="411">
        <f>MIN(D39:D50)</f>
        <v>0.02</v>
      </c>
      <c r="E52" s="411">
        <f>MIN(E39:E50)</f>
        <v>1.7999999999999999E-2</v>
      </c>
      <c r="F52" s="412">
        <f>MIN(F39:F50)</f>
        <v>3.7999999999999999E-2</v>
      </c>
      <c r="G52" s="227"/>
      <c r="H52" s="10"/>
      <c r="I52" s="10"/>
      <c r="L52" s="10"/>
      <c r="M52" s="10"/>
      <c r="N52" s="10"/>
      <c r="O52" s="10"/>
      <c r="R52" s="10"/>
    </row>
    <row r="53" spans="1:18" ht="20.25">
      <c r="A53" s="101"/>
      <c r="B53" s="113"/>
      <c r="C53" s="113" t="s">
        <v>18</v>
      </c>
      <c r="D53" s="413">
        <f>MEDIAN(D39:D50)</f>
        <v>2.3E-2</v>
      </c>
      <c r="E53" s="413">
        <f>MEDIAN(E39:E50)</f>
        <v>2.1000000000000001E-2</v>
      </c>
      <c r="F53" s="404">
        <f t="shared" ref="F53:F54" si="1">+D53+E53</f>
        <v>4.3999999999999997E-2</v>
      </c>
      <c r="G53" s="227"/>
      <c r="H53" s="10"/>
      <c r="I53" s="10"/>
      <c r="L53" s="10"/>
      <c r="M53" s="10"/>
      <c r="N53" s="10"/>
      <c r="O53" s="10"/>
      <c r="R53" s="10"/>
    </row>
    <row r="54" spans="1:18" ht="20.25">
      <c r="A54" s="101"/>
      <c r="B54" s="113"/>
      <c r="C54" s="113" t="s">
        <v>19</v>
      </c>
      <c r="D54" s="410">
        <f>AVERAGE(D39:D50)</f>
        <v>2.2954545454545453E-2</v>
      </c>
      <c r="E54" s="410">
        <f>AVERAGE(E39:E50)</f>
        <v>2.0399999999999998E-2</v>
      </c>
      <c r="F54" s="407">
        <f t="shared" si="1"/>
        <v>4.3354545454545451E-2</v>
      </c>
      <c r="G54" s="226"/>
      <c r="H54" s="10"/>
      <c r="I54" s="10"/>
      <c r="L54" s="10"/>
      <c r="M54" s="10"/>
      <c r="N54" s="10"/>
      <c r="O54" s="10"/>
      <c r="R54" s="10"/>
    </row>
    <row r="55" spans="1:18" ht="18.75">
      <c r="A55" s="10"/>
      <c r="B55" s="12"/>
      <c r="D55" s="195"/>
      <c r="E55" s="195"/>
      <c r="F55" s="195"/>
      <c r="G55" s="226"/>
      <c r="H55" s="10"/>
      <c r="I55" s="10"/>
      <c r="L55" s="10"/>
      <c r="M55" s="10"/>
      <c r="N55" s="10"/>
      <c r="O55" s="10"/>
    </row>
    <row r="56" spans="1:18" ht="16.5" customHeight="1" thickBot="1">
      <c r="A56" s="10"/>
      <c r="B56" s="12"/>
      <c r="D56" s="195"/>
      <c r="E56" s="195"/>
      <c r="F56" s="195"/>
      <c r="L56" s="10"/>
      <c r="M56" s="10"/>
      <c r="N56" s="10"/>
      <c r="O56" s="10"/>
    </row>
    <row r="57" spans="1:18" ht="27" thickBot="1">
      <c r="A57" s="10"/>
      <c r="B57" s="119"/>
      <c r="C57" s="46" t="s">
        <v>202</v>
      </c>
      <c r="D57" s="447">
        <v>2.3E-2</v>
      </c>
      <c r="E57" s="447">
        <v>2.0400000000000001E-2</v>
      </c>
      <c r="F57" s="461">
        <f>+D57+E57</f>
        <v>4.3400000000000001E-2</v>
      </c>
      <c r="L57" s="10"/>
      <c r="M57" s="10"/>
      <c r="N57" s="10"/>
      <c r="O57" s="10"/>
    </row>
    <row r="58" spans="1:18" ht="16.5" customHeight="1">
      <c r="L58" s="10"/>
      <c r="N58" s="10"/>
    </row>
    <row r="59" spans="1:18" ht="16.5">
      <c r="A59" s="10"/>
      <c r="B59" s="10"/>
      <c r="C59" s="10"/>
      <c r="D59" s="10"/>
      <c r="E59" s="10"/>
      <c r="F59" s="10"/>
      <c r="G59" s="10"/>
      <c r="I59" s="10"/>
      <c r="L59" s="10"/>
      <c r="N59" s="10"/>
    </row>
    <row r="60" spans="1:18" ht="19.5" customHeight="1">
      <c r="A60" s="414" t="s">
        <v>422</v>
      </c>
      <c r="B60" s="415"/>
      <c r="C60" s="416"/>
      <c r="D60" s="10"/>
      <c r="E60" s="10"/>
      <c r="F60" s="10"/>
      <c r="I60" s="10"/>
      <c r="L60" s="10"/>
      <c r="M60" s="10"/>
      <c r="N60" s="10"/>
    </row>
    <row r="61" spans="1:18" ht="19.5" customHeight="1">
      <c r="A61" s="414" t="s">
        <v>423</v>
      </c>
      <c r="B61" s="415"/>
      <c r="C61" s="415"/>
      <c r="D61" s="415"/>
      <c r="E61" s="415"/>
      <c r="F61" s="415"/>
      <c r="G61" s="417"/>
      <c r="I61" s="10"/>
      <c r="L61" s="10"/>
      <c r="M61" s="10"/>
      <c r="N61" s="10"/>
    </row>
    <row r="62" spans="1:18" ht="19.5" customHeight="1">
      <c r="A62" s="418" t="s">
        <v>424</v>
      </c>
      <c r="B62" s="10"/>
      <c r="C62" s="10"/>
      <c r="D62" s="10"/>
      <c r="E62" s="10"/>
      <c r="F62" s="10"/>
      <c r="G62" s="419"/>
      <c r="I62" s="10"/>
      <c r="L62" s="10"/>
      <c r="M62" s="10"/>
      <c r="N62" s="10"/>
      <c r="O62" s="462"/>
    </row>
    <row r="63" spans="1:18" ht="19.5" customHeight="1">
      <c r="A63" s="418" t="s">
        <v>425</v>
      </c>
      <c r="B63" s="10"/>
      <c r="C63" s="10"/>
      <c r="D63" s="10"/>
      <c r="E63" s="10"/>
      <c r="F63" s="10"/>
      <c r="G63" s="419"/>
      <c r="I63" s="10"/>
      <c r="L63" s="10"/>
      <c r="M63" s="10"/>
      <c r="N63" s="10"/>
      <c r="O63" s="462"/>
      <c r="P63" s="81"/>
      <c r="Q63" s="10"/>
      <c r="R63" s="10"/>
    </row>
    <row r="64" spans="1:18" ht="19.5" customHeight="1">
      <c r="A64" s="420" t="s">
        <v>426</v>
      </c>
      <c r="B64" s="421"/>
      <c r="C64" s="421"/>
      <c r="D64" s="421"/>
      <c r="E64" s="421"/>
      <c r="F64" s="421"/>
      <c r="G64" s="422"/>
      <c r="I64" s="10"/>
      <c r="L64" s="10"/>
      <c r="M64" s="10"/>
      <c r="N64" s="10"/>
      <c r="O64" s="462"/>
      <c r="P64" s="81"/>
      <c r="Q64" s="10"/>
      <c r="R64" s="10"/>
    </row>
    <row r="65" spans="1:18" ht="17.25">
      <c r="A65" s="101"/>
      <c r="B65" s="10"/>
      <c r="C65" s="10"/>
      <c r="D65" s="10"/>
      <c r="E65" s="10"/>
      <c r="F65" s="10"/>
      <c r="I65" s="10"/>
      <c r="L65" s="10"/>
      <c r="M65" s="10"/>
      <c r="N65" s="10"/>
      <c r="O65" s="10"/>
      <c r="P65" s="10"/>
      <c r="Q65" s="10"/>
      <c r="R65" s="10"/>
    </row>
    <row r="66" spans="1:18" ht="15.6" customHeight="1">
      <c r="A66" s="423" t="s">
        <v>243</v>
      </c>
      <c r="B66" s="424"/>
      <c r="C66" s="415"/>
      <c r="D66" s="415"/>
      <c r="E66" s="415"/>
      <c r="F66" s="416"/>
      <c r="G66" s="10"/>
      <c r="I66" s="10"/>
      <c r="L66" s="10"/>
      <c r="M66" s="10"/>
      <c r="N66" s="10"/>
      <c r="O66" s="10"/>
      <c r="P66" s="10"/>
      <c r="Q66" s="10"/>
      <c r="R66" s="10"/>
    </row>
    <row r="67" spans="1:18" ht="15.6" customHeight="1">
      <c r="A67" s="154" t="s">
        <v>427</v>
      </c>
      <c r="B67" s="10"/>
      <c r="C67" s="10"/>
      <c r="E67" s="10"/>
      <c r="F67" s="295"/>
      <c r="G67" s="10"/>
      <c r="I67" s="10"/>
      <c r="L67" s="10"/>
      <c r="M67" s="10"/>
      <c r="N67" s="10"/>
      <c r="O67" s="10"/>
      <c r="P67" s="10"/>
      <c r="Q67" s="10"/>
      <c r="R67" s="10"/>
    </row>
    <row r="68" spans="1:18" ht="15.6" customHeight="1">
      <c r="A68" s="425" t="s">
        <v>244</v>
      </c>
      <c r="B68" s="421"/>
      <c r="C68" s="421"/>
      <c r="D68" s="421"/>
      <c r="E68" s="421"/>
      <c r="F68" s="275"/>
      <c r="G68" s="10"/>
      <c r="I68" s="10" t="s">
        <v>0</v>
      </c>
      <c r="L68" s="10"/>
      <c r="M68" s="10"/>
      <c r="N68" s="10"/>
      <c r="O68" s="10"/>
      <c r="P68" s="10"/>
      <c r="Q68" s="10"/>
      <c r="R68" s="10"/>
    </row>
    <row r="69" spans="1:18" ht="16.5">
      <c r="A69" s="359"/>
      <c r="B69" s="10"/>
      <c r="C69" s="10"/>
      <c r="D69" s="10"/>
      <c r="E69" s="10"/>
      <c r="F69" s="10"/>
      <c r="G69" s="10"/>
      <c r="I69" s="10"/>
      <c r="L69" s="10"/>
      <c r="M69" s="10"/>
      <c r="N69" s="10"/>
      <c r="O69" s="10"/>
      <c r="P69" s="10"/>
      <c r="Q69" s="10"/>
      <c r="R69" s="10"/>
    </row>
    <row r="70" spans="1:18" ht="17.25">
      <c r="A70" s="134" t="s">
        <v>428</v>
      </c>
      <c r="B70" s="121"/>
      <c r="C70" s="121"/>
      <c r="D70" s="121"/>
      <c r="E70" s="122"/>
      <c r="F70" s="121"/>
      <c r="G70" s="121"/>
      <c r="H70" s="121"/>
      <c r="I70" s="10"/>
      <c r="L70" s="10"/>
      <c r="M70" s="10"/>
      <c r="N70" s="10"/>
      <c r="O70" s="10"/>
      <c r="P70" s="10"/>
      <c r="Q70" s="10"/>
      <c r="R70" s="10"/>
    </row>
    <row r="71" spans="1:18" ht="17.25">
      <c r="A71" s="134"/>
      <c r="B71" s="121"/>
      <c r="C71" s="121"/>
      <c r="D71" s="121"/>
      <c r="E71" s="122"/>
      <c r="F71" s="121"/>
      <c r="G71" s="121"/>
      <c r="H71" s="121"/>
      <c r="I71" s="10"/>
      <c r="J71" s="10"/>
      <c r="K71" s="10"/>
      <c r="L71" s="10"/>
      <c r="M71" s="10"/>
      <c r="N71" s="10"/>
      <c r="O71" s="10"/>
      <c r="P71" s="10"/>
      <c r="Q71" s="10"/>
      <c r="R71" s="10"/>
    </row>
    <row r="72" spans="1:18" ht="16.5">
      <c r="A72" s="426" t="s">
        <v>429</v>
      </c>
      <c r="B72" s="121"/>
      <c r="C72" s="121"/>
      <c r="D72" s="121"/>
      <c r="E72" s="122"/>
      <c r="F72" s="121"/>
      <c r="G72" s="121"/>
      <c r="H72" s="121"/>
      <c r="I72" s="10"/>
    </row>
    <row r="73" spans="1:18" ht="16.5">
      <c r="A73" s="427" t="s">
        <v>430</v>
      </c>
      <c r="B73" s="121"/>
      <c r="C73" s="121"/>
      <c r="D73" s="121"/>
      <c r="E73" s="122"/>
      <c r="F73" s="121"/>
      <c r="G73" s="121"/>
      <c r="H73" s="121"/>
      <c r="I73" s="10"/>
    </row>
    <row r="74" spans="1:18" ht="16.5">
      <c r="A74" s="428" t="s">
        <v>350</v>
      </c>
      <c r="B74" s="429"/>
      <c r="C74" s="121"/>
      <c r="D74" s="121"/>
      <c r="E74" s="122"/>
      <c r="F74" s="121"/>
      <c r="G74" s="121"/>
      <c r="H74" s="121"/>
      <c r="I74" s="10"/>
    </row>
    <row r="75" spans="1:18" ht="16.5">
      <c r="A75" s="120"/>
      <c r="B75" s="121"/>
      <c r="C75" s="121"/>
      <c r="D75" s="121"/>
      <c r="E75" s="122"/>
      <c r="F75" s="121"/>
      <c r="G75" s="121"/>
      <c r="H75" s="121"/>
      <c r="I75" s="10"/>
    </row>
    <row r="76" spans="1:18" ht="16.5">
      <c r="A76" s="426" t="s">
        <v>431</v>
      </c>
    </row>
    <row r="77" spans="1:18">
      <c r="A77" s="430" t="s">
        <v>432</v>
      </c>
    </row>
    <row r="78" spans="1:18">
      <c r="A78" s="430" t="s">
        <v>433</v>
      </c>
    </row>
    <row r="79" spans="1:18" ht="16.5">
      <c r="A79" s="431" t="s">
        <v>139</v>
      </c>
      <c r="B79" s="393"/>
    </row>
    <row r="80" spans="1:18" ht="16.5">
      <c r="A80" s="120"/>
      <c r="B80" s="121"/>
      <c r="C80" s="121"/>
      <c r="D80" s="121"/>
      <c r="E80" s="122"/>
      <c r="F80" s="121"/>
      <c r="G80" s="121"/>
      <c r="H80" s="121"/>
      <c r="I80" s="10"/>
    </row>
    <row r="81" spans="1:9" ht="16.5">
      <c r="A81" s="426" t="s">
        <v>434</v>
      </c>
      <c r="B81" s="121"/>
      <c r="C81" s="121"/>
      <c r="D81" s="121"/>
      <c r="E81" s="122"/>
      <c r="F81" s="121"/>
      <c r="G81" s="121"/>
      <c r="H81" s="121"/>
      <c r="I81" s="10"/>
    </row>
    <row r="82" spans="1:9" ht="16.5">
      <c r="A82" s="430" t="s">
        <v>435</v>
      </c>
      <c r="B82" s="121"/>
      <c r="C82" s="121"/>
      <c r="D82" s="121"/>
      <c r="E82" s="122"/>
      <c r="F82" s="121"/>
      <c r="G82" s="121"/>
      <c r="H82" s="121"/>
      <c r="I82" s="10"/>
    </row>
    <row r="83" spans="1:9" ht="16.5">
      <c r="A83" s="432" t="s">
        <v>140</v>
      </c>
      <c r="B83" s="429"/>
      <c r="C83" s="429"/>
      <c r="D83" s="121"/>
      <c r="E83" s="122"/>
      <c r="F83" s="121"/>
      <c r="G83" s="121"/>
      <c r="H83" s="121"/>
      <c r="I83" s="10"/>
    </row>
    <row r="84" spans="1:9" ht="16.5">
      <c r="A84" s="137"/>
      <c r="B84" s="121"/>
      <c r="C84" s="121"/>
      <c r="D84" s="121"/>
      <c r="E84" s="122"/>
      <c r="F84" s="121"/>
      <c r="G84" s="121"/>
      <c r="H84" s="121"/>
      <c r="I84" s="10"/>
    </row>
    <row r="85" spans="1:9" ht="16.5">
      <c r="A85" s="426" t="s">
        <v>436</v>
      </c>
      <c r="B85" s="121"/>
      <c r="C85" s="121"/>
      <c r="D85" s="121"/>
      <c r="E85" s="122"/>
      <c r="F85" s="121"/>
      <c r="G85" s="121"/>
      <c r="H85" s="121"/>
      <c r="I85" s="10"/>
    </row>
    <row r="86" spans="1:9" ht="16.5">
      <c r="A86" s="433" t="s">
        <v>437</v>
      </c>
      <c r="B86" s="121"/>
      <c r="D86" s="121" t="s">
        <v>0</v>
      </c>
      <c r="E86" s="122"/>
      <c r="F86" s="121"/>
      <c r="G86" s="121"/>
      <c r="H86" s="121"/>
      <c r="I86" s="10"/>
    </row>
    <row r="87" spans="1:9" ht="16.5">
      <c r="A87" s="428" t="s">
        <v>438</v>
      </c>
      <c r="G87" s="121"/>
      <c r="H87" s="121"/>
      <c r="I87" s="121"/>
    </row>
    <row r="88" spans="1:9" ht="16.5">
      <c r="A88" s="432" t="s">
        <v>439</v>
      </c>
      <c r="C88" s="121"/>
      <c r="E88" s="122"/>
      <c r="F88" s="121"/>
      <c r="G88" s="121"/>
      <c r="H88" s="121"/>
      <c r="I88" s="10"/>
    </row>
    <row r="89" spans="1:9" ht="16.5">
      <c r="A89" s="432" t="s">
        <v>440</v>
      </c>
      <c r="B89" s="432"/>
      <c r="C89" s="121"/>
      <c r="D89" s="432"/>
      <c r="E89" s="122"/>
      <c r="F89" s="121"/>
      <c r="G89" s="121"/>
      <c r="H89" s="121"/>
      <c r="I89" s="10"/>
    </row>
    <row r="90" spans="1:9" ht="16.5">
      <c r="A90" s="432" t="s">
        <v>441</v>
      </c>
      <c r="B90" s="432"/>
      <c r="C90" s="121"/>
      <c r="D90" s="432"/>
      <c r="E90" s="122"/>
      <c r="F90" s="121"/>
      <c r="G90" s="121"/>
      <c r="H90" s="121"/>
      <c r="I90" s="10"/>
    </row>
    <row r="91" spans="1:9" ht="16.5">
      <c r="A91" s="137"/>
      <c r="B91" s="121"/>
      <c r="C91" s="121"/>
      <c r="D91" s="121"/>
      <c r="E91" s="122"/>
      <c r="F91" s="121"/>
      <c r="G91" s="121"/>
      <c r="H91" s="121"/>
      <c r="I91" s="10"/>
    </row>
    <row r="92" spans="1:9" ht="16.5">
      <c r="A92" s="426" t="s">
        <v>442</v>
      </c>
      <c r="B92" s="121"/>
      <c r="D92" s="121"/>
      <c r="E92" s="122"/>
      <c r="F92" s="121"/>
      <c r="G92" s="121"/>
      <c r="H92" s="121"/>
      <c r="I92" s="10"/>
    </row>
    <row r="93" spans="1:9" ht="16.5">
      <c r="A93" s="430" t="s">
        <v>443</v>
      </c>
      <c r="B93" s="121"/>
      <c r="D93" s="121"/>
      <c r="E93" s="122"/>
      <c r="F93" s="121"/>
      <c r="G93" s="121"/>
      <c r="H93" s="121"/>
      <c r="I93" s="10"/>
    </row>
    <row r="94" spans="1:9" ht="16.5">
      <c r="A94" s="432" t="s">
        <v>444</v>
      </c>
      <c r="B94" s="121"/>
      <c r="D94" s="121"/>
      <c r="E94" s="122"/>
      <c r="F94" s="121"/>
      <c r="G94" s="121"/>
      <c r="H94" s="121"/>
      <c r="I94" s="10"/>
    </row>
    <row r="95" spans="1:9" ht="16.5">
      <c r="A95" s="431"/>
      <c r="B95" s="121"/>
      <c r="C95" s="121"/>
      <c r="D95" s="121"/>
      <c r="E95" s="122"/>
      <c r="F95" s="121"/>
      <c r="G95" s="121"/>
      <c r="H95" s="121"/>
      <c r="I95" s="10"/>
    </row>
    <row r="96" spans="1:9" ht="16.5">
      <c r="A96" s="426" t="s">
        <v>445</v>
      </c>
      <c r="C96" s="121"/>
      <c r="D96" s="121"/>
      <c r="E96" s="122"/>
      <c r="F96" s="121"/>
      <c r="G96" s="121"/>
      <c r="H96" s="121"/>
      <c r="I96" s="10"/>
    </row>
    <row r="97" spans="1:9" ht="16.5">
      <c r="A97" s="434" t="s">
        <v>446</v>
      </c>
      <c r="B97" s="121"/>
      <c r="C97" s="121"/>
      <c r="D97" s="121"/>
      <c r="E97" s="122"/>
      <c r="F97" s="121"/>
      <c r="G97" s="121"/>
      <c r="H97" s="121"/>
      <c r="I97" s="10"/>
    </row>
    <row r="98" spans="1:9" ht="16.5">
      <c r="A98" s="435" t="s">
        <v>447</v>
      </c>
      <c r="B98" s="121"/>
      <c r="C98" s="121"/>
      <c r="D98" s="121"/>
      <c r="E98" s="122"/>
      <c r="F98" s="121"/>
      <c r="G98" s="121"/>
      <c r="H98" s="121"/>
      <c r="I98" s="10"/>
    </row>
    <row r="99" spans="1:9" ht="16.5">
      <c r="A99" s="432" t="s">
        <v>448</v>
      </c>
      <c r="B99" s="436"/>
      <c r="C99" s="121"/>
      <c r="D99" s="121"/>
      <c r="E99" s="122"/>
      <c r="F99" s="121"/>
      <c r="G99" s="121"/>
      <c r="H99" s="121"/>
      <c r="I99" s="10"/>
    </row>
    <row r="100" spans="1:9" ht="16.5">
      <c r="A100" s="437"/>
      <c r="B100" s="121"/>
      <c r="C100" s="121"/>
      <c r="D100" s="121"/>
      <c r="E100" s="122"/>
      <c r="F100" s="121"/>
      <c r="G100" s="121"/>
      <c r="H100" s="121"/>
      <c r="I100" s="10"/>
    </row>
    <row r="101" spans="1:9" ht="16.5">
      <c r="A101" s="426" t="s">
        <v>449</v>
      </c>
      <c r="B101" s="121"/>
      <c r="C101" s="121"/>
      <c r="D101" s="121"/>
      <c r="E101" s="122"/>
      <c r="F101" s="121"/>
      <c r="G101" s="121"/>
      <c r="H101" s="121"/>
      <c r="I101" s="10"/>
    </row>
    <row r="102" spans="1:9" ht="16.5">
      <c r="A102" s="434" t="s">
        <v>446</v>
      </c>
      <c r="B102" s="121"/>
      <c r="C102" s="121"/>
      <c r="D102" s="121"/>
      <c r="E102" s="122"/>
      <c r="F102" s="121"/>
      <c r="G102" s="121"/>
      <c r="H102" s="121"/>
      <c r="I102" s="10"/>
    </row>
    <row r="103" spans="1:9" ht="16.5">
      <c r="A103" s="435" t="s">
        <v>450</v>
      </c>
      <c r="B103" s="121"/>
      <c r="C103" s="121"/>
      <c r="D103" s="121"/>
      <c r="E103" s="122"/>
      <c r="F103" s="121"/>
      <c r="G103" s="121"/>
      <c r="H103" s="121"/>
      <c r="I103" s="10"/>
    </row>
    <row r="104" spans="1:9" ht="16.5">
      <c r="A104" s="432" t="s">
        <v>451</v>
      </c>
      <c r="B104" s="121"/>
      <c r="C104" s="121"/>
      <c r="D104" s="121"/>
      <c r="E104" s="122"/>
      <c r="F104" s="121"/>
      <c r="G104" s="121"/>
      <c r="H104" s="121"/>
      <c r="I104" s="10"/>
    </row>
    <row r="105" spans="1:9" ht="16.5">
      <c r="A105" s="437"/>
      <c r="B105" s="121"/>
      <c r="C105" s="121"/>
      <c r="D105" s="121"/>
      <c r="E105" s="122"/>
      <c r="F105" s="121"/>
      <c r="G105" s="121"/>
      <c r="H105" s="121"/>
      <c r="I105" s="10"/>
    </row>
    <row r="106" spans="1:9" ht="16.5">
      <c r="A106" s="394" t="s">
        <v>464</v>
      </c>
    </row>
    <row r="107" spans="1:9" ht="16.5">
      <c r="A107" s="432" t="s">
        <v>465</v>
      </c>
    </row>
    <row r="108" spans="1:9" ht="16.5">
      <c r="A108" s="431" t="s">
        <v>466</v>
      </c>
    </row>
  </sheetData>
  <mergeCells count="1">
    <mergeCell ref="A37:C37"/>
  </mergeCells>
  <hyperlinks>
    <hyperlink ref="A74" r:id="rId1" xr:uid="{373CE9AE-F65F-4A5C-9E46-2EF91844B6B7}"/>
    <hyperlink ref="A79" r:id="rId2" xr:uid="{807C1CEF-3044-48BA-8A25-DCFF7DFA9BF2}"/>
    <hyperlink ref="A83" r:id="rId3" xr:uid="{97971565-E9D1-427C-B371-F5FB7E31DD75}"/>
    <hyperlink ref="A94" r:id="rId4" xr:uid="{5C4285D0-1D39-4F88-948C-66C2BB2518DE}"/>
    <hyperlink ref="A99" r:id="rId5" xr:uid="{642641E9-D65D-493E-87D1-A94F75145BF5}"/>
    <hyperlink ref="A104" r:id="rId6" xr:uid="{C1E58338-A708-4A44-897A-2113E5211B75}"/>
    <hyperlink ref="A89" r:id="rId7" xr:uid="{58E85DFF-ABF0-460D-9C83-ECBFFB0A370C}"/>
    <hyperlink ref="A88" r:id="rId8" display="https://www.cbo.gov/system/files/2025-01/60870-Outlook-2025.pdf" xr:uid="{C74E7710-C177-4C96-8289-6D74DC8B1224}"/>
    <hyperlink ref="A90" r:id="rId9" xr:uid="{C0587E5E-A279-4F75-843C-494F293651B3}"/>
    <hyperlink ref="A87" r:id="rId10" location="4" display="https://www.cbo.gov/data/budget-economic-data - 4" xr:uid="{15E4E29A-3399-497F-9E4B-957AE80FFA9E}"/>
    <hyperlink ref="A68" r:id="rId11" xr:uid="{640210B2-6532-49AA-9D37-2D5BF22D501A}"/>
    <hyperlink ref="A107" r:id="rId12" xr:uid="{2EC175E1-3BA0-44DC-B104-71A3C77928A3}"/>
    <hyperlink ref="A108" r:id="rId13" xr:uid="{E9A02AB0-AD85-472E-8741-7839291D4EC4}"/>
  </hyperlinks>
  <pageMargins left="0.25" right="0.25" top="0.75" bottom="0.75" header="0.3" footer="0.3"/>
  <pageSetup scale="27" fitToWidth="0" orientation="portrait" r:id="rId1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730FF-5535-41D1-98A4-3D0EAA106D41}">
  <sheetPr codeName="Sheet16">
    <tabColor rgb="FF92D050"/>
    <pageSetUpPr fitToPage="1"/>
  </sheetPr>
  <dimension ref="A1:J85"/>
  <sheetViews>
    <sheetView view="pageBreakPreview" zoomScale="60" zoomScaleNormal="80" workbookViewId="0">
      <selection activeCell="A47" sqref="A47"/>
    </sheetView>
  </sheetViews>
  <sheetFormatPr defaultRowHeight="15"/>
  <cols>
    <col min="1" max="1" width="74.5703125" customWidth="1"/>
    <col min="2" max="2" width="21.85546875" customWidth="1"/>
    <col min="3" max="3" width="24.5703125" customWidth="1"/>
    <col min="4" max="4" width="29.42578125" customWidth="1"/>
    <col min="5" max="5" width="30.5703125" customWidth="1"/>
    <col min="6" max="6" width="32.140625" customWidth="1"/>
    <col min="7" max="7" width="27" customWidth="1"/>
    <col min="8" max="9" width="13.85546875" customWidth="1"/>
    <col min="10" max="11" width="14.140625" bestFit="1" customWidth="1"/>
  </cols>
  <sheetData>
    <row r="1" spans="1:10" ht="26.25">
      <c r="A1" s="21" t="s">
        <v>1</v>
      </c>
      <c r="B1" s="21"/>
      <c r="C1" s="21"/>
      <c r="D1" s="10"/>
      <c r="E1" s="10"/>
      <c r="F1" s="10"/>
      <c r="G1" s="10"/>
      <c r="H1" s="10"/>
      <c r="I1" s="10"/>
      <c r="J1" s="10"/>
    </row>
    <row r="2" spans="1:10" ht="17.25">
      <c r="A2" s="22" t="s">
        <v>9</v>
      </c>
      <c r="B2" s="22"/>
      <c r="C2" s="22"/>
      <c r="D2" s="10"/>
      <c r="E2" s="10"/>
      <c r="F2" s="10"/>
      <c r="G2" s="10"/>
      <c r="H2" s="10"/>
      <c r="I2" s="10"/>
      <c r="J2" s="10"/>
    </row>
    <row r="3" spans="1:10" ht="16.5">
      <c r="A3" s="23" t="s">
        <v>409</v>
      </c>
      <c r="B3" s="23"/>
      <c r="C3" s="23"/>
      <c r="D3" s="10"/>
      <c r="E3" s="10"/>
      <c r="F3" s="10"/>
      <c r="G3" s="10"/>
      <c r="H3" s="10"/>
      <c r="I3" s="10"/>
      <c r="J3" s="10"/>
    </row>
    <row r="4" spans="1:10" ht="16.5">
      <c r="A4" s="23"/>
      <c r="B4" s="23"/>
      <c r="C4" s="23"/>
      <c r="D4" s="10"/>
      <c r="E4" s="10"/>
      <c r="F4" s="10"/>
      <c r="G4" s="10"/>
      <c r="H4" s="10"/>
      <c r="I4" s="10"/>
      <c r="J4" s="10"/>
    </row>
    <row r="5" spans="1:10" ht="17.25" thickBot="1">
      <c r="A5" s="10"/>
      <c r="B5" s="10"/>
      <c r="C5" s="10"/>
      <c r="D5" s="10"/>
      <c r="E5" s="10"/>
      <c r="F5" s="10"/>
      <c r="G5" s="10"/>
      <c r="H5" s="24" t="s">
        <v>0</v>
      </c>
      <c r="I5" s="24"/>
      <c r="J5" s="10"/>
    </row>
    <row r="6" spans="1:10" ht="21" thickBot="1">
      <c r="A6" s="25" t="str">
        <f>+'S&amp;D'!A12</f>
        <v>Air Freight Carriers</v>
      </c>
      <c r="B6" s="10"/>
      <c r="C6" s="10"/>
      <c r="D6" s="26"/>
      <c r="E6" s="26"/>
      <c r="F6" s="26"/>
      <c r="G6" s="10"/>
      <c r="H6" s="10"/>
      <c r="I6" s="10"/>
      <c r="J6" s="10"/>
    </row>
    <row r="7" spans="1:10" ht="26.25">
      <c r="B7" s="28"/>
      <c r="C7" s="28"/>
      <c r="D7" s="10"/>
      <c r="E7" s="29" t="s">
        <v>199</v>
      </c>
      <c r="F7" s="10"/>
      <c r="G7" s="10"/>
      <c r="H7" s="10"/>
      <c r="I7" s="10"/>
      <c r="J7" s="10"/>
    </row>
    <row r="8" spans="1:10" ht="21" thickBot="1">
      <c r="A8" s="28"/>
      <c r="B8" s="28"/>
      <c r="C8" s="28"/>
      <c r="D8" s="26"/>
      <c r="E8" s="34" t="s">
        <v>410</v>
      </c>
      <c r="F8" s="26"/>
      <c r="G8" s="10"/>
      <c r="H8" s="10"/>
      <c r="I8" s="10"/>
      <c r="J8" s="10"/>
    </row>
    <row r="9" spans="1:10" ht="20.25">
      <c r="A9" s="28"/>
      <c r="B9" s="28"/>
      <c r="C9" s="28"/>
      <c r="D9" s="10"/>
      <c r="E9" s="32"/>
      <c r="F9" s="10"/>
      <c r="G9" s="10"/>
      <c r="H9" s="10"/>
      <c r="I9" s="10"/>
      <c r="J9" s="10"/>
    </row>
    <row r="10" spans="1:10" ht="20.25">
      <c r="A10" s="28"/>
      <c r="B10" s="28"/>
      <c r="H10" s="10"/>
      <c r="I10" s="10"/>
      <c r="J10" s="10"/>
    </row>
    <row r="11" spans="1:10" ht="20.25">
      <c r="A11" s="28"/>
      <c r="B11" s="28"/>
      <c r="H11" s="10"/>
      <c r="I11" s="10"/>
      <c r="J11" s="10"/>
    </row>
    <row r="12" spans="1:10" ht="30" customHeight="1" thickBot="1">
      <c r="A12" s="28"/>
      <c r="B12" s="28"/>
      <c r="C12" t="s">
        <v>0</v>
      </c>
      <c r="H12" s="10"/>
      <c r="I12" s="10"/>
      <c r="J12" s="10"/>
    </row>
    <row r="13" spans="1:10" ht="26.25" customHeight="1" thickBot="1">
      <c r="A13" s="148" t="s">
        <v>214</v>
      </c>
      <c r="B13" s="10" t="s">
        <v>0</v>
      </c>
      <c r="C13" s="10"/>
      <c r="D13" s="10"/>
      <c r="E13" s="10"/>
      <c r="F13" s="10"/>
      <c r="G13" s="10"/>
      <c r="H13" s="10"/>
      <c r="I13" s="10"/>
      <c r="J13" s="10"/>
    </row>
    <row r="14" spans="1:10" ht="42" customHeight="1" thickBot="1">
      <c r="A14" s="147" t="s">
        <v>212</v>
      </c>
      <c r="B14" s="146" t="s">
        <v>203</v>
      </c>
      <c r="C14" s="145" t="s">
        <v>215</v>
      </c>
      <c r="D14" s="146" t="s">
        <v>205</v>
      </c>
      <c r="E14" s="146" t="s">
        <v>368</v>
      </c>
      <c r="F14" s="144" t="s">
        <v>204</v>
      </c>
      <c r="G14" s="10"/>
      <c r="H14" s="10"/>
      <c r="I14" s="10"/>
      <c r="J14" s="10"/>
    </row>
    <row r="15" spans="1:10" ht="16.5">
      <c r="A15" s="141"/>
      <c r="B15" s="107"/>
      <c r="C15" s="107"/>
      <c r="D15" s="107"/>
      <c r="E15" s="107"/>
      <c r="F15" s="142"/>
      <c r="G15" s="10"/>
      <c r="H15" s="10"/>
      <c r="I15" s="10"/>
      <c r="J15" s="10"/>
    </row>
    <row r="16" spans="1:10" ht="17.25">
      <c r="A16" s="171" t="s">
        <v>469</v>
      </c>
      <c r="B16" s="184">
        <v>2.3300000000000001E-2</v>
      </c>
      <c r="C16" s="181">
        <f>+'Beta for CAPM'!H26</f>
        <v>1.08</v>
      </c>
      <c r="D16" s="172">
        <f>+B16*C16</f>
        <v>2.5164000000000002E-2</v>
      </c>
      <c r="E16" s="172">
        <f>+'Growth &amp; Inflation Rates'!$G$25</f>
        <v>4.8599999999999997E-2</v>
      </c>
      <c r="F16" s="173">
        <f>+D16+E16</f>
        <v>7.3763999999999996E-2</v>
      </c>
      <c r="G16" s="10"/>
      <c r="H16" s="10"/>
      <c r="I16" s="10"/>
      <c r="J16" s="10"/>
    </row>
    <row r="17" spans="1:10" ht="17.25">
      <c r="A17" s="171" t="s">
        <v>470</v>
      </c>
      <c r="B17" s="184">
        <v>3.04E-2</v>
      </c>
      <c r="C17" s="181">
        <f>+C16</f>
        <v>1.08</v>
      </c>
      <c r="D17" s="172">
        <f>+B17*C17</f>
        <v>3.2832E-2</v>
      </c>
      <c r="E17" s="172">
        <f>+E16</f>
        <v>4.8599999999999997E-2</v>
      </c>
      <c r="F17" s="173">
        <f>+D17+E17</f>
        <v>8.1432000000000004E-2</v>
      </c>
      <c r="G17" s="10"/>
      <c r="H17" s="10"/>
      <c r="I17" s="10"/>
      <c r="J17" s="10"/>
    </row>
    <row r="18" spans="1:10" ht="17.25">
      <c r="A18" s="174"/>
      <c r="B18" s="101"/>
      <c r="C18" s="101"/>
      <c r="D18" s="101"/>
      <c r="E18" s="101"/>
      <c r="F18" s="175"/>
      <c r="G18" s="10"/>
      <c r="H18" s="10"/>
      <c r="I18" s="10"/>
      <c r="J18" s="10"/>
    </row>
    <row r="19" spans="1:10" ht="17.25">
      <c r="A19" s="171" t="s">
        <v>380</v>
      </c>
      <c r="B19" s="184">
        <v>4.3299999999999998E-2</v>
      </c>
      <c r="C19" s="181">
        <f>+C16</f>
        <v>1.08</v>
      </c>
      <c r="D19" s="172">
        <f>+B19*C19</f>
        <v>4.6764E-2</v>
      </c>
      <c r="E19" s="172">
        <f>+E16</f>
        <v>4.8599999999999997E-2</v>
      </c>
      <c r="F19" s="173">
        <f>+D19+E19</f>
        <v>9.5364000000000004E-2</v>
      </c>
      <c r="G19" s="10"/>
      <c r="H19" s="10"/>
      <c r="I19" s="10"/>
      <c r="J19" s="10"/>
    </row>
    <row r="20" spans="1:10" ht="17.25">
      <c r="A20" s="171" t="s">
        <v>398</v>
      </c>
      <c r="B20" s="184">
        <v>6.1499999999999999E-2</v>
      </c>
      <c r="C20" s="181">
        <f>+C16</f>
        <v>1.08</v>
      </c>
      <c r="D20" s="172">
        <f>+B20*C20</f>
        <v>6.6420000000000007E-2</v>
      </c>
      <c r="E20" s="172">
        <f>+E17</f>
        <v>4.8599999999999997E-2</v>
      </c>
      <c r="F20" s="173">
        <f>+D20+E20</f>
        <v>0.11502000000000001</v>
      </c>
      <c r="G20" s="10"/>
      <c r="H20" s="10"/>
      <c r="I20" s="10"/>
      <c r="J20" s="10"/>
    </row>
    <row r="21" spans="1:10" ht="17.25">
      <c r="A21" s="171" t="s">
        <v>381</v>
      </c>
      <c r="B21" s="184">
        <v>4.1500000000000002E-2</v>
      </c>
      <c r="C21" s="181">
        <f>+C16</f>
        <v>1.08</v>
      </c>
      <c r="D21" s="172">
        <f>+B21*C21</f>
        <v>4.4820000000000006E-2</v>
      </c>
      <c r="E21" s="172">
        <f>+E16</f>
        <v>4.8599999999999997E-2</v>
      </c>
      <c r="F21" s="173">
        <f>+D21+E21</f>
        <v>9.3420000000000003E-2</v>
      </c>
      <c r="G21" s="10"/>
      <c r="H21" s="10"/>
      <c r="I21" s="10"/>
      <c r="J21" s="10"/>
    </row>
    <row r="22" spans="1:10" ht="17.25">
      <c r="A22" s="171" t="s">
        <v>382</v>
      </c>
      <c r="B22" s="184">
        <v>3.8100000000000002E-2</v>
      </c>
      <c r="C22" s="181">
        <f>+C16</f>
        <v>1.08</v>
      </c>
      <c r="D22" s="172">
        <f>+B22*C22</f>
        <v>4.1148000000000004E-2</v>
      </c>
      <c r="E22" s="172">
        <f>+E16</f>
        <v>4.8599999999999997E-2</v>
      </c>
      <c r="F22" s="173">
        <f>+D22+E22</f>
        <v>8.9747999999999994E-2</v>
      </c>
      <c r="G22" s="10"/>
      <c r="H22" s="10"/>
      <c r="I22" s="10"/>
      <c r="J22" s="10"/>
    </row>
    <row r="23" spans="1:10" ht="17.25">
      <c r="A23" s="171" t="s">
        <v>0</v>
      </c>
      <c r="B23" s="184"/>
      <c r="C23" s="182" t="s">
        <v>0</v>
      </c>
      <c r="D23" s="172" t="s">
        <v>0</v>
      </c>
      <c r="E23" s="172" t="s">
        <v>0</v>
      </c>
      <c r="F23" s="173" t="s">
        <v>0</v>
      </c>
      <c r="G23" s="10"/>
      <c r="H23" s="10"/>
      <c r="I23" s="10"/>
      <c r="J23" s="10"/>
    </row>
    <row r="24" spans="1:10" ht="17.25">
      <c r="A24" s="171" t="s">
        <v>208</v>
      </c>
      <c r="B24" s="184">
        <v>5.3900000000000003E-2</v>
      </c>
      <c r="C24" s="181">
        <f>+C16</f>
        <v>1.08</v>
      </c>
      <c r="D24" s="172">
        <f>+B24*C24</f>
        <v>5.8212000000000007E-2</v>
      </c>
      <c r="E24" s="172">
        <f>+E16</f>
        <v>4.8599999999999997E-2</v>
      </c>
      <c r="F24" s="173">
        <f>+D24+E24</f>
        <v>0.106812</v>
      </c>
      <c r="G24" s="10"/>
      <c r="H24" s="10"/>
      <c r="I24" s="10"/>
      <c r="J24" s="10"/>
    </row>
    <row r="25" spans="1:10" ht="17.25">
      <c r="A25" s="171" t="s">
        <v>0</v>
      </c>
      <c r="B25" s="184"/>
      <c r="C25" s="182" t="s">
        <v>0</v>
      </c>
      <c r="D25" s="172" t="s">
        <v>0</v>
      </c>
      <c r="E25" s="172" t="s">
        <v>0</v>
      </c>
      <c r="F25" s="173" t="s">
        <v>0</v>
      </c>
      <c r="G25" s="10"/>
      <c r="H25" s="10"/>
      <c r="I25" s="10"/>
      <c r="J25" s="10"/>
    </row>
    <row r="26" spans="1:10" ht="17.25">
      <c r="A26" s="171" t="s">
        <v>399</v>
      </c>
      <c r="B26" s="184">
        <v>5.5E-2</v>
      </c>
      <c r="C26" s="181">
        <f>+C16</f>
        <v>1.08</v>
      </c>
      <c r="D26" s="172">
        <f>+B26*C26</f>
        <v>5.9400000000000001E-2</v>
      </c>
      <c r="E26" s="172">
        <f>+E16</f>
        <v>4.8599999999999997E-2</v>
      </c>
      <c r="F26" s="173">
        <f>+D26+E26</f>
        <v>0.108</v>
      </c>
      <c r="G26" s="10"/>
      <c r="H26" s="10"/>
      <c r="I26" s="10"/>
      <c r="J26" s="10"/>
    </row>
    <row r="27" spans="1:10" ht="17.25">
      <c r="A27" s="171" t="s">
        <v>0</v>
      </c>
      <c r="B27" s="184"/>
      <c r="C27" s="182" t="s">
        <v>0</v>
      </c>
      <c r="D27" s="172" t="s">
        <v>0</v>
      </c>
      <c r="E27" s="172" t="s">
        <v>0</v>
      </c>
      <c r="F27" s="173" t="s">
        <v>0</v>
      </c>
      <c r="G27" s="10"/>
      <c r="H27" s="10"/>
      <c r="I27" s="10"/>
      <c r="J27" s="10"/>
    </row>
    <row r="28" spans="1:10" ht="17.25">
      <c r="A28" s="171" t="s">
        <v>209</v>
      </c>
      <c r="B28" s="184">
        <v>6.7100000000000007E-2</v>
      </c>
      <c r="C28" s="181">
        <f>+C16</f>
        <v>1.08</v>
      </c>
      <c r="D28" s="172">
        <f>+B28*C28</f>
        <v>7.2468000000000019E-2</v>
      </c>
      <c r="E28" s="172">
        <f>+E16</f>
        <v>4.8599999999999997E-2</v>
      </c>
      <c r="F28" s="173">
        <f>+D28+E28</f>
        <v>0.12106800000000001</v>
      </c>
      <c r="G28" s="10"/>
      <c r="H28" s="10"/>
      <c r="I28" s="10"/>
      <c r="J28" s="10"/>
    </row>
    <row r="29" spans="1:10" ht="17.25">
      <c r="A29" s="171" t="s">
        <v>210</v>
      </c>
      <c r="B29" s="184">
        <v>5.4600000000000003E-2</v>
      </c>
      <c r="C29" s="181">
        <f>+C16</f>
        <v>1.08</v>
      </c>
      <c r="D29" s="172">
        <f>+B29*C29</f>
        <v>5.8968000000000007E-2</v>
      </c>
      <c r="E29" s="172">
        <f>+E16</f>
        <v>4.8599999999999997E-2</v>
      </c>
      <c r="F29" s="173">
        <f>+D29+E29</f>
        <v>0.107568</v>
      </c>
      <c r="G29" s="10"/>
      <c r="H29" s="10"/>
      <c r="I29" s="10"/>
      <c r="J29" s="10"/>
    </row>
    <row r="30" spans="1:10" ht="17.25">
      <c r="A30" s="171"/>
      <c r="B30" s="184"/>
      <c r="C30" s="181"/>
      <c r="D30" s="172"/>
      <c r="E30" s="172"/>
      <c r="F30" s="173"/>
      <c r="G30" s="10"/>
      <c r="H30" s="10"/>
      <c r="I30" s="10"/>
      <c r="J30" s="10"/>
    </row>
    <row r="31" spans="1:10" ht="17.25">
      <c r="A31" s="171" t="s">
        <v>383</v>
      </c>
      <c r="B31" s="184">
        <v>7.3099999999999998E-2</v>
      </c>
      <c r="C31" s="181">
        <f>+C16</f>
        <v>1.08</v>
      </c>
      <c r="D31" s="172">
        <f>+B31*C31</f>
        <v>7.8948000000000004E-2</v>
      </c>
      <c r="E31" s="172">
        <f>+E16</f>
        <v>4.8599999999999997E-2</v>
      </c>
      <c r="F31" s="173">
        <f>+D31+E31</f>
        <v>0.12754799999999999</v>
      </c>
      <c r="G31" s="10"/>
      <c r="H31" s="10"/>
      <c r="I31" s="10"/>
      <c r="J31" s="10"/>
    </row>
    <row r="32" spans="1:10" ht="17.25">
      <c r="A32" s="171" t="s">
        <v>384</v>
      </c>
      <c r="B32" s="184">
        <v>6.2600000000000003E-2</v>
      </c>
      <c r="C32" s="181">
        <f>+C17</f>
        <v>1.08</v>
      </c>
      <c r="D32" s="172">
        <f>+B32*C32</f>
        <v>6.7608000000000001E-2</v>
      </c>
      <c r="E32" s="172">
        <f>+E17</f>
        <v>4.8599999999999997E-2</v>
      </c>
      <c r="F32" s="173">
        <f>+D32+E32</f>
        <v>0.11620800000000001</v>
      </c>
      <c r="G32" s="10"/>
      <c r="H32" s="10"/>
      <c r="I32" s="10"/>
      <c r="J32" s="10"/>
    </row>
    <row r="33" spans="1:10" ht="17.25">
      <c r="A33" s="171" t="s">
        <v>385</v>
      </c>
      <c r="B33" s="184">
        <v>0.05</v>
      </c>
      <c r="C33" s="181">
        <f>+C16</f>
        <v>1.08</v>
      </c>
      <c r="D33" s="172">
        <f>+B33*C33</f>
        <v>5.4000000000000006E-2</v>
      </c>
      <c r="E33" s="172">
        <f>+E16</f>
        <v>4.8599999999999997E-2</v>
      </c>
      <c r="F33" s="173">
        <f>+D33+E33</f>
        <v>0.1026</v>
      </c>
      <c r="G33" s="10"/>
      <c r="H33" s="10"/>
      <c r="I33" s="10"/>
      <c r="J33" s="10"/>
    </row>
    <row r="34" spans="1:10" ht="17.25">
      <c r="A34" s="171"/>
      <c r="B34" s="184"/>
      <c r="C34" s="181"/>
      <c r="D34" s="172"/>
      <c r="E34" s="172"/>
      <c r="F34" s="173"/>
      <c r="G34" s="10"/>
      <c r="H34" s="10"/>
      <c r="I34" s="10"/>
      <c r="J34" s="10"/>
    </row>
    <row r="35" spans="1:10" ht="17.25">
      <c r="A35" s="360" t="s">
        <v>0</v>
      </c>
      <c r="B35" s="361" t="s">
        <v>0</v>
      </c>
      <c r="C35" s="181" t="s">
        <v>0</v>
      </c>
      <c r="D35" s="172" t="s">
        <v>0</v>
      </c>
      <c r="E35" s="172" t="s">
        <v>0</v>
      </c>
      <c r="F35" s="173" t="s">
        <v>0</v>
      </c>
      <c r="G35" s="10"/>
      <c r="H35" s="10"/>
      <c r="I35" s="10"/>
      <c r="J35" s="10"/>
    </row>
    <row r="36" spans="1:10" ht="17.25" thickBot="1">
      <c r="A36" s="335"/>
      <c r="B36" s="26"/>
      <c r="C36" s="26"/>
      <c r="D36" s="26"/>
      <c r="E36" s="26"/>
      <c r="F36" s="336"/>
      <c r="G36" s="10"/>
      <c r="H36" s="10"/>
      <c r="I36" s="10"/>
      <c r="J36" s="10"/>
    </row>
    <row r="37" spans="1:10" ht="16.5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10" ht="27" customHeight="1" thickBot="1">
      <c r="A38" s="10"/>
      <c r="B38" s="10"/>
      <c r="C38" s="10"/>
      <c r="D38" s="10"/>
      <c r="E38" s="10"/>
      <c r="F38" s="10"/>
      <c r="G38" s="10" t="s">
        <v>0</v>
      </c>
      <c r="H38" s="10"/>
      <c r="I38" s="10"/>
      <c r="J38" s="10"/>
    </row>
    <row r="39" spans="1:10" ht="18" thickBot="1">
      <c r="A39" s="148" t="s">
        <v>213</v>
      </c>
      <c r="B39" s="10"/>
      <c r="C39" s="10"/>
      <c r="D39" s="10"/>
      <c r="E39" s="10"/>
      <c r="F39" s="10"/>
      <c r="G39" s="10"/>
      <c r="H39" s="10"/>
      <c r="I39" s="10"/>
      <c r="J39" s="10"/>
    </row>
    <row r="40" spans="1:10" ht="41.25" thickBot="1">
      <c r="A40" s="147" t="s">
        <v>211</v>
      </c>
      <c r="B40" s="146" t="s">
        <v>203</v>
      </c>
      <c r="C40" s="145" t="s">
        <v>215</v>
      </c>
      <c r="D40" s="146" t="s">
        <v>206</v>
      </c>
      <c r="E40" s="146" t="s">
        <v>207</v>
      </c>
      <c r="F40" s="146" t="s">
        <v>368</v>
      </c>
      <c r="G40" s="144" t="s">
        <v>204</v>
      </c>
      <c r="H40" s="10"/>
      <c r="I40" s="10"/>
      <c r="J40" s="10"/>
    </row>
    <row r="41" spans="1:10" ht="16.5">
      <c r="A41" s="141"/>
      <c r="B41" s="107"/>
      <c r="C41" s="107"/>
      <c r="D41" s="107"/>
      <c r="E41" s="107"/>
      <c r="F41" s="107"/>
      <c r="G41" s="142"/>
      <c r="H41" s="10"/>
      <c r="I41" s="10"/>
      <c r="J41" s="10"/>
    </row>
    <row r="42" spans="1:10" ht="17.25">
      <c r="A42" s="171" t="s">
        <v>469</v>
      </c>
      <c r="B42" s="184">
        <f>+B16</f>
        <v>2.3300000000000001E-2</v>
      </c>
      <c r="C42" s="180">
        <f>+C16</f>
        <v>1.08</v>
      </c>
      <c r="D42" s="172">
        <f>+B42*C42*0.75</f>
        <v>1.8873000000000001E-2</v>
      </c>
      <c r="E42" s="184">
        <f>+B42*0.25</f>
        <v>5.8250000000000003E-3</v>
      </c>
      <c r="F42" s="172">
        <f>+'Growth &amp; Inflation Rates'!$G$25</f>
        <v>4.8599999999999997E-2</v>
      </c>
      <c r="G42" s="173">
        <f>+D42+E42+F42</f>
        <v>7.3298000000000002E-2</v>
      </c>
      <c r="H42" s="10"/>
      <c r="I42" s="10"/>
      <c r="J42" s="10"/>
    </row>
    <row r="43" spans="1:10" ht="17.25">
      <c r="A43" s="171" t="s">
        <v>470</v>
      </c>
      <c r="B43" s="184">
        <f>+B17</f>
        <v>3.04E-2</v>
      </c>
      <c r="C43" s="180">
        <f>+C17</f>
        <v>1.08</v>
      </c>
      <c r="D43" s="172">
        <f>+B43*C43*0.75</f>
        <v>2.4624E-2</v>
      </c>
      <c r="E43" s="184">
        <f>+B43*0.25</f>
        <v>7.6E-3</v>
      </c>
      <c r="F43" s="172">
        <f>+'Growth &amp; Inflation Rates'!$G$25</f>
        <v>4.8599999999999997E-2</v>
      </c>
      <c r="G43" s="173">
        <f>+D43+E43+F43</f>
        <v>8.0824000000000007E-2</v>
      </c>
      <c r="H43" s="10"/>
      <c r="I43" s="10"/>
      <c r="J43" s="10"/>
    </row>
    <row r="44" spans="1:10" ht="17.25">
      <c r="A44" s="174"/>
      <c r="B44" s="101"/>
      <c r="C44" s="101"/>
      <c r="D44" s="101"/>
      <c r="E44" s="101"/>
      <c r="F44" s="101"/>
      <c r="G44" s="175"/>
      <c r="H44" s="10"/>
      <c r="I44" s="10"/>
      <c r="J44" s="10"/>
    </row>
    <row r="45" spans="1:10" ht="17.25">
      <c r="A45" s="171" t="str">
        <f t="shared" ref="A45:C46" si="0">+A19</f>
        <v>Damodaran Implied ERP Ex Ante   Trailing 12 mo Cash Yield (3)</v>
      </c>
      <c r="B45" s="184">
        <f t="shared" si="0"/>
        <v>4.3299999999999998E-2</v>
      </c>
      <c r="C45" s="180">
        <f t="shared" si="0"/>
        <v>1.08</v>
      </c>
      <c r="D45" s="172">
        <f>+B45*C45*0.75</f>
        <v>3.5073E-2</v>
      </c>
      <c r="E45" s="184">
        <f>+B45*0.25</f>
        <v>1.0825E-2</v>
      </c>
      <c r="F45" s="172">
        <f>+'Growth &amp; Inflation Rates'!$G$25</f>
        <v>4.8599999999999997E-2</v>
      </c>
      <c r="G45" s="173">
        <f>+D45+E45+F45</f>
        <v>9.4497999999999999E-2</v>
      </c>
      <c r="H45" s="10"/>
      <c r="I45" s="10"/>
      <c r="J45" s="10"/>
    </row>
    <row r="46" spans="1:10" ht="17.25">
      <c r="A46" s="171" t="str">
        <f t="shared" si="0"/>
        <v>Damodaran Implied ERP Ex Ante   Avg CF Yield Last 10 Yrs (3)</v>
      </c>
      <c r="B46" s="184">
        <f t="shared" si="0"/>
        <v>6.1499999999999999E-2</v>
      </c>
      <c r="C46" s="180">
        <f t="shared" si="0"/>
        <v>1.08</v>
      </c>
      <c r="D46" s="172">
        <f>+B46*C46*0.75</f>
        <v>4.9815000000000005E-2</v>
      </c>
      <c r="E46" s="184">
        <f>+B46*0.25</f>
        <v>1.5375E-2</v>
      </c>
      <c r="F46" s="172">
        <f>+'Growth &amp; Inflation Rates'!$G$25</f>
        <v>4.8599999999999997E-2</v>
      </c>
      <c r="G46" s="173">
        <f>+D46+E46+F46</f>
        <v>0.11379</v>
      </c>
      <c r="H46" s="10"/>
      <c r="I46" s="10"/>
      <c r="J46" s="10"/>
    </row>
    <row r="47" spans="1:10" ht="17.25">
      <c r="A47" s="171" t="str">
        <f t="shared" ref="A47:C48" si="1">+A21</f>
        <v>Damodaran Implied ERP Ex Ante   Net Cash Yield (3)</v>
      </c>
      <c r="B47" s="184">
        <f t="shared" si="1"/>
        <v>4.1500000000000002E-2</v>
      </c>
      <c r="C47" s="180">
        <f t="shared" si="1"/>
        <v>1.08</v>
      </c>
      <c r="D47" s="172">
        <f>+B47*C47*0.75</f>
        <v>3.3615000000000006E-2</v>
      </c>
      <c r="E47" s="184">
        <f>+B47*0.25</f>
        <v>1.0375000000000001E-2</v>
      </c>
      <c r="F47" s="172">
        <f>+'Growth &amp; Inflation Rates'!$G$25</f>
        <v>4.8599999999999997E-2</v>
      </c>
      <c r="G47" s="173">
        <f>+D47+E47+F47</f>
        <v>9.2590000000000006E-2</v>
      </c>
      <c r="H47" s="10"/>
      <c r="I47" s="10"/>
      <c r="J47" s="10"/>
    </row>
    <row r="48" spans="1:10" ht="17.25">
      <c r="A48" s="171" t="str">
        <f t="shared" si="1"/>
        <v>Damodaran Implied ERP Ex Ante   Norm. Earnings &amp; Payout (3)</v>
      </c>
      <c r="B48" s="184">
        <f t="shared" si="1"/>
        <v>3.8100000000000002E-2</v>
      </c>
      <c r="C48" s="180">
        <f t="shared" si="1"/>
        <v>1.08</v>
      </c>
      <c r="D48" s="172">
        <f>+B48*C48*0.75</f>
        <v>3.0861000000000003E-2</v>
      </c>
      <c r="E48" s="184">
        <f>+B48*0.25</f>
        <v>9.5250000000000005E-3</v>
      </c>
      <c r="F48" s="172">
        <f>+'Growth &amp; Inflation Rates'!$G$25</f>
        <v>4.8599999999999997E-2</v>
      </c>
      <c r="G48" s="173">
        <f>+D48+E48+F48</f>
        <v>8.898600000000001E-2</v>
      </c>
      <c r="H48" s="10"/>
      <c r="I48" s="10"/>
      <c r="J48" s="10"/>
    </row>
    <row r="49" spans="1:10" ht="17.25">
      <c r="A49" s="171" t="s">
        <v>0</v>
      </c>
      <c r="B49" s="184" t="s">
        <v>0</v>
      </c>
      <c r="C49" s="172" t="s">
        <v>0</v>
      </c>
      <c r="D49" s="172" t="s">
        <v>0</v>
      </c>
      <c r="E49" s="184" t="s">
        <v>0</v>
      </c>
      <c r="F49" s="172" t="s">
        <v>0</v>
      </c>
      <c r="G49" s="173" t="s">
        <v>0</v>
      </c>
      <c r="H49" s="10"/>
      <c r="I49" s="10"/>
      <c r="J49" s="10"/>
    </row>
    <row r="50" spans="1:10" ht="17.25">
      <c r="A50" s="171" t="s">
        <v>208</v>
      </c>
      <c r="B50" s="184">
        <f>+B24</f>
        <v>5.3900000000000003E-2</v>
      </c>
      <c r="C50" s="180">
        <f>+C24</f>
        <v>1.08</v>
      </c>
      <c r="D50" s="172">
        <f>+B50*C50*0.75</f>
        <v>4.3659000000000003E-2</v>
      </c>
      <c r="E50" s="184">
        <f>+B50*0.25</f>
        <v>1.3475000000000001E-2</v>
      </c>
      <c r="F50" s="172">
        <f>+'Growth &amp; Inflation Rates'!$G$25</f>
        <v>4.8599999999999997E-2</v>
      </c>
      <c r="G50" s="173">
        <f>+D50+E50+F50</f>
        <v>0.10573399999999999</v>
      </c>
    </row>
    <row r="51" spans="1:10" ht="17.25">
      <c r="A51" s="171" t="s">
        <v>0</v>
      </c>
      <c r="B51" s="184" t="s">
        <v>0</v>
      </c>
      <c r="C51" s="172" t="s">
        <v>0</v>
      </c>
      <c r="D51" s="172" t="s">
        <v>0</v>
      </c>
      <c r="E51" s="184" t="s">
        <v>0</v>
      </c>
      <c r="F51" s="172" t="s">
        <v>0</v>
      </c>
      <c r="G51" s="173" t="s">
        <v>0</v>
      </c>
    </row>
    <row r="52" spans="1:10" ht="17.25">
      <c r="A52" s="171" t="s">
        <v>399</v>
      </c>
      <c r="B52" s="184">
        <f>+B26</f>
        <v>5.5E-2</v>
      </c>
      <c r="C52" s="180">
        <f>+C26</f>
        <v>1.08</v>
      </c>
      <c r="D52" s="172">
        <f>+B52*C52*0.75</f>
        <v>4.4549999999999999E-2</v>
      </c>
      <c r="E52" s="184">
        <f>+B52*0.25</f>
        <v>1.375E-2</v>
      </c>
      <c r="F52" s="172">
        <f>+'Growth &amp; Inflation Rates'!$G$25</f>
        <v>4.8599999999999997E-2</v>
      </c>
      <c r="G52" s="173">
        <f>+D52+E52+F52</f>
        <v>0.1069</v>
      </c>
    </row>
    <row r="53" spans="1:10" ht="17.25">
      <c r="A53" s="171" t="s">
        <v>0</v>
      </c>
      <c r="B53" s="184" t="s">
        <v>0</v>
      </c>
      <c r="C53" s="172" t="s">
        <v>0</v>
      </c>
      <c r="D53" s="172" t="s">
        <v>0</v>
      </c>
      <c r="E53" s="184" t="s">
        <v>0</v>
      </c>
      <c r="F53" s="172" t="s">
        <v>0</v>
      </c>
      <c r="G53" s="173" t="s">
        <v>0</v>
      </c>
    </row>
    <row r="54" spans="1:10" ht="17.25">
      <c r="A54" s="171" t="s">
        <v>209</v>
      </c>
      <c r="B54" s="184">
        <f>+B28</f>
        <v>6.7100000000000007E-2</v>
      </c>
      <c r="C54" s="180">
        <f>+C28</f>
        <v>1.08</v>
      </c>
      <c r="D54" s="172">
        <f>+B54*C54*0.75</f>
        <v>5.435100000000001E-2</v>
      </c>
      <c r="E54" s="184">
        <f>+B54*0.25</f>
        <v>1.6775000000000002E-2</v>
      </c>
      <c r="F54" s="172">
        <f>+'Growth &amp; Inflation Rates'!$G$25</f>
        <v>4.8599999999999997E-2</v>
      </c>
      <c r="G54" s="173">
        <f>+D54+E54+F54</f>
        <v>0.119726</v>
      </c>
    </row>
    <row r="55" spans="1:10" ht="17.25">
      <c r="A55" s="171" t="s">
        <v>210</v>
      </c>
      <c r="B55" s="184">
        <f>+B29</f>
        <v>5.4600000000000003E-2</v>
      </c>
      <c r="C55" s="180">
        <f>+C29</f>
        <v>1.08</v>
      </c>
      <c r="D55" s="172">
        <f>+B55*C55*0.75</f>
        <v>4.4226000000000001E-2</v>
      </c>
      <c r="E55" s="184">
        <f>+B55*0.25</f>
        <v>1.3650000000000001E-2</v>
      </c>
      <c r="F55" s="172">
        <f>+'Growth &amp; Inflation Rates'!$G$25</f>
        <v>4.8599999999999997E-2</v>
      </c>
      <c r="G55" s="173">
        <f>+D55+E55+F55</f>
        <v>0.106476</v>
      </c>
    </row>
    <row r="56" spans="1:10" ht="17.25">
      <c r="A56" s="171"/>
      <c r="B56" s="184"/>
      <c r="C56" s="180"/>
      <c r="D56" s="172"/>
      <c r="E56" s="184"/>
      <c r="F56" s="172"/>
      <c r="G56" s="173"/>
    </row>
    <row r="57" spans="1:10" ht="17.25">
      <c r="A57" s="171" t="str">
        <f t="shared" ref="A57:C58" si="2">+A31</f>
        <v>KROLL Ex Post  - ERP Historical (8)</v>
      </c>
      <c r="B57" s="184">
        <f t="shared" si="2"/>
        <v>7.3099999999999998E-2</v>
      </c>
      <c r="C57" s="180">
        <f t="shared" si="2"/>
        <v>1.08</v>
      </c>
      <c r="D57" s="172">
        <f>+B57*C57*0.75</f>
        <v>5.9211E-2</v>
      </c>
      <c r="E57" s="184">
        <f>+B57*0.25</f>
        <v>1.8275E-2</v>
      </c>
      <c r="F57" s="172">
        <f>+'Growth &amp; Inflation Rates'!$G$25</f>
        <v>4.8599999999999997E-2</v>
      </c>
      <c r="G57" s="173">
        <f>+D57+E57+F57</f>
        <v>0.126086</v>
      </c>
    </row>
    <row r="58" spans="1:10" ht="17.25">
      <c r="A58" s="171" t="str">
        <f t="shared" si="2"/>
        <v>KROLL Ex Post - ERP Supply Side (8)</v>
      </c>
      <c r="B58" s="184">
        <f t="shared" si="2"/>
        <v>6.2600000000000003E-2</v>
      </c>
      <c r="C58" s="180">
        <f t="shared" si="2"/>
        <v>1.08</v>
      </c>
      <c r="D58" s="172">
        <f>+B58*C58*0.75</f>
        <v>5.0706000000000001E-2</v>
      </c>
      <c r="E58" s="184">
        <f>+B58*0.25</f>
        <v>1.5650000000000001E-2</v>
      </c>
      <c r="F58" s="172">
        <f>+'Growth &amp; Inflation Rates'!$G$25</f>
        <v>4.8599999999999997E-2</v>
      </c>
      <c r="G58" s="173">
        <f>+D58+E58+F58</f>
        <v>0.114956</v>
      </c>
    </row>
    <row r="59" spans="1:10" ht="17.25">
      <c r="A59" s="171" t="str">
        <f>+A33</f>
        <v>KROLL Ex Ante - ERP Conditional (8)</v>
      </c>
      <c r="B59" s="184">
        <f>+B33</f>
        <v>0.05</v>
      </c>
      <c r="C59" s="180">
        <f>+C29</f>
        <v>1.08</v>
      </c>
      <c r="D59" s="172">
        <f>+B59*C59*0.75</f>
        <v>4.0500000000000008E-2</v>
      </c>
      <c r="E59" s="184">
        <f>+B59*0.25</f>
        <v>1.2500000000000001E-2</v>
      </c>
      <c r="F59" s="172">
        <f>+'Growth &amp; Inflation Rates'!$G$25</f>
        <v>4.8599999999999997E-2</v>
      </c>
      <c r="G59" s="173">
        <f>+D59+E59+F59</f>
        <v>0.1016</v>
      </c>
    </row>
    <row r="60" spans="1:10" ht="17.25">
      <c r="A60" s="171"/>
      <c r="B60" s="184"/>
      <c r="C60" s="180"/>
      <c r="D60" s="172"/>
      <c r="E60" s="184"/>
      <c r="F60" s="172"/>
      <c r="G60" s="173"/>
    </row>
    <row r="61" spans="1:10" ht="17.25">
      <c r="A61" s="360" t="s">
        <v>0</v>
      </c>
      <c r="B61" s="361" t="s">
        <v>0</v>
      </c>
      <c r="C61" s="180" t="s">
        <v>0</v>
      </c>
      <c r="D61" s="172" t="s">
        <v>0</v>
      </c>
      <c r="E61" s="184" t="s">
        <v>0</v>
      </c>
      <c r="F61" s="172" t="s">
        <v>0</v>
      </c>
      <c r="G61" s="173" t="s">
        <v>0</v>
      </c>
    </row>
    <row r="62" spans="1:10" ht="15.75" thickBot="1">
      <c r="A62" s="257"/>
      <c r="B62" s="139"/>
      <c r="C62" s="139"/>
      <c r="D62" s="139"/>
      <c r="E62" s="139"/>
      <c r="F62" s="139"/>
      <c r="G62" s="258"/>
    </row>
    <row r="64" spans="1:10" ht="17.25">
      <c r="A64" s="59" t="s">
        <v>71</v>
      </c>
      <c r="E64" s="183" t="s">
        <v>0</v>
      </c>
    </row>
    <row r="65" spans="1:7">
      <c r="A65" s="149" t="s">
        <v>0</v>
      </c>
      <c r="E65" s="183" t="s">
        <v>0</v>
      </c>
    </row>
    <row r="66" spans="1:7" ht="16.5">
      <c r="A66" s="463" t="s">
        <v>467</v>
      </c>
      <c r="B66" s="10"/>
      <c r="C66" s="10"/>
      <c r="D66" s="10"/>
      <c r="E66" s="10"/>
      <c r="F66" s="10"/>
      <c r="G66" s="10"/>
    </row>
    <row r="67" spans="1:7" ht="16.5">
      <c r="A67" s="463" t="s">
        <v>468</v>
      </c>
      <c r="B67" s="10"/>
      <c r="C67" s="10"/>
      <c r="D67" s="10"/>
      <c r="E67" s="10"/>
      <c r="F67" s="10"/>
      <c r="G67" s="10"/>
    </row>
    <row r="68" spans="1:7" ht="16.5">
      <c r="A68" s="41" t="s">
        <v>0</v>
      </c>
      <c r="B68" s="10"/>
      <c r="C68" s="10"/>
      <c r="D68" s="10"/>
      <c r="E68" s="10"/>
      <c r="F68" s="10"/>
      <c r="G68" s="10"/>
    </row>
    <row r="69" spans="1:7" ht="16.5">
      <c r="A69" s="41" t="s">
        <v>476</v>
      </c>
      <c r="B69" s="10"/>
      <c r="C69" s="10"/>
      <c r="D69" s="10"/>
      <c r="E69" s="10"/>
      <c r="F69" s="10"/>
      <c r="G69" s="10"/>
    </row>
    <row r="70" spans="1:7" ht="16.5">
      <c r="A70" s="137" t="s">
        <v>377</v>
      </c>
      <c r="C70" s="10"/>
      <c r="D70" s="10"/>
      <c r="E70" s="10"/>
      <c r="F70" s="10"/>
      <c r="G70" s="10"/>
    </row>
    <row r="71" spans="1:7" ht="16.5">
      <c r="A71" s="41" t="s">
        <v>0</v>
      </c>
      <c r="B71" s="10"/>
      <c r="C71" s="10"/>
      <c r="D71" s="10"/>
      <c r="E71" s="10"/>
      <c r="F71" s="10"/>
      <c r="G71" s="10"/>
    </row>
    <row r="72" spans="1:7" ht="16.5">
      <c r="A72" s="41" t="s">
        <v>477</v>
      </c>
      <c r="B72" s="10"/>
      <c r="C72" s="10"/>
      <c r="D72" s="10"/>
      <c r="E72" s="10"/>
      <c r="F72" s="10"/>
      <c r="G72" s="10"/>
    </row>
    <row r="73" spans="1:7" ht="16.5">
      <c r="A73" s="137" t="s">
        <v>378</v>
      </c>
      <c r="B73" s="10"/>
      <c r="C73" s="10"/>
      <c r="D73" s="10"/>
      <c r="E73" s="10"/>
      <c r="F73" s="10"/>
      <c r="G73" s="10"/>
    </row>
    <row r="74" spans="1:7" ht="16.5">
      <c r="A74" s="41"/>
      <c r="B74" s="10"/>
      <c r="C74" s="10"/>
      <c r="D74" s="10"/>
      <c r="E74" s="10"/>
      <c r="F74" s="10"/>
      <c r="G74" s="10"/>
    </row>
    <row r="75" spans="1:7" ht="16.5">
      <c r="A75" s="41" t="s">
        <v>478</v>
      </c>
      <c r="B75" s="10"/>
      <c r="C75" s="10"/>
      <c r="D75" s="10"/>
      <c r="E75" s="10"/>
      <c r="F75" s="10"/>
      <c r="G75" s="10"/>
    </row>
    <row r="76" spans="1:7" ht="16.5">
      <c r="A76" s="137" t="s">
        <v>479</v>
      </c>
      <c r="B76" s="10"/>
      <c r="C76" s="10"/>
      <c r="D76" s="10"/>
      <c r="E76" s="10"/>
      <c r="F76" s="10"/>
      <c r="G76" s="10"/>
    </row>
    <row r="77" spans="1:7" ht="16.5">
      <c r="A77" s="41"/>
      <c r="B77" s="10"/>
      <c r="C77" s="10"/>
      <c r="D77" s="10"/>
      <c r="E77" s="10"/>
      <c r="F77" s="10"/>
      <c r="G77" s="10"/>
    </row>
    <row r="78" spans="1:7" ht="16.5">
      <c r="A78" s="41" t="s">
        <v>480</v>
      </c>
      <c r="B78" s="10"/>
      <c r="C78" s="10"/>
      <c r="D78" s="10"/>
      <c r="E78" s="10"/>
      <c r="F78" s="10"/>
      <c r="G78" s="10"/>
    </row>
    <row r="79" spans="1:7" ht="16.5">
      <c r="A79" s="137" t="s">
        <v>379</v>
      </c>
      <c r="B79" s="10"/>
      <c r="C79" s="10"/>
      <c r="D79" s="10"/>
      <c r="E79" s="10"/>
      <c r="F79" s="10"/>
      <c r="G79" s="10"/>
    </row>
    <row r="80" spans="1:7">
      <c r="A80" s="149"/>
    </row>
    <row r="81" spans="1:7" ht="16.5">
      <c r="A81" s="41" t="s">
        <v>481</v>
      </c>
    </row>
    <row r="82" spans="1:7" ht="16.5">
      <c r="A82" s="41" t="s">
        <v>0</v>
      </c>
    </row>
    <row r="83" spans="1:7" ht="16.5">
      <c r="A83" s="41" t="s">
        <v>0</v>
      </c>
    </row>
    <row r="84" spans="1:7" ht="16.5">
      <c r="A84" s="359" t="s">
        <v>0</v>
      </c>
    </row>
    <row r="85" spans="1:7" ht="21" thickBot="1">
      <c r="A85" s="140"/>
      <c r="B85" s="140"/>
      <c r="C85" s="140"/>
      <c r="D85" s="26"/>
      <c r="E85" s="34"/>
      <c r="F85" s="26"/>
      <c r="G85" s="139"/>
    </row>
  </sheetData>
  <hyperlinks>
    <hyperlink ref="A84" r:id="rId1" display="https://simplywall.st/stocks/us/transportation" xr:uid="{A1F5A430-3AA1-4F8D-A176-748BD232BCA4}"/>
    <hyperlink ref="A79" r:id="rId2" xr:uid="{A1FA0BB6-22CD-40FF-BE10-2C261EE61EF0}"/>
    <hyperlink ref="A70" r:id="rId3" xr:uid="{B46AF34F-9A2F-4E68-AFA8-E120DD51F9E5}"/>
    <hyperlink ref="A73" r:id="rId4" xr:uid="{662B968E-22C9-4B8F-85AC-C7A98A862444}"/>
  </hyperlinks>
  <pageMargins left="0.25" right="0.25" top="0.75" bottom="0.75" header="0.3" footer="0.3"/>
  <pageSetup scale="40" orientation="portrait"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A84D-13B0-4820-9B18-52C274638BE2}">
  <sheetPr codeName="Sheet15">
    <tabColor rgb="FF92D050"/>
    <pageSetUpPr fitToPage="1"/>
  </sheetPr>
  <dimension ref="A1:I103"/>
  <sheetViews>
    <sheetView view="pageBreakPreview" topLeftCell="A8" zoomScale="70" zoomScaleNormal="80" zoomScaleSheetLayoutView="70" workbookViewId="0">
      <selection activeCell="D48" sqref="D48"/>
    </sheetView>
  </sheetViews>
  <sheetFormatPr defaultRowHeight="15"/>
  <cols>
    <col min="1" max="1" width="45.85546875" customWidth="1"/>
    <col min="2" max="2" width="17.42578125" customWidth="1"/>
    <col min="3" max="3" width="72.140625" customWidth="1"/>
    <col min="4" max="4" width="34.5703125" customWidth="1"/>
    <col min="5" max="5" width="21.85546875" customWidth="1"/>
    <col min="6" max="6" width="19.85546875" customWidth="1"/>
    <col min="7" max="7" width="24.85546875" customWidth="1"/>
    <col min="8" max="8" width="18" customWidth="1"/>
    <col min="9" max="9" width="20.85546875" customWidth="1"/>
    <col min="10" max="10" width="19" customWidth="1"/>
    <col min="11" max="11" width="17.140625" customWidth="1"/>
    <col min="12" max="12" width="24.140625" customWidth="1"/>
  </cols>
  <sheetData>
    <row r="1" spans="1:9" ht="26.25">
      <c r="A1" s="21" t="s">
        <v>1</v>
      </c>
      <c r="B1" s="10"/>
      <c r="C1" s="10"/>
      <c r="D1" s="10"/>
      <c r="E1" s="10"/>
      <c r="F1" s="10"/>
      <c r="G1" s="10"/>
      <c r="H1" s="10"/>
      <c r="I1" s="10"/>
    </row>
    <row r="2" spans="1:9" ht="17.25">
      <c r="A2" s="59" t="s">
        <v>9</v>
      </c>
      <c r="B2" s="10"/>
      <c r="C2" s="10"/>
      <c r="D2" s="10"/>
      <c r="E2" s="10"/>
      <c r="F2" s="10"/>
      <c r="G2" s="10"/>
      <c r="H2" s="10"/>
      <c r="I2" s="10"/>
    </row>
    <row r="3" spans="1:9" ht="16.5">
      <c r="A3" s="41" t="s">
        <v>409</v>
      </c>
      <c r="B3" s="10"/>
      <c r="C3" s="10"/>
      <c r="D3" s="10"/>
      <c r="E3" s="10"/>
      <c r="F3" s="10"/>
      <c r="G3" s="10"/>
      <c r="H3" s="10"/>
      <c r="I3" s="10"/>
    </row>
    <row r="4" spans="1:9" ht="16.5">
      <c r="A4" s="10"/>
      <c r="B4" s="10"/>
      <c r="C4" s="10"/>
      <c r="D4" s="10"/>
      <c r="E4" s="10"/>
      <c r="F4" s="10"/>
      <c r="G4" s="10"/>
      <c r="H4" s="10"/>
      <c r="I4" s="10"/>
    </row>
    <row r="5" spans="1:9" ht="18" thickBot="1">
      <c r="A5" s="59"/>
      <c r="B5" s="10"/>
      <c r="C5" s="10"/>
      <c r="D5" s="10"/>
      <c r="E5" s="10"/>
      <c r="F5" s="10"/>
      <c r="G5" s="10"/>
      <c r="H5" s="10"/>
      <c r="I5" s="10"/>
    </row>
    <row r="6" spans="1:9" ht="21" thickBot="1">
      <c r="A6" s="229" t="str">
        <f>+'S&amp;D'!A12</f>
        <v>Air Freight Carriers</v>
      </c>
      <c r="B6" s="170"/>
      <c r="C6" s="10"/>
      <c r="D6" s="10"/>
      <c r="E6" s="10"/>
      <c r="F6" s="10"/>
      <c r="G6" s="10"/>
      <c r="H6" s="10"/>
      <c r="I6" s="10"/>
    </row>
    <row r="7" spans="1:9" ht="32.25" customHeight="1" thickBot="1">
      <c r="A7" s="59"/>
      <c r="B7" s="10"/>
      <c r="C7" s="26"/>
      <c r="E7" s="10"/>
      <c r="F7" s="10"/>
      <c r="G7" s="10"/>
      <c r="H7" s="10"/>
      <c r="I7" s="10"/>
    </row>
    <row r="8" spans="1:9" ht="26.25">
      <c r="B8" s="10"/>
      <c r="C8" s="29" t="s">
        <v>147</v>
      </c>
      <c r="E8" s="10"/>
      <c r="F8" s="10"/>
      <c r="G8" s="10"/>
      <c r="H8" s="10"/>
      <c r="I8" s="10"/>
    </row>
    <row r="9" spans="1:9" ht="21" thickBot="1">
      <c r="A9" s="28"/>
      <c r="B9" s="10"/>
      <c r="C9" s="30" t="s">
        <v>410</v>
      </c>
      <c r="E9" s="10"/>
      <c r="F9" s="10"/>
      <c r="G9" s="10"/>
      <c r="H9" s="10"/>
      <c r="I9" s="10"/>
    </row>
    <row r="10" spans="1:9" ht="20.25">
      <c r="A10" s="28"/>
      <c r="B10" s="10"/>
      <c r="C10" s="10"/>
      <c r="D10" s="10"/>
      <c r="E10" s="10"/>
      <c r="F10" s="10"/>
      <c r="G10" s="10"/>
      <c r="H10" s="10"/>
      <c r="I10" s="10"/>
    </row>
    <row r="11" spans="1:9" ht="25.5" customHeight="1" thickBot="1">
      <c r="A11" s="10"/>
      <c r="B11" s="10"/>
      <c r="C11" s="10"/>
      <c r="D11" s="10"/>
      <c r="E11" s="10"/>
      <c r="F11" s="10"/>
      <c r="G11" s="10"/>
      <c r="H11" s="10"/>
      <c r="I11" s="10"/>
    </row>
    <row r="12" spans="1:9" ht="16.5">
      <c r="A12" s="10"/>
      <c r="B12" s="10"/>
      <c r="C12" s="74" t="s">
        <v>0</v>
      </c>
      <c r="D12" s="74" t="s">
        <v>180</v>
      </c>
      <c r="E12" s="10"/>
      <c r="F12" s="10"/>
      <c r="G12" s="10"/>
      <c r="H12" s="10"/>
      <c r="I12" s="10"/>
    </row>
    <row r="13" spans="1:9" ht="21" thickBot="1">
      <c r="A13" s="10"/>
      <c r="B13" s="10"/>
      <c r="C13" s="322" t="s">
        <v>146</v>
      </c>
      <c r="D13" s="76" t="s">
        <v>255</v>
      </c>
      <c r="E13" s="10"/>
      <c r="F13" s="10"/>
      <c r="G13" s="10"/>
      <c r="H13" s="10"/>
      <c r="I13" s="10"/>
    </row>
    <row r="14" spans="1:9" ht="17.25">
      <c r="A14" s="10"/>
      <c r="B14" s="10"/>
      <c r="C14" s="323" t="s">
        <v>370</v>
      </c>
      <c r="D14" s="324">
        <f>+CAPM!F16</f>
        <v>7.3763999999999996E-2</v>
      </c>
      <c r="E14" s="325"/>
      <c r="F14" s="10"/>
      <c r="G14" s="10"/>
      <c r="H14" s="10"/>
      <c r="I14" s="10"/>
    </row>
    <row r="15" spans="1:9" ht="17.25">
      <c r="A15" s="10"/>
      <c r="B15" s="10"/>
      <c r="C15" s="326" t="s">
        <v>371</v>
      </c>
      <c r="D15" s="327">
        <f>+CAPM!F17</f>
        <v>8.1432000000000004E-2</v>
      </c>
      <c r="E15" s="325"/>
      <c r="F15" s="10"/>
      <c r="G15" s="10"/>
      <c r="H15" s="10"/>
      <c r="I15" s="10"/>
    </row>
    <row r="16" spans="1:9" ht="17.25">
      <c r="A16" s="10"/>
      <c r="B16" s="10"/>
      <c r="C16" s="326" t="s">
        <v>392</v>
      </c>
      <c r="D16" s="327">
        <f>+CAPM!F19</f>
        <v>9.5364000000000004E-2</v>
      </c>
      <c r="E16" s="325"/>
      <c r="F16" s="10"/>
      <c r="G16" s="10"/>
      <c r="H16" s="10"/>
      <c r="I16" s="10"/>
    </row>
    <row r="17" spans="1:9" ht="17.25">
      <c r="A17" s="10"/>
      <c r="B17" s="10"/>
      <c r="C17" s="326" t="s">
        <v>400</v>
      </c>
      <c r="D17" s="327">
        <f>+CAPM!F20</f>
        <v>0.11502000000000001</v>
      </c>
      <c r="E17" s="325"/>
      <c r="F17" s="10"/>
      <c r="G17" s="10"/>
      <c r="H17" s="10"/>
      <c r="I17" s="10"/>
    </row>
    <row r="18" spans="1:9" ht="17.25">
      <c r="A18" s="10"/>
      <c r="B18" s="10"/>
      <c r="C18" s="326" t="s">
        <v>393</v>
      </c>
      <c r="D18" s="327">
        <f>+CAPM!F21</f>
        <v>9.3420000000000003E-2</v>
      </c>
      <c r="E18" s="325"/>
      <c r="F18" s="10"/>
      <c r="G18" s="10"/>
      <c r="H18" s="10"/>
      <c r="I18" s="10"/>
    </row>
    <row r="19" spans="1:9" ht="17.25">
      <c r="A19" s="10"/>
      <c r="B19" s="10"/>
      <c r="C19" s="326" t="s">
        <v>394</v>
      </c>
      <c r="D19" s="327">
        <f>+CAPM!F22</f>
        <v>8.9747999999999994E-2</v>
      </c>
      <c r="E19" s="325"/>
      <c r="F19" s="10"/>
      <c r="G19" s="10"/>
      <c r="H19" s="10"/>
      <c r="I19" s="10"/>
    </row>
    <row r="20" spans="1:9" ht="17.25">
      <c r="A20" s="10"/>
      <c r="B20" s="10"/>
      <c r="C20" s="326" t="s">
        <v>148</v>
      </c>
      <c r="D20" s="327">
        <f>+CAPM!F24</f>
        <v>0.106812</v>
      </c>
      <c r="E20" s="325"/>
      <c r="F20" s="10"/>
      <c r="G20" s="10"/>
      <c r="H20" s="10"/>
      <c r="I20" s="10"/>
    </row>
    <row r="21" spans="1:9" ht="17.25">
      <c r="A21" s="10"/>
      <c r="B21" s="10"/>
      <c r="C21" s="338" t="s">
        <v>149</v>
      </c>
      <c r="D21" s="327">
        <f>+CAPM!F26</f>
        <v>0.108</v>
      </c>
      <c r="E21" s="325"/>
      <c r="F21" s="10"/>
      <c r="G21" s="10"/>
      <c r="H21" s="10"/>
      <c r="I21" s="10"/>
    </row>
    <row r="22" spans="1:9" ht="17.25">
      <c r="A22" s="10"/>
      <c r="B22" s="10"/>
      <c r="C22" s="338" t="s">
        <v>150</v>
      </c>
      <c r="D22" s="327">
        <f>+CAPM!F28</f>
        <v>0.12106800000000001</v>
      </c>
      <c r="E22" s="357"/>
      <c r="G22" s="10"/>
      <c r="H22" s="10"/>
      <c r="I22" s="10"/>
    </row>
    <row r="23" spans="1:9" ht="17.25">
      <c r="A23" s="10"/>
      <c r="B23" s="10"/>
      <c r="C23" s="338" t="s">
        <v>151</v>
      </c>
      <c r="D23" s="327">
        <f>+CAPM!F29</f>
        <v>0.107568</v>
      </c>
      <c r="E23" s="357"/>
      <c r="G23" s="10"/>
      <c r="H23" s="10"/>
      <c r="I23" s="10"/>
    </row>
    <row r="24" spans="1:9" ht="17.25">
      <c r="A24" s="10"/>
      <c r="B24" s="10"/>
      <c r="C24" s="339" t="s">
        <v>389</v>
      </c>
      <c r="D24" s="327">
        <f>+CAPM!F31</f>
        <v>0.12754799999999999</v>
      </c>
      <c r="E24" s="357"/>
      <c r="G24" s="10"/>
      <c r="H24" s="10"/>
      <c r="I24" s="10"/>
    </row>
    <row r="25" spans="1:9" ht="17.25">
      <c r="A25" s="10"/>
      <c r="B25" s="10"/>
      <c r="C25" s="339" t="s">
        <v>388</v>
      </c>
      <c r="D25" s="327">
        <f>+CAPM!F32</f>
        <v>0.11620800000000001</v>
      </c>
      <c r="E25" s="357"/>
      <c r="G25" s="10"/>
      <c r="H25" s="10"/>
      <c r="I25" s="10"/>
    </row>
    <row r="26" spans="1:9" ht="17.25">
      <c r="A26" s="10"/>
      <c r="B26" s="10"/>
      <c r="C26" s="339" t="s">
        <v>386</v>
      </c>
      <c r="D26" s="327">
        <f>+CAPM!F33</f>
        <v>0.1026</v>
      </c>
      <c r="E26" s="357"/>
      <c r="G26" s="10"/>
      <c r="H26" s="10"/>
      <c r="I26" s="10"/>
    </row>
    <row r="27" spans="1:9" ht="17.25">
      <c r="A27" s="10"/>
      <c r="B27" s="10"/>
      <c r="C27" s="338" t="s">
        <v>372</v>
      </c>
      <c r="D27" s="327">
        <f>+CAPM!G42</f>
        <v>7.3298000000000002E-2</v>
      </c>
      <c r="E27" s="357"/>
      <c r="G27" s="10"/>
      <c r="H27" s="10"/>
      <c r="I27" s="10"/>
    </row>
    <row r="28" spans="1:9" ht="17.25">
      <c r="A28" s="10"/>
      <c r="B28" s="10"/>
      <c r="C28" s="338" t="s">
        <v>373</v>
      </c>
      <c r="D28" s="327">
        <f>+CAPM!G43</f>
        <v>8.0824000000000007E-2</v>
      </c>
      <c r="E28" s="357"/>
      <c r="G28" s="10"/>
      <c r="H28" s="10"/>
      <c r="I28" s="10"/>
    </row>
    <row r="29" spans="1:9" ht="17.25">
      <c r="A29" s="10"/>
      <c r="B29" s="10"/>
      <c r="C29" s="326" t="s">
        <v>395</v>
      </c>
      <c r="D29" s="327">
        <f>+CAPM!G45</f>
        <v>9.4497999999999999E-2</v>
      </c>
      <c r="E29" s="357"/>
      <c r="G29" s="10"/>
      <c r="H29" s="10"/>
      <c r="I29" s="10"/>
    </row>
    <row r="30" spans="1:9" ht="17.25">
      <c r="A30" s="10"/>
      <c r="B30" s="10"/>
      <c r="C30" s="326" t="s">
        <v>401</v>
      </c>
      <c r="D30" s="327">
        <f>+CAPM!G46</f>
        <v>0.11379</v>
      </c>
      <c r="E30" s="357"/>
      <c r="G30" s="10"/>
      <c r="H30" s="10"/>
      <c r="I30" s="10"/>
    </row>
    <row r="31" spans="1:9" ht="17.25">
      <c r="A31" s="10"/>
      <c r="B31" s="10"/>
      <c r="C31" s="326" t="s">
        <v>396</v>
      </c>
      <c r="D31" s="327">
        <f>+CAPM!G47</f>
        <v>9.2590000000000006E-2</v>
      </c>
      <c r="E31" s="357"/>
      <c r="G31" s="10"/>
      <c r="H31" s="10"/>
      <c r="I31" s="10"/>
    </row>
    <row r="32" spans="1:9" ht="17.25">
      <c r="A32" s="10"/>
      <c r="B32" s="10"/>
      <c r="C32" s="326" t="s">
        <v>397</v>
      </c>
      <c r="D32" s="327">
        <f>+CAPM!G48</f>
        <v>8.898600000000001E-2</v>
      </c>
      <c r="E32" s="357"/>
      <c r="G32" s="10"/>
      <c r="H32" s="10"/>
      <c r="I32" s="10"/>
    </row>
    <row r="33" spans="1:9" ht="17.25">
      <c r="A33" s="10"/>
      <c r="B33" s="10"/>
      <c r="C33" s="338" t="s">
        <v>152</v>
      </c>
      <c r="D33" s="327">
        <f>+CAPM!G50</f>
        <v>0.10573399999999999</v>
      </c>
      <c r="E33" s="357"/>
      <c r="G33" s="10"/>
      <c r="H33" s="10"/>
      <c r="I33" s="10"/>
    </row>
    <row r="34" spans="1:9" ht="17.25">
      <c r="A34" s="10"/>
      <c r="B34" s="10"/>
      <c r="C34" s="338" t="s">
        <v>153</v>
      </c>
      <c r="D34" s="327">
        <f>+CAPM!G52</f>
        <v>0.1069</v>
      </c>
      <c r="E34" s="357"/>
      <c r="G34" s="10"/>
      <c r="H34" s="10"/>
      <c r="I34" s="10"/>
    </row>
    <row r="35" spans="1:9" ht="17.25">
      <c r="A35" s="10"/>
      <c r="B35" s="10"/>
      <c r="C35" s="339" t="s">
        <v>154</v>
      </c>
      <c r="D35" s="327">
        <f>+CAPM!G54</f>
        <v>0.119726</v>
      </c>
      <c r="E35" s="357"/>
      <c r="G35" s="10"/>
      <c r="H35" s="10"/>
      <c r="I35" s="10"/>
    </row>
    <row r="36" spans="1:9" ht="17.25">
      <c r="A36" s="10"/>
      <c r="B36" s="10"/>
      <c r="C36" s="338" t="s">
        <v>155</v>
      </c>
      <c r="D36" s="327">
        <f>+CAPM!G55</f>
        <v>0.106476</v>
      </c>
      <c r="E36" s="357"/>
      <c r="G36" s="10"/>
      <c r="H36" s="10"/>
      <c r="I36" s="10"/>
    </row>
    <row r="37" spans="1:9" ht="16.5" customHeight="1">
      <c r="A37" s="10"/>
      <c r="B37" s="10"/>
      <c r="C37" s="339" t="s">
        <v>390</v>
      </c>
      <c r="D37" s="327">
        <f>+CAPM!G57</f>
        <v>0.126086</v>
      </c>
      <c r="E37" s="357"/>
      <c r="G37" s="10"/>
      <c r="H37" s="10"/>
      <c r="I37" s="10"/>
    </row>
    <row r="38" spans="1:9" ht="16.5" customHeight="1">
      <c r="A38" s="10"/>
      <c r="B38" s="10"/>
      <c r="C38" s="339" t="s">
        <v>391</v>
      </c>
      <c r="D38" s="327">
        <f>+CAPM!G58</f>
        <v>0.114956</v>
      </c>
      <c r="E38" s="357"/>
      <c r="G38" s="10"/>
      <c r="H38" s="10"/>
      <c r="I38" s="10"/>
    </row>
    <row r="39" spans="1:9" ht="18.75" customHeight="1">
      <c r="A39" s="10"/>
      <c r="B39" s="10"/>
      <c r="C39" s="339" t="s">
        <v>387</v>
      </c>
      <c r="D39" s="327">
        <f>+CAPM!G59</f>
        <v>0.1016</v>
      </c>
      <c r="E39" s="357"/>
      <c r="G39" s="10"/>
      <c r="H39" s="10"/>
      <c r="I39" s="10"/>
    </row>
    <row r="40" spans="1:9" ht="21.75" customHeight="1">
      <c r="A40" s="10"/>
      <c r="B40" s="10"/>
      <c r="C40" s="340" t="s">
        <v>226</v>
      </c>
      <c r="D40" s="337">
        <f>+'Single Stage Div Growth Model'!I25</f>
        <v>9.1800000000000007E-2</v>
      </c>
      <c r="E40" s="357"/>
      <c r="G40" s="10"/>
      <c r="H40" s="10"/>
      <c r="I40" s="10"/>
    </row>
    <row r="41" spans="1:9" ht="21.75" customHeight="1">
      <c r="A41" s="10"/>
      <c r="B41" s="10"/>
      <c r="C41" s="340" t="s">
        <v>225</v>
      </c>
      <c r="D41" s="337">
        <f>+'Single Stage Div Growth Model'!I27</f>
        <v>7.1800000000000003E-2</v>
      </c>
      <c r="E41" s="357"/>
      <c r="G41" s="10"/>
      <c r="H41" s="10"/>
      <c r="I41" s="10"/>
    </row>
    <row r="42" spans="1:9" ht="21.75" customHeight="1">
      <c r="A42" s="10"/>
      <c r="B42" s="10"/>
      <c r="C42" s="328" t="s">
        <v>227</v>
      </c>
      <c r="D42" s="355">
        <f>+'Two-Stage Div Growth Model'!H29</f>
        <v>7.5200000000000003E-2</v>
      </c>
      <c r="E42" s="357"/>
      <c r="G42" s="77" t="s">
        <v>0</v>
      </c>
      <c r="H42" s="10"/>
      <c r="I42" s="10"/>
    </row>
    <row r="43" spans="1:9" ht="21.75" customHeight="1">
      <c r="A43" s="10"/>
      <c r="B43" s="10"/>
      <c r="C43" s="321" t="s">
        <v>332</v>
      </c>
      <c r="D43" s="356">
        <f>+'Direct NOPAT'!G49</f>
        <v>8.5900000000000004E-2</v>
      </c>
      <c r="E43" s="358" t="s">
        <v>0</v>
      </c>
      <c r="F43" s="10"/>
      <c r="G43" s="10"/>
      <c r="H43" s="10"/>
      <c r="I43" s="10"/>
    </row>
    <row r="44" spans="1:9" ht="17.25" thickBot="1">
      <c r="A44" s="10"/>
      <c r="B44" s="10"/>
      <c r="C44" s="10"/>
      <c r="D44" s="66"/>
      <c r="E44" s="10"/>
      <c r="F44" s="10"/>
      <c r="G44" s="10"/>
      <c r="H44" s="10"/>
      <c r="I44" s="10"/>
    </row>
    <row r="45" spans="1:9" ht="17.25" thickTop="1">
      <c r="A45" s="10"/>
      <c r="B45" s="10"/>
      <c r="C45" s="12" t="s">
        <v>45</v>
      </c>
      <c r="D45" s="49">
        <f>MAX(D14:D42)</f>
        <v>0.12754799999999999</v>
      </c>
      <c r="E45" s="136"/>
      <c r="F45" s="10"/>
      <c r="G45" s="10"/>
      <c r="H45" s="10"/>
      <c r="I45" s="10"/>
    </row>
    <row r="46" spans="1:9" ht="16.5">
      <c r="A46" s="10"/>
      <c r="B46" s="10"/>
      <c r="C46" s="12" t="s">
        <v>46</v>
      </c>
      <c r="D46" s="283">
        <f>MIN(D14:D42)</f>
        <v>7.1800000000000003E-2</v>
      </c>
      <c r="E46" s="10"/>
      <c r="F46" s="10"/>
      <c r="G46" s="49"/>
      <c r="H46" s="49"/>
      <c r="I46" s="49"/>
    </row>
    <row r="47" spans="1:9" ht="16.5">
      <c r="A47" s="10"/>
      <c r="B47" s="10"/>
      <c r="C47" s="12" t="s">
        <v>18</v>
      </c>
      <c r="D47" s="77">
        <f>MEDIAN(D14:D42)</f>
        <v>0.1026</v>
      </c>
      <c r="E47" s="77"/>
      <c r="F47" s="77"/>
      <c r="G47" s="77"/>
      <c r="H47" s="77"/>
      <c r="I47" s="77"/>
    </row>
    <row r="48" spans="1:9" ht="16.5">
      <c r="A48" s="10"/>
      <c r="B48" s="10"/>
      <c r="C48" s="12" t="s">
        <v>374</v>
      </c>
      <c r="D48" s="78">
        <f>AVERAGE(D14:D42)</f>
        <v>0.10009710344827585</v>
      </c>
      <c r="E48" s="78"/>
      <c r="F48" s="78"/>
      <c r="G48" s="78"/>
      <c r="H48" s="78"/>
      <c r="I48" s="78"/>
    </row>
    <row r="49" spans="1:9" ht="17.25" thickBot="1">
      <c r="A49" s="10"/>
      <c r="B49" s="10"/>
      <c r="C49" s="10"/>
      <c r="D49" s="10" t="s">
        <v>182</v>
      </c>
      <c r="E49" s="10"/>
      <c r="F49" s="10"/>
      <c r="G49" s="10"/>
      <c r="H49" s="10"/>
      <c r="I49" s="10"/>
    </row>
    <row r="50" spans="1:9" ht="27" thickBot="1">
      <c r="A50" s="10"/>
      <c r="B50" s="10"/>
      <c r="C50" s="178" t="s">
        <v>235</v>
      </c>
      <c r="D50" s="354">
        <v>0.10009999999999999</v>
      </c>
      <c r="E50" s="79"/>
      <c r="F50" s="79"/>
    </row>
    <row r="51" spans="1:9" ht="17.25">
      <c r="A51" s="101" t="s">
        <v>0</v>
      </c>
      <c r="B51" s="10"/>
      <c r="C51" s="10"/>
      <c r="D51" s="10"/>
      <c r="E51" s="10"/>
      <c r="F51" s="10"/>
      <c r="G51" s="10"/>
      <c r="H51" s="10"/>
      <c r="I51" s="10"/>
    </row>
    <row r="52" spans="1:9" ht="17.25">
      <c r="A52" s="101" t="s">
        <v>0</v>
      </c>
      <c r="B52" s="10"/>
      <c r="C52" s="10"/>
      <c r="D52" s="10"/>
      <c r="E52" s="10"/>
      <c r="F52" s="10"/>
      <c r="G52" s="10"/>
      <c r="H52" s="10"/>
      <c r="I52" s="10"/>
    </row>
    <row r="53" spans="1:9" ht="16.5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16.5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16.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6.5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16.5">
      <c r="A57" s="10"/>
      <c r="B57" s="10"/>
      <c r="C57" s="10"/>
      <c r="D57" s="10" t="s">
        <v>0</v>
      </c>
      <c r="E57" s="10"/>
      <c r="F57" s="10"/>
      <c r="G57" s="10"/>
      <c r="H57" s="10"/>
      <c r="I57" s="10"/>
    </row>
    <row r="58" spans="1:9" ht="16.5">
      <c r="A58" s="10"/>
      <c r="B58" s="10"/>
      <c r="C58" s="10"/>
      <c r="D58" s="10" t="s">
        <v>0</v>
      </c>
      <c r="E58" s="10"/>
      <c r="F58" s="10"/>
      <c r="G58" s="10"/>
      <c r="H58" s="10"/>
      <c r="I58" s="10"/>
    </row>
    <row r="59" spans="1:9" ht="16.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6.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6.5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16.5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6.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6.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6.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6.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6.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6.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6.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6.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6.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6.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6.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6.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6.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6.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6.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6.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6.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6.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6.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6.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6.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6.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6.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6.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6.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6.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6.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6.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6.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6.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6.5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6.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6.5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6.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6.5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6.5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6.5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6.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6.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6.5">
      <c r="A102" s="10"/>
      <c r="B102" s="10"/>
      <c r="C102" s="10"/>
      <c r="D102" s="10"/>
      <c r="E102" s="10"/>
      <c r="F102" s="10"/>
      <c r="G102" s="10"/>
      <c r="H102" s="10"/>
      <c r="I102" s="10"/>
    </row>
    <row r="103" spans="1:9" ht="16.5">
      <c r="A103" s="10"/>
      <c r="B103" s="10"/>
      <c r="C103" s="10"/>
      <c r="D103" s="10"/>
      <c r="E103" s="10"/>
      <c r="F103" s="10"/>
      <c r="G103" s="10"/>
      <c r="H103" s="10"/>
      <c r="I103" s="10"/>
    </row>
  </sheetData>
  <pageMargins left="0.25" right="0.25" top="0.75" bottom="0.75" header="0.3" footer="0.3"/>
  <pageSetup scale="48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EEAA8-BBA3-479C-8851-708BD7E9A4CD}">
  <sheetPr codeName="Sheet17">
    <tabColor rgb="FF92D050"/>
  </sheetPr>
  <dimension ref="A1:K40"/>
  <sheetViews>
    <sheetView view="pageBreakPreview" zoomScale="70" zoomScaleNormal="80" zoomScaleSheetLayoutView="70" workbookViewId="0">
      <selection activeCell="G14" sqref="G14"/>
    </sheetView>
  </sheetViews>
  <sheetFormatPr defaultRowHeight="15"/>
  <cols>
    <col min="1" max="1" width="45.140625" customWidth="1"/>
    <col min="2" max="2" width="10.85546875" bestFit="1" customWidth="1"/>
    <col min="3" max="3" width="19.140625" bestFit="1" customWidth="1"/>
    <col min="4" max="4" width="15.140625" customWidth="1"/>
    <col min="5" max="5" width="27.140625" customWidth="1"/>
    <col min="6" max="6" width="22" customWidth="1"/>
    <col min="7" max="7" width="29.140625" customWidth="1"/>
    <col min="8" max="8" width="37" customWidth="1"/>
    <col min="9" max="9" width="24.5703125" customWidth="1"/>
    <col min="10" max="10" width="24.140625" customWidth="1"/>
    <col min="12" max="12" width="10.5703125" customWidth="1"/>
  </cols>
  <sheetData>
    <row r="1" spans="1:11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ht="16.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17.25" thickBot="1">
      <c r="A5" s="10"/>
      <c r="B5" s="10"/>
      <c r="C5" s="10"/>
      <c r="D5" s="10"/>
      <c r="E5" s="10"/>
      <c r="F5" s="10" t="s">
        <v>0</v>
      </c>
      <c r="G5" s="10"/>
      <c r="H5" s="24"/>
      <c r="I5" s="10"/>
      <c r="J5" s="10"/>
      <c r="K5" s="10"/>
    </row>
    <row r="6" spans="1:11" ht="18" thickBot="1">
      <c r="A6" s="231" t="str">
        <f>+'S&amp;D'!A12</f>
        <v>Air Freight Carriers</v>
      </c>
      <c r="B6" s="170"/>
      <c r="C6" s="10"/>
      <c r="D6" s="26"/>
      <c r="E6" s="26"/>
      <c r="F6" s="26"/>
      <c r="G6" s="27" t="s">
        <v>0</v>
      </c>
      <c r="H6" s="26"/>
      <c r="I6" s="10"/>
      <c r="J6" s="10"/>
      <c r="K6" s="10"/>
    </row>
    <row r="7" spans="1:11" ht="26.25">
      <c r="A7" s="28"/>
      <c r="B7" s="10"/>
      <c r="C7" s="10"/>
      <c r="D7" s="10"/>
      <c r="E7" s="10"/>
      <c r="F7" s="29" t="s">
        <v>369</v>
      </c>
      <c r="G7" s="10"/>
      <c r="H7" s="10"/>
      <c r="I7" s="10"/>
      <c r="J7" s="10"/>
      <c r="K7" s="10"/>
    </row>
    <row r="8" spans="1:11" ht="21" thickBot="1">
      <c r="A8" s="28"/>
      <c r="B8" s="10"/>
      <c r="C8" s="10"/>
      <c r="D8" s="26"/>
      <c r="E8" s="26"/>
      <c r="F8" s="30" t="s">
        <v>410</v>
      </c>
      <c r="G8" s="26"/>
      <c r="H8" s="26"/>
      <c r="I8" s="10"/>
      <c r="J8" s="10"/>
      <c r="K8" s="10"/>
    </row>
    <row r="9" spans="1:11" ht="17.25" thickBot="1">
      <c r="A9" s="31" t="s">
        <v>0</v>
      </c>
      <c r="B9" s="31" t="s">
        <v>0</v>
      </c>
      <c r="C9" s="31" t="s">
        <v>0</v>
      </c>
      <c r="D9" s="26"/>
      <c r="E9" s="31"/>
      <c r="F9" s="31" t="s">
        <v>0</v>
      </c>
      <c r="G9" s="31"/>
      <c r="H9" s="26"/>
      <c r="I9" s="26"/>
      <c r="J9" s="26"/>
      <c r="K9" s="10"/>
    </row>
    <row r="10" spans="1:11" ht="16.5">
      <c r="A10" s="32" t="s">
        <v>0</v>
      </c>
      <c r="B10" s="32" t="s">
        <v>3</v>
      </c>
      <c r="C10" s="32" t="s">
        <v>5</v>
      </c>
      <c r="D10" s="32" t="s">
        <v>156</v>
      </c>
      <c r="E10" s="32" t="s">
        <v>12</v>
      </c>
      <c r="F10" s="32" t="s">
        <v>167</v>
      </c>
      <c r="G10" s="32" t="s">
        <v>168</v>
      </c>
      <c r="H10" s="32" t="s">
        <v>168</v>
      </c>
      <c r="I10" s="32" t="s">
        <v>164</v>
      </c>
      <c r="J10" s="32" t="s">
        <v>164</v>
      </c>
      <c r="K10" s="10"/>
    </row>
    <row r="11" spans="1:11" ht="16.5">
      <c r="A11" s="32" t="s">
        <v>2</v>
      </c>
      <c r="B11" s="32" t="s">
        <v>4</v>
      </c>
      <c r="C11" s="32" t="s">
        <v>6</v>
      </c>
      <c r="D11" s="32" t="s">
        <v>195</v>
      </c>
      <c r="E11" s="32" t="s">
        <v>14</v>
      </c>
      <c r="F11" s="32" t="s">
        <v>366</v>
      </c>
      <c r="G11" s="32" t="s">
        <v>196</v>
      </c>
      <c r="H11" s="32" t="s">
        <v>197</v>
      </c>
      <c r="I11" s="32" t="s">
        <v>159</v>
      </c>
      <c r="J11" s="32" t="s">
        <v>162</v>
      </c>
      <c r="K11" s="10"/>
    </row>
    <row r="12" spans="1:11" ht="16.5">
      <c r="A12" s="32"/>
      <c r="B12" s="32"/>
      <c r="C12" s="32"/>
      <c r="D12" s="32"/>
      <c r="E12" s="32"/>
      <c r="F12" s="33" t="s">
        <v>0</v>
      </c>
      <c r="G12" s="33" t="s">
        <v>471</v>
      </c>
      <c r="H12" s="33" t="s">
        <v>471</v>
      </c>
      <c r="I12" s="32"/>
      <c r="J12" s="32"/>
      <c r="K12" s="10"/>
    </row>
    <row r="13" spans="1:11" ht="17.25" thickBot="1">
      <c r="A13" s="34" t="s">
        <v>24</v>
      </c>
      <c r="B13" s="35" t="s">
        <v>88</v>
      </c>
      <c r="C13" s="35" t="s">
        <v>89</v>
      </c>
      <c r="D13" s="35" t="s">
        <v>90</v>
      </c>
      <c r="E13" s="35" t="s">
        <v>91</v>
      </c>
      <c r="F13" s="35" t="s">
        <v>92</v>
      </c>
      <c r="G13" s="35" t="s">
        <v>93</v>
      </c>
      <c r="H13" s="35" t="s">
        <v>94</v>
      </c>
      <c r="I13" s="35" t="s">
        <v>165</v>
      </c>
      <c r="J13" s="35" t="s">
        <v>166</v>
      </c>
      <c r="K13" s="10"/>
    </row>
    <row r="14" spans="1:11" ht="16.5">
      <c r="A14" s="36" t="s">
        <v>7</v>
      </c>
      <c r="B14" s="36" t="s">
        <v>7</v>
      </c>
      <c r="C14" s="36" t="s">
        <v>7</v>
      </c>
      <c r="D14" s="37" t="s">
        <v>112</v>
      </c>
      <c r="E14" s="37"/>
      <c r="F14" s="36" t="s">
        <v>0</v>
      </c>
      <c r="G14" s="36" t="s">
        <v>7</v>
      </c>
      <c r="H14" s="36" t="s">
        <v>7</v>
      </c>
      <c r="I14" s="36" t="s">
        <v>15</v>
      </c>
      <c r="J14" s="36" t="s">
        <v>15</v>
      </c>
      <c r="K14" s="10"/>
    </row>
    <row r="15" spans="1:11" ht="16.5">
      <c r="A15" s="32"/>
      <c r="B15" s="32"/>
      <c r="C15" s="32"/>
      <c r="D15" s="32"/>
      <c r="E15" s="32"/>
      <c r="F15" s="32"/>
      <c r="G15" s="32"/>
      <c r="H15" s="10"/>
      <c r="I15" s="10"/>
      <c r="J15" s="10"/>
      <c r="K15" s="10"/>
    </row>
    <row r="16" spans="1:11" ht="16.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ht="17.25">
      <c r="A17" s="59" t="str">
        <f>+'S&amp;D'!A22</f>
        <v xml:space="preserve">FedEx Corp </v>
      </c>
      <c r="B17" s="85" t="str">
        <f>+'S&amp;D'!B22</f>
        <v>FDX</v>
      </c>
      <c r="C17" s="85" t="str">
        <f>+'S&amp;D'!C22</f>
        <v>Air Trans</v>
      </c>
      <c r="D17" s="56">
        <f>+'S&amp;D'!G22</f>
        <v>281.33</v>
      </c>
      <c r="E17" s="57">
        <f>+'S&amp;D'!D33</f>
        <v>67758500141.989998</v>
      </c>
      <c r="F17" s="50">
        <f>+'Dividends '!H16</f>
        <v>2.132726691074539E-2</v>
      </c>
      <c r="G17" s="50">
        <v>0.1</v>
      </c>
      <c r="H17" s="50">
        <v>6.5000000000000002E-2</v>
      </c>
      <c r="I17" s="277">
        <f>+F17+G17</f>
        <v>0.1213272669107454</v>
      </c>
      <c r="J17" s="277">
        <f t="shared" ref="J17:J18" si="0">+F17+H17</f>
        <v>8.6327266910745395E-2</v>
      </c>
      <c r="K17" s="10"/>
    </row>
    <row r="18" spans="1:11" ht="18" thickBot="1">
      <c r="A18" s="59" t="str">
        <f>+'S&amp;D'!A23</f>
        <v xml:space="preserve">United Parcel Service </v>
      </c>
      <c r="B18" s="85" t="str">
        <f>+'S&amp;D'!B23</f>
        <v>UPS</v>
      </c>
      <c r="C18" s="85" t="str">
        <f>+'S&amp;D'!C23</f>
        <v>Air Trans</v>
      </c>
      <c r="D18" s="56">
        <f>+'S&amp;D'!G23</f>
        <v>126.1</v>
      </c>
      <c r="E18" s="57">
        <f>+'S&amp;D'!D34</f>
        <v>107664180000</v>
      </c>
      <c r="F18" s="291">
        <f>+'Dividends '!H17</f>
        <v>5.2339413164155434E-2</v>
      </c>
      <c r="G18" s="291">
        <v>0.01</v>
      </c>
      <c r="H18" s="291">
        <v>5.0000000000000001E-3</v>
      </c>
      <c r="I18" s="292">
        <f>+F18+G18</f>
        <v>6.2339413164155436E-2</v>
      </c>
      <c r="J18" s="292">
        <f t="shared" si="0"/>
        <v>5.7339413164155431E-2</v>
      </c>
      <c r="K18" s="10"/>
    </row>
    <row r="19" spans="1:11" ht="17.25" thickTop="1">
      <c r="A19" s="10"/>
      <c r="B19" s="10"/>
      <c r="C19" s="12" t="s">
        <v>0</v>
      </c>
      <c r="D19" s="13" t="s">
        <v>0</v>
      </c>
      <c r="E19" s="13" t="s">
        <v>45</v>
      </c>
      <c r="F19" s="465">
        <f>MAX(F17:F18)</f>
        <v>5.2339413164155434E-2</v>
      </c>
      <c r="G19" s="307">
        <f>MAX(G17:G18)</f>
        <v>0.1</v>
      </c>
      <c r="H19" s="307">
        <f>MAX(H17:H18)</f>
        <v>6.5000000000000002E-2</v>
      </c>
      <c r="I19" s="307">
        <f>MAX(I17:I18)</f>
        <v>0.1213272669107454</v>
      </c>
      <c r="J19" s="307">
        <f>MAX(J17:J18)</f>
        <v>8.6327266910745395E-2</v>
      </c>
      <c r="K19" s="10"/>
    </row>
    <row r="20" spans="1:11" ht="16.5">
      <c r="A20" s="10"/>
      <c r="B20" s="10"/>
      <c r="C20" s="12"/>
      <c r="D20" s="13"/>
      <c r="E20" s="13" t="s">
        <v>46</v>
      </c>
      <c r="F20" s="390">
        <f>MIN(F17:F18)</f>
        <v>2.132726691074539E-2</v>
      </c>
      <c r="G20" s="308">
        <f>MIN(G17:G18)</f>
        <v>0.01</v>
      </c>
      <c r="H20" s="308">
        <f>MIN(H17:H18)</f>
        <v>5.0000000000000001E-3</v>
      </c>
      <c r="I20" s="308">
        <f>MIN(I17:I18)</f>
        <v>6.2339413164155436E-2</v>
      </c>
      <c r="J20" s="308">
        <f>MIN(J17:J18)</f>
        <v>5.7339413164155431E-2</v>
      </c>
      <c r="K20" s="10"/>
    </row>
    <row r="21" spans="1:11" ht="16.5">
      <c r="A21" s="10"/>
      <c r="B21" s="10"/>
      <c r="D21" s="15" t="s">
        <v>0</v>
      </c>
      <c r="E21" s="12" t="s">
        <v>18</v>
      </c>
      <c r="F21" s="51">
        <f>MEDIAN(F17:F18)</f>
        <v>3.683334003745041E-2</v>
      </c>
      <c r="G21" s="272">
        <f>MEDIAN(G17:G18)</f>
        <v>5.5000000000000007E-2</v>
      </c>
      <c r="H21" s="272">
        <f>MEDIAN(H17:H18)</f>
        <v>3.5000000000000003E-2</v>
      </c>
      <c r="I21" s="273">
        <f>MEDIAN(I17:I18)</f>
        <v>9.1833340037450417E-2</v>
      </c>
      <c r="J21" s="273">
        <f>MEDIAN(J17:J18)</f>
        <v>7.1833340037450413E-2</v>
      </c>
      <c r="K21" s="10"/>
    </row>
    <row r="22" spans="1:11" ht="16.5">
      <c r="A22" s="10"/>
      <c r="B22" s="10"/>
      <c r="D22" s="19" t="s">
        <v>0</v>
      </c>
      <c r="E22" s="12" t="s">
        <v>374</v>
      </c>
      <c r="F22" s="51">
        <f>AVERAGE(F17:F18)</f>
        <v>3.683334003745041E-2</v>
      </c>
      <c r="G22" s="51">
        <f>AVERAGE(G17:G18)</f>
        <v>5.5E-2</v>
      </c>
      <c r="H22" s="272">
        <f>AVERAGE(H17:H18)</f>
        <v>3.5000000000000003E-2</v>
      </c>
      <c r="I22" s="273">
        <f>AVERAGE(I17:I18)</f>
        <v>9.1833340037450417E-2</v>
      </c>
      <c r="J22" s="273">
        <f>AVERAGE(J17:J18)</f>
        <v>7.1833340037450413E-2</v>
      </c>
      <c r="K22" s="10"/>
    </row>
    <row r="23" spans="1:11" ht="16.5">
      <c r="A23" s="10"/>
      <c r="B23" s="10"/>
      <c r="D23" s="19"/>
      <c r="E23" s="12"/>
      <c r="F23" s="16"/>
      <c r="G23" s="16"/>
      <c r="H23" s="17"/>
      <c r="I23" s="18"/>
      <c r="J23" s="18"/>
      <c r="K23" s="10"/>
    </row>
    <row r="24" spans="1:11" ht="17.25" thickBo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ht="27" thickBot="1">
      <c r="A25" s="10"/>
      <c r="B25" s="10"/>
      <c r="C25" s="10"/>
      <c r="D25" s="10"/>
      <c r="E25" s="10"/>
      <c r="F25" s="10"/>
      <c r="G25" s="167" t="s">
        <v>170</v>
      </c>
      <c r="H25" s="169"/>
      <c r="I25" s="350">
        <v>9.1800000000000007E-2</v>
      </c>
      <c r="J25" s="10"/>
      <c r="K25" s="10"/>
    </row>
    <row r="26" spans="1:11" ht="20.25" customHeight="1" thickBo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ht="27" thickBot="1">
      <c r="A27" s="10"/>
      <c r="B27" s="10"/>
      <c r="C27" s="10"/>
      <c r="D27" s="10"/>
      <c r="E27" s="10"/>
      <c r="F27" s="10"/>
      <c r="G27" s="167" t="s">
        <v>169</v>
      </c>
      <c r="H27" s="170"/>
      <c r="I27" s="350">
        <v>7.1800000000000003E-2</v>
      </c>
      <c r="J27" s="10"/>
      <c r="K27" s="10"/>
    </row>
    <row r="28" spans="1:11" ht="16.5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11" ht="26.25">
      <c r="A29" s="21" t="s">
        <v>336</v>
      </c>
      <c r="B29" s="10"/>
      <c r="C29" s="21" t="s">
        <v>335</v>
      </c>
      <c r="D29" s="10"/>
      <c r="E29" s="10"/>
      <c r="F29" s="10"/>
      <c r="G29" s="10"/>
      <c r="H29" s="10"/>
      <c r="I29" s="10"/>
      <c r="J29" s="10"/>
    </row>
    <row r="30" spans="1:11" ht="17.25">
      <c r="A30" s="59" t="s">
        <v>339</v>
      </c>
      <c r="B30" s="10"/>
      <c r="C30" s="59" t="s">
        <v>339</v>
      </c>
      <c r="D30" s="10"/>
      <c r="E30" s="10"/>
      <c r="F30" s="10"/>
      <c r="G30" s="10"/>
      <c r="H30" s="10"/>
      <c r="I30" s="10"/>
      <c r="J30" s="10"/>
    </row>
    <row r="31" spans="1:11" ht="17.25">
      <c r="A31" s="59" t="s">
        <v>338</v>
      </c>
      <c r="B31" s="10"/>
      <c r="C31" s="59" t="s">
        <v>337</v>
      </c>
      <c r="D31" s="10"/>
      <c r="E31" s="10"/>
      <c r="F31" s="10"/>
      <c r="G31" s="10"/>
      <c r="H31" s="10"/>
      <c r="I31" s="10"/>
      <c r="J31" s="10"/>
    </row>
    <row r="32" spans="1:11" ht="16.5">
      <c r="A32" s="41"/>
      <c r="B32" s="10"/>
      <c r="C32" s="41"/>
      <c r="D32" s="10"/>
      <c r="E32" s="10"/>
      <c r="F32" s="10"/>
      <c r="G32" s="10"/>
      <c r="H32" s="10"/>
      <c r="I32" s="10"/>
      <c r="J32" s="10"/>
    </row>
    <row r="33" spans="1:10" ht="16.5">
      <c r="A33" s="41"/>
      <c r="B33" s="10"/>
      <c r="C33" s="41"/>
      <c r="D33" s="10"/>
      <c r="E33" s="10"/>
      <c r="F33" s="10"/>
      <c r="G33" s="10"/>
      <c r="H33" s="10"/>
      <c r="I33" s="10"/>
      <c r="J33" s="10"/>
    </row>
    <row r="34" spans="1:10" ht="26.25">
      <c r="A34" s="21" t="s">
        <v>192</v>
      </c>
      <c r="B34" s="10"/>
      <c r="C34" s="21" t="s">
        <v>192</v>
      </c>
      <c r="D34" s="10"/>
      <c r="E34" s="10"/>
      <c r="F34" s="10"/>
      <c r="G34" s="10"/>
      <c r="H34" s="10"/>
      <c r="I34" s="10"/>
      <c r="J34" s="10"/>
    </row>
    <row r="35" spans="1:10" ht="16.5">
      <c r="A35" s="41"/>
      <c r="B35" s="10"/>
      <c r="C35" s="41"/>
      <c r="D35" s="10"/>
      <c r="E35" s="10"/>
      <c r="F35" s="10"/>
      <c r="G35" s="10"/>
      <c r="H35" s="10"/>
      <c r="I35" s="10"/>
      <c r="J35" s="10"/>
    </row>
    <row r="36" spans="1:10" ht="17.25">
      <c r="A36" s="59" t="s">
        <v>193</v>
      </c>
      <c r="B36" s="10"/>
      <c r="C36" s="59" t="s">
        <v>193</v>
      </c>
      <c r="D36" s="10"/>
      <c r="E36" s="10"/>
      <c r="F36" s="10"/>
      <c r="G36" s="10"/>
      <c r="H36" s="10"/>
      <c r="I36" s="10"/>
      <c r="J36" s="10"/>
    </row>
    <row r="37" spans="1:10" ht="17.25">
      <c r="A37" s="59" t="s">
        <v>191</v>
      </c>
      <c r="B37" s="10"/>
      <c r="C37" s="59" t="s">
        <v>191</v>
      </c>
      <c r="D37" s="10"/>
      <c r="E37" s="10"/>
      <c r="F37" s="10"/>
      <c r="G37" s="10"/>
      <c r="H37" s="10"/>
      <c r="I37" s="10"/>
      <c r="J37" s="10"/>
    </row>
    <row r="38" spans="1:10" ht="17.25">
      <c r="A38" s="59" t="s">
        <v>194</v>
      </c>
      <c r="B38" s="10"/>
      <c r="C38" s="59" t="s">
        <v>194</v>
      </c>
      <c r="D38" s="10"/>
      <c r="E38" s="10"/>
      <c r="F38" s="10"/>
      <c r="G38" s="10"/>
      <c r="H38" s="10"/>
      <c r="I38" s="10"/>
      <c r="J38" s="10"/>
    </row>
    <row r="39" spans="1:10" ht="17.25">
      <c r="A39" s="59" t="s">
        <v>341</v>
      </c>
      <c r="B39" s="10"/>
      <c r="C39" s="59" t="s">
        <v>340</v>
      </c>
      <c r="D39" s="10"/>
      <c r="E39" s="10"/>
      <c r="F39" s="10"/>
      <c r="G39" s="10"/>
      <c r="H39" s="10"/>
      <c r="I39" s="10"/>
      <c r="J39" s="10"/>
    </row>
    <row r="40" spans="1:10" ht="17.25">
      <c r="A40" s="59"/>
      <c r="B40" s="10"/>
      <c r="C40" s="59"/>
      <c r="D40" s="10"/>
      <c r="E40" s="10"/>
      <c r="F40" s="10"/>
      <c r="G40" s="10"/>
      <c r="H40" s="10"/>
      <c r="I40" s="10"/>
      <c r="J40" s="10"/>
    </row>
  </sheetData>
  <phoneticPr fontId="86" type="noConversion"/>
  <pageMargins left="0.25" right="0.25" top="0.75" bottom="0.75" header="0.3" footer="0.3"/>
  <pageSetup scale="5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0D5-3409-4DE1-88B0-B66A1BCAC2E5}">
  <sheetPr codeName="Sheet18">
    <tabColor rgb="FF92D050"/>
  </sheetPr>
  <dimension ref="A1:K102"/>
  <sheetViews>
    <sheetView view="pageBreakPreview" zoomScale="70" zoomScaleNormal="80" zoomScaleSheetLayoutView="70" workbookViewId="0">
      <selection activeCell="F22" sqref="F22"/>
    </sheetView>
  </sheetViews>
  <sheetFormatPr defaultRowHeight="15"/>
  <cols>
    <col min="1" max="1" width="47.85546875" customWidth="1"/>
    <col min="2" max="2" width="15.140625" customWidth="1"/>
    <col min="3" max="3" width="24.5703125" customWidth="1"/>
    <col min="4" max="4" width="26.5703125" customWidth="1"/>
    <col min="5" max="5" width="32.140625" customWidth="1"/>
    <col min="6" max="6" width="22.42578125" customWidth="1"/>
    <col min="7" max="7" width="27" customWidth="1"/>
    <col min="8" max="8" width="39.85546875" customWidth="1"/>
    <col min="9" max="9" width="15.140625" customWidth="1"/>
    <col min="10" max="10" width="24.5703125" customWidth="1"/>
    <col min="11" max="11" width="24.140625" customWidth="1"/>
    <col min="13" max="13" width="10.5703125" customWidth="1"/>
  </cols>
  <sheetData>
    <row r="1" spans="1:9" ht="26.25">
      <c r="A1" s="21" t="s">
        <v>1</v>
      </c>
      <c r="B1" s="10"/>
      <c r="C1" s="10"/>
      <c r="D1" s="10"/>
      <c r="E1" s="10"/>
      <c r="F1" s="10"/>
      <c r="G1" s="10"/>
      <c r="H1" s="10"/>
      <c r="I1" s="10"/>
    </row>
    <row r="2" spans="1:9" ht="17.25">
      <c r="A2" s="22" t="s">
        <v>9</v>
      </c>
      <c r="B2" s="10"/>
      <c r="C2" s="10"/>
      <c r="D2" s="10"/>
      <c r="E2" s="10"/>
      <c r="F2" s="10"/>
      <c r="G2" s="10"/>
      <c r="H2" s="10"/>
      <c r="I2" s="10"/>
    </row>
    <row r="3" spans="1:9" ht="16.5">
      <c r="A3" s="23" t="s">
        <v>409</v>
      </c>
      <c r="B3" s="10"/>
      <c r="C3" s="10"/>
      <c r="D3" s="10"/>
      <c r="E3" s="10"/>
      <c r="F3" s="10"/>
      <c r="G3" s="10"/>
      <c r="H3" s="10"/>
      <c r="I3" s="10"/>
    </row>
    <row r="4" spans="1:9" ht="16.5">
      <c r="A4" s="23"/>
      <c r="B4" s="10"/>
      <c r="C4" s="10"/>
      <c r="D4" s="10"/>
      <c r="E4" s="10"/>
      <c r="F4" s="10"/>
      <c r="G4" s="10"/>
      <c r="H4" s="10"/>
      <c r="I4" s="10"/>
    </row>
    <row r="5" spans="1:9" ht="17.25" thickBot="1">
      <c r="A5" s="10"/>
      <c r="B5" s="10"/>
      <c r="C5" s="10"/>
      <c r="D5" s="10"/>
      <c r="E5" s="10"/>
      <c r="F5" s="10"/>
      <c r="G5" s="10"/>
      <c r="H5" s="10"/>
      <c r="I5" s="24"/>
    </row>
    <row r="6" spans="1:9" ht="21" thickBot="1">
      <c r="A6" s="229" t="str">
        <f>+'S&amp;D'!A12</f>
        <v>Air Freight Carriers</v>
      </c>
      <c r="B6" s="170"/>
      <c r="C6" s="10"/>
      <c r="D6" s="10"/>
      <c r="E6" s="10"/>
      <c r="F6" s="10"/>
      <c r="G6" s="10"/>
      <c r="H6" s="10"/>
      <c r="I6" s="10"/>
    </row>
    <row r="7" spans="1:9" ht="20.25">
      <c r="A7" s="28"/>
      <c r="B7" s="10"/>
      <c r="C7" s="10"/>
      <c r="D7" s="10"/>
      <c r="E7" s="10"/>
      <c r="F7" s="10"/>
      <c r="G7" s="10"/>
      <c r="H7" s="10"/>
      <c r="I7" s="10"/>
    </row>
    <row r="8" spans="1:9" ht="21" thickBot="1">
      <c r="A8" s="28"/>
      <c r="B8" s="10"/>
      <c r="C8" s="10"/>
      <c r="D8" s="26"/>
      <c r="E8" s="26"/>
      <c r="F8" s="26"/>
      <c r="G8" s="10"/>
      <c r="H8" s="10"/>
      <c r="I8" s="10"/>
    </row>
    <row r="9" spans="1:9" ht="26.25">
      <c r="A9" s="28"/>
      <c r="B9" s="10"/>
      <c r="C9" s="10"/>
      <c r="D9" s="10"/>
      <c r="E9" s="29" t="s">
        <v>171</v>
      </c>
      <c r="F9" s="10"/>
      <c r="G9" s="10"/>
      <c r="H9" s="10"/>
      <c r="I9" s="10"/>
    </row>
    <row r="10" spans="1:9" ht="21" thickBot="1">
      <c r="A10" s="28"/>
      <c r="B10" s="10"/>
      <c r="C10" s="10"/>
      <c r="D10" s="26"/>
      <c r="E10" s="30" t="s">
        <v>410</v>
      </c>
      <c r="F10" s="26"/>
      <c r="G10" s="10"/>
      <c r="H10" s="10"/>
      <c r="I10" s="10"/>
    </row>
    <row r="11" spans="1:9" ht="20.25">
      <c r="A11" s="28"/>
      <c r="B11" s="10"/>
      <c r="C11" s="10"/>
      <c r="D11" s="10"/>
      <c r="E11" s="10"/>
      <c r="F11" s="32"/>
      <c r="G11" s="32"/>
      <c r="H11" s="10"/>
      <c r="I11" s="10"/>
    </row>
    <row r="12" spans="1:9" ht="20.25">
      <c r="A12" s="28"/>
      <c r="B12" s="10"/>
      <c r="C12" s="10"/>
      <c r="D12" s="10" t="s">
        <v>0</v>
      </c>
      <c r="E12" s="10"/>
      <c r="F12" s="32"/>
      <c r="G12" s="32"/>
      <c r="H12" s="10"/>
      <c r="I12" s="10"/>
    </row>
    <row r="13" spans="1:9" ht="45.75" customHeight="1" thickBot="1">
      <c r="A13" s="31" t="s">
        <v>0</v>
      </c>
      <c r="B13" s="31" t="s">
        <v>0</v>
      </c>
      <c r="C13" s="31" t="s">
        <v>0</v>
      </c>
      <c r="D13" s="26"/>
      <c r="E13" s="26"/>
      <c r="F13" s="31" t="s">
        <v>0</v>
      </c>
      <c r="G13" s="31"/>
      <c r="H13" s="31"/>
      <c r="I13" s="10"/>
    </row>
    <row r="14" spans="1:9" ht="16.5">
      <c r="A14" s="32" t="s">
        <v>0</v>
      </c>
      <c r="B14" s="32" t="s">
        <v>3</v>
      </c>
      <c r="C14" s="32" t="s">
        <v>5</v>
      </c>
      <c r="D14" s="32" t="s">
        <v>167</v>
      </c>
      <c r="E14" s="32" t="s">
        <v>168</v>
      </c>
      <c r="F14" s="32" t="s">
        <v>172</v>
      </c>
      <c r="G14" s="32" t="s">
        <v>19</v>
      </c>
      <c r="H14" s="32" t="s">
        <v>174</v>
      </c>
      <c r="I14" s="10"/>
    </row>
    <row r="15" spans="1:9" ht="16.5">
      <c r="A15" s="32" t="s">
        <v>2</v>
      </c>
      <c r="B15" s="32" t="s">
        <v>4</v>
      </c>
      <c r="C15" s="32" t="s">
        <v>6</v>
      </c>
      <c r="D15" s="32" t="s">
        <v>366</v>
      </c>
      <c r="E15" s="32" t="s">
        <v>367</v>
      </c>
      <c r="F15" s="32" t="s">
        <v>122</v>
      </c>
      <c r="G15" s="32" t="s">
        <v>173</v>
      </c>
      <c r="H15" s="32" t="s">
        <v>163</v>
      </c>
      <c r="I15" s="10"/>
    </row>
    <row r="16" spans="1:9" ht="16.5">
      <c r="A16" s="32"/>
      <c r="B16" s="32" t="s">
        <v>0</v>
      </c>
      <c r="C16" s="32" t="s">
        <v>0</v>
      </c>
      <c r="D16" s="32" t="s">
        <v>0</v>
      </c>
      <c r="E16" s="33" t="s">
        <v>405</v>
      </c>
      <c r="F16" s="33" t="s">
        <v>0</v>
      </c>
      <c r="G16" s="32" t="s">
        <v>178</v>
      </c>
      <c r="H16" s="33" t="s">
        <v>179</v>
      </c>
      <c r="I16" s="10"/>
    </row>
    <row r="17" spans="1:11" ht="18" customHeight="1" thickBot="1">
      <c r="A17" s="63" t="s">
        <v>0</v>
      </c>
      <c r="B17" s="35" t="s">
        <v>0</v>
      </c>
      <c r="C17" s="35" t="s">
        <v>0</v>
      </c>
      <c r="D17" s="30" t="s">
        <v>176</v>
      </c>
      <c r="E17" s="30" t="s">
        <v>177</v>
      </c>
      <c r="F17" s="30" t="s">
        <v>175</v>
      </c>
      <c r="G17" s="32" t="s">
        <v>93</v>
      </c>
      <c r="H17" s="139"/>
      <c r="I17" s="10"/>
    </row>
    <row r="18" spans="1:11" ht="16.5">
      <c r="A18" s="36" t="s">
        <v>0</v>
      </c>
      <c r="B18" s="36" t="s">
        <v>0</v>
      </c>
      <c r="C18" s="36" t="s">
        <v>0</v>
      </c>
      <c r="D18" s="36" t="s">
        <v>7</v>
      </c>
      <c r="E18" s="36" t="s">
        <v>7</v>
      </c>
      <c r="F18" s="36" t="s">
        <v>0</v>
      </c>
      <c r="G18" s="64" t="s">
        <v>0</v>
      </c>
      <c r="H18" s="36" t="s">
        <v>0</v>
      </c>
      <c r="I18" s="10"/>
    </row>
    <row r="19" spans="1:11" ht="16.5">
      <c r="A19" s="32"/>
      <c r="B19" s="32"/>
      <c r="C19" s="32"/>
      <c r="D19" s="32"/>
      <c r="E19" s="10"/>
      <c r="F19" s="32"/>
      <c r="G19" s="10"/>
      <c r="H19" s="10"/>
      <c r="I19" s="10"/>
      <c r="J19" t="s">
        <v>0</v>
      </c>
      <c r="K19" t="s">
        <v>0</v>
      </c>
    </row>
    <row r="20" spans="1:11" ht="16.5">
      <c r="A20" s="10"/>
      <c r="B20" s="10"/>
      <c r="C20" s="10"/>
      <c r="D20" s="10"/>
      <c r="E20" s="10"/>
      <c r="F20" s="10"/>
      <c r="G20" s="10"/>
      <c r="H20" s="10" t="s">
        <v>0</v>
      </c>
      <c r="I20" s="10"/>
      <c r="J20" t="s">
        <v>0</v>
      </c>
      <c r="K20" t="s">
        <v>0</v>
      </c>
    </row>
    <row r="21" spans="1:11" ht="17.25">
      <c r="A21" s="59" t="str">
        <f>+'S&amp;D'!A22</f>
        <v xml:space="preserve">FedEx Corp </v>
      </c>
      <c r="B21" s="85" t="str">
        <f>+'S&amp;D'!B22</f>
        <v>FDX</v>
      </c>
      <c r="C21" s="32" t="str">
        <f>+'S&amp;D'!C22</f>
        <v>Air Trans</v>
      </c>
      <c r="D21" s="62">
        <f>+'Single Stage Div Growth Model'!F17</f>
        <v>2.132726691074539E-2</v>
      </c>
      <c r="E21" s="62">
        <f>+'Single Stage Div Growth Model'!H17</f>
        <v>6.5000000000000002E-2</v>
      </c>
      <c r="F21" s="62">
        <f>+'Growth &amp; Inflation Rates'!F57</f>
        <v>4.3400000000000001E-2</v>
      </c>
      <c r="G21" s="62">
        <f t="shared" ref="G21:G22" si="0">(F21+E21)/2</f>
        <v>5.4199999999999998E-2</v>
      </c>
      <c r="H21" s="62">
        <f t="shared" ref="H21:H22" si="1">D21*(1+(0.5*G21))+(0.67*E21)+(0.33*F21)</f>
        <v>7.9777235844026601E-2</v>
      </c>
      <c r="I21" s="10"/>
    </row>
    <row r="22" spans="1:11" ht="18" thickBot="1">
      <c r="A22" s="59" t="str">
        <f>+'S&amp;D'!A23</f>
        <v xml:space="preserve">United Parcel Service </v>
      </c>
      <c r="B22" s="85" t="str">
        <f>+'S&amp;D'!B23</f>
        <v>UPS</v>
      </c>
      <c r="C22" s="32" t="str">
        <f>+'S&amp;D'!C23</f>
        <v>Air Trans</v>
      </c>
      <c r="D22" s="62">
        <f>+'Single Stage Div Growth Model'!F18</f>
        <v>5.2339413164155434E-2</v>
      </c>
      <c r="E22" s="62">
        <f>+'Single Stage Div Growth Model'!H18</f>
        <v>5.0000000000000001E-3</v>
      </c>
      <c r="F22" s="62">
        <f>+'Growth &amp; Inflation Rates'!F57</f>
        <v>4.3400000000000001E-2</v>
      </c>
      <c r="G22" s="62">
        <f t="shared" si="0"/>
        <v>2.4199999999999999E-2</v>
      </c>
      <c r="H22" s="293">
        <f t="shared" si="1"/>
        <v>7.0644720063441718E-2</v>
      </c>
      <c r="I22" s="10"/>
    </row>
    <row r="23" spans="1:11" ht="17.25" thickTop="1">
      <c r="A23" s="10"/>
      <c r="B23" s="10"/>
      <c r="C23" s="10"/>
      <c r="D23" s="10"/>
      <c r="E23" s="10"/>
      <c r="F23" s="10"/>
      <c r="G23" s="163" t="s">
        <v>45</v>
      </c>
      <c r="H23" s="52">
        <f>+MAX(H21:H22)</f>
        <v>7.9777235844026601E-2</v>
      </c>
      <c r="I23" s="10"/>
    </row>
    <row r="24" spans="1:11" ht="16.5">
      <c r="A24" s="10"/>
      <c r="B24" s="10"/>
      <c r="C24" s="12" t="s">
        <v>0</v>
      </c>
      <c r="D24" s="13" t="s">
        <v>0</v>
      </c>
      <c r="E24" s="13" t="s">
        <v>0</v>
      </c>
      <c r="F24" s="14" t="s">
        <v>0</v>
      </c>
      <c r="G24" s="280" t="s">
        <v>46</v>
      </c>
      <c r="H24" s="271">
        <f>MIN(H21:H22)</f>
        <v>7.0644720063441718E-2</v>
      </c>
      <c r="I24" s="10"/>
    </row>
    <row r="25" spans="1:11" ht="16.5">
      <c r="A25" s="10"/>
      <c r="B25" s="10"/>
      <c r="D25" s="52" t="s">
        <v>0</v>
      </c>
      <c r="E25" s="47" t="s">
        <v>0</v>
      </c>
      <c r="F25" s="47" t="s">
        <v>0</v>
      </c>
      <c r="G25" s="12" t="s">
        <v>18</v>
      </c>
      <c r="H25" s="48">
        <f>MEDIAN(H21:H22)</f>
        <v>7.5210977953734159E-2</v>
      </c>
      <c r="I25" s="10"/>
    </row>
    <row r="26" spans="1:11" ht="16.5">
      <c r="A26" s="10"/>
      <c r="B26" s="10"/>
      <c r="D26" s="52" t="s">
        <v>0</v>
      </c>
      <c r="E26" s="47" t="s">
        <v>0</v>
      </c>
      <c r="F26" s="52" t="s">
        <v>0</v>
      </c>
      <c r="G26" s="12" t="s">
        <v>374</v>
      </c>
      <c r="H26" s="48">
        <f>AVERAGE(H21:H22)</f>
        <v>7.5210977953734159E-2</v>
      </c>
      <c r="I26" s="10"/>
    </row>
    <row r="27" spans="1:11" ht="16.5">
      <c r="A27" s="10"/>
      <c r="B27" s="10"/>
      <c r="C27" s="12"/>
      <c r="D27" s="16" t="s">
        <v>0</v>
      </c>
      <c r="E27" s="17"/>
      <c r="F27" s="16"/>
      <c r="G27" s="18"/>
      <c r="H27" s="18"/>
      <c r="I27" s="10"/>
    </row>
    <row r="28" spans="1:11" ht="17.25" thickBot="1">
      <c r="A28" s="10"/>
      <c r="B28" s="10"/>
      <c r="C28" s="10"/>
      <c r="D28" s="10"/>
      <c r="E28" s="10"/>
      <c r="F28" s="10"/>
      <c r="G28" s="10"/>
      <c r="H28" s="10"/>
      <c r="I28" s="10"/>
    </row>
    <row r="29" spans="1:11" ht="27" thickBot="1">
      <c r="A29" s="10"/>
      <c r="B29" s="10"/>
      <c r="C29" s="10"/>
      <c r="D29" s="10"/>
      <c r="F29" s="167"/>
      <c r="G29" s="168" t="s">
        <v>224</v>
      </c>
      <c r="H29" s="351">
        <v>7.5200000000000003E-2</v>
      </c>
      <c r="I29" s="10"/>
    </row>
    <row r="30" spans="1:11" ht="16.5">
      <c r="A30" s="10"/>
      <c r="B30" s="10"/>
      <c r="C30" s="10"/>
      <c r="D30" s="10"/>
      <c r="E30" s="10"/>
      <c r="F30" s="10"/>
      <c r="G30" s="10"/>
      <c r="H30" s="10"/>
      <c r="I30" s="10"/>
    </row>
    <row r="31" spans="1:11" ht="27">
      <c r="A31" s="21" t="s">
        <v>0</v>
      </c>
      <c r="B31" s="10"/>
      <c r="C31" s="10"/>
      <c r="D31" s="10"/>
      <c r="E31" s="10"/>
      <c r="F31" s="10"/>
      <c r="G31" s="20" t="s">
        <v>0</v>
      </c>
      <c r="H31" s="10"/>
      <c r="I31" s="10"/>
    </row>
    <row r="32" spans="1:11" ht="16.5">
      <c r="A32" s="41"/>
      <c r="B32" s="10"/>
      <c r="C32" s="10"/>
      <c r="D32" s="10"/>
      <c r="E32" s="10"/>
      <c r="F32" s="10"/>
      <c r="G32" s="10"/>
      <c r="H32" s="10"/>
      <c r="I32" s="10"/>
    </row>
    <row r="33" spans="1:9" ht="26.25">
      <c r="A33" s="21" t="s">
        <v>287</v>
      </c>
      <c r="B33" s="10"/>
      <c r="C33" s="10"/>
      <c r="D33" s="10"/>
      <c r="E33" s="10"/>
      <c r="F33" s="10"/>
      <c r="G33" s="10"/>
      <c r="H33" s="10"/>
      <c r="I33" s="10"/>
    </row>
    <row r="34" spans="1:9" ht="16.5">
      <c r="A34" s="41"/>
      <c r="B34" s="10"/>
      <c r="C34" s="10"/>
      <c r="D34" s="10"/>
      <c r="E34" s="10"/>
      <c r="F34" s="10"/>
      <c r="G34" s="10"/>
      <c r="H34" s="10"/>
      <c r="I34" s="10"/>
    </row>
    <row r="35" spans="1:9" ht="17.25">
      <c r="A35" s="59" t="s">
        <v>193</v>
      </c>
      <c r="B35" s="10"/>
      <c r="C35" s="10"/>
      <c r="D35" s="10"/>
      <c r="E35" s="10"/>
      <c r="F35" s="10"/>
      <c r="G35" s="10"/>
      <c r="H35" s="10"/>
      <c r="I35" s="10"/>
    </row>
    <row r="36" spans="1:9" ht="17.25">
      <c r="A36" s="59" t="s">
        <v>290</v>
      </c>
      <c r="B36" s="10"/>
      <c r="C36" s="10"/>
      <c r="D36" s="10"/>
      <c r="E36" s="10"/>
      <c r="F36" s="10"/>
      <c r="G36" s="10"/>
      <c r="H36" s="10"/>
      <c r="I36" s="10"/>
    </row>
    <row r="37" spans="1:9" ht="17.25">
      <c r="A37" s="59" t="s">
        <v>288</v>
      </c>
      <c r="B37" s="10"/>
      <c r="C37" s="10"/>
      <c r="D37" s="10"/>
      <c r="E37" s="10"/>
      <c r="F37" s="10"/>
      <c r="G37" s="10"/>
      <c r="H37" s="10"/>
      <c r="I37" s="10"/>
    </row>
    <row r="38" spans="1:9" ht="17.25">
      <c r="A38" s="59" t="s">
        <v>289</v>
      </c>
      <c r="B38" s="10"/>
      <c r="C38" s="10"/>
      <c r="D38" s="10"/>
      <c r="E38" s="10"/>
      <c r="F38" s="10"/>
      <c r="G38" s="10"/>
      <c r="H38" s="10"/>
      <c r="I38" s="10"/>
    </row>
    <row r="39" spans="1:9" ht="17.25">
      <c r="A39" s="59" t="s">
        <v>291</v>
      </c>
      <c r="B39" s="10"/>
      <c r="C39" s="10"/>
      <c r="D39" s="10"/>
      <c r="E39" s="10"/>
      <c r="F39" s="10"/>
      <c r="G39" s="10"/>
      <c r="H39" s="10"/>
      <c r="I39" s="10"/>
    </row>
    <row r="40" spans="1:9" ht="16.5">
      <c r="A40" s="10"/>
      <c r="B40" s="10"/>
      <c r="C40" s="10"/>
      <c r="D40" s="10"/>
      <c r="E40" s="10"/>
      <c r="F40" s="10"/>
      <c r="G40" s="10"/>
      <c r="H40" s="10"/>
      <c r="I40" s="10"/>
    </row>
    <row r="41" spans="1:9" ht="16.5">
      <c r="A41" s="10"/>
      <c r="B41" s="10"/>
      <c r="C41" s="10"/>
      <c r="D41" s="10"/>
      <c r="E41" s="10"/>
      <c r="F41" s="10"/>
      <c r="G41" s="10"/>
      <c r="H41" s="10"/>
      <c r="I41" s="10"/>
    </row>
    <row r="42" spans="1:9" ht="16.5">
      <c r="A42" s="10"/>
      <c r="B42" s="10"/>
      <c r="C42" s="10"/>
      <c r="D42" s="10"/>
      <c r="E42" s="10"/>
      <c r="F42" s="10"/>
      <c r="G42" s="10"/>
      <c r="H42" s="10"/>
      <c r="I42" s="10"/>
    </row>
    <row r="43" spans="1:9" ht="16.5">
      <c r="A43" s="10"/>
      <c r="B43" s="10"/>
      <c r="C43" s="10"/>
      <c r="D43" s="10"/>
      <c r="E43" s="10"/>
      <c r="F43" s="10"/>
      <c r="G43" s="10"/>
      <c r="H43" s="10"/>
      <c r="I43" s="10"/>
    </row>
    <row r="44" spans="1:9" ht="16.5">
      <c r="A44" s="10"/>
      <c r="B44" s="10"/>
      <c r="C44" s="10"/>
      <c r="D44" s="10"/>
      <c r="E44" s="10"/>
      <c r="F44" s="10"/>
      <c r="G44" s="10"/>
      <c r="H44" s="10"/>
      <c r="I44" s="10"/>
    </row>
    <row r="45" spans="1:9" ht="16.5">
      <c r="A45" s="10"/>
      <c r="B45" s="10"/>
      <c r="C45" s="10"/>
      <c r="D45" s="10"/>
      <c r="E45" s="10"/>
      <c r="F45" s="10"/>
      <c r="G45" s="10"/>
      <c r="H45" s="10"/>
      <c r="I45" s="10"/>
    </row>
    <row r="46" spans="1:9" ht="16.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6.5">
      <c r="A47" s="10"/>
      <c r="B47" s="10"/>
      <c r="C47" s="10"/>
      <c r="D47" s="10"/>
      <c r="E47" s="10"/>
      <c r="F47" s="10"/>
      <c r="G47" s="10"/>
      <c r="H47" s="10"/>
      <c r="I47" s="10"/>
    </row>
    <row r="48" spans="1:9" ht="16.5">
      <c r="A48" s="10"/>
      <c r="B48" s="10"/>
      <c r="C48" s="10"/>
      <c r="D48" s="10"/>
      <c r="E48" s="10"/>
      <c r="F48" s="10"/>
      <c r="G48" s="10"/>
      <c r="H48" s="10"/>
      <c r="I48" s="10"/>
    </row>
    <row r="49" spans="1:9" ht="16.5">
      <c r="A49" s="10"/>
      <c r="B49" s="10"/>
      <c r="C49" s="10"/>
      <c r="D49" s="10"/>
      <c r="E49" s="10"/>
      <c r="F49" s="10"/>
      <c r="G49" s="10"/>
      <c r="H49" s="10"/>
      <c r="I49" s="10"/>
    </row>
    <row r="50" spans="1:9" ht="16.5">
      <c r="A50" s="10"/>
      <c r="B50" s="10"/>
      <c r="C50" s="10"/>
      <c r="D50" s="10"/>
      <c r="E50" s="10"/>
      <c r="F50" s="10"/>
      <c r="G50" s="10"/>
      <c r="H50" s="10"/>
      <c r="I50" s="10"/>
    </row>
    <row r="51" spans="1:9" ht="16.5">
      <c r="A51" s="10"/>
      <c r="B51" s="10"/>
      <c r="C51" s="10"/>
      <c r="D51" s="10"/>
      <c r="E51" s="10"/>
      <c r="F51" s="10"/>
      <c r="G51" s="10"/>
      <c r="H51" s="10"/>
      <c r="I51" s="10"/>
    </row>
    <row r="52" spans="1:9" ht="16.5">
      <c r="A52" s="10"/>
      <c r="B52" s="10"/>
      <c r="C52" s="10"/>
      <c r="D52" s="10"/>
      <c r="E52" s="10"/>
      <c r="F52" s="10"/>
      <c r="G52" s="10"/>
      <c r="H52" s="10"/>
      <c r="I52" s="10"/>
    </row>
    <row r="53" spans="1:9" ht="16.5">
      <c r="A53" s="10"/>
      <c r="B53" s="10"/>
      <c r="C53" s="10"/>
      <c r="D53" s="10"/>
      <c r="E53" s="10"/>
      <c r="F53" s="10"/>
      <c r="G53" s="10"/>
      <c r="H53" s="10"/>
      <c r="I53" s="10"/>
    </row>
    <row r="54" spans="1:9" ht="16.5">
      <c r="A54" s="10"/>
      <c r="B54" s="10"/>
      <c r="C54" s="10"/>
      <c r="D54" s="10"/>
      <c r="E54" s="10"/>
      <c r="F54" s="10"/>
      <c r="G54" s="10"/>
      <c r="H54" s="10"/>
      <c r="I54" s="10"/>
    </row>
    <row r="55" spans="1:9" ht="16.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6.5">
      <c r="A56" s="10"/>
      <c r="B56" s="10"/>
      <c r="C56" s="10"/>
      <c r="D56" s="10"/>
      <c r="E56" s="10"/>
      <c r="F56" s="10"/>
      <c r="G56" s="10"/>
      <c r="H56" s="10"/>
      <c r="I56" s="10"/>
    </row>
    <row r="57" spans="1:9" ht="16.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6.5">
      <c r="A58" s="10"/>
      <c r="B58" s="10"/>
      <c r="C58" s="10"/>
      <c r="D58" s="10"/>
      <c r="E58" s="10"/>
      <c r="F58" s="10"/>
      <c r="G58" s="10"/>
      <c r="H58" s="10"/>
      <c r="I58" s="10"/>
    </row>
    <row r="59" spans="1:9" ht="16.5">
      <c r="A59" s="10"/>
      <c r="B59" s="10"/>
      <c r="C59" s="10"/>
      <c r="D59" s="10"/>
      <c r="E59" s="10"/>
      <c r="F59" s="10"/>
      <c r="G59" s="10"/>
      <c r="H59" s="10"/>
      <c r="I59" s="10"/>
    </row>
    <row r="60" spans="1:9" ht="16.5">
      <c r="A60" s="10"/>
      <c r="B60" s="10"/>
      <c r="C60" s="10"/>
      <c r="D60" s="10"/>
      <c r="E60" s="10"/>
      <c r="F60" s="10"/>
      <c r="G60" s="10"/>
      <c r="H60" s="10"/>
      <c r="I60" s="10"/>
    </row>
    <row r="61" spans="1:9" ht="16.5">
      <c r="A61" s="10"/>
      <c r="B61" s="10"/>
      <c r="C61" s="10"/>
      <c r="D61" s="10"/>
      <c r="E61" s="10"/>
      <c r="F61" s="10"/>
      <c r="G61" s="10"/>
      <c r="H61" s="10"/>
      <c r="I61" s="10"/>
    </row>
    <row r="62" spans="1:9" ht="16.5">
      <c r="A62" s="10"/>
      <c r="B62" s="10"/>
      <c r="C62" s="10"/>
      <c r="D62" s="10"/>
      <c r="E62" s="10"/>
      <c r="F62" s="10"/>
      <c r="G62" s="10"/>
      <c r="H62" s="10"/>
      <c r="I62" s="10"/>
    </row>
    <row r="63" spans="1:9" ht="16.5">
      <c r="A63" s="10"/>
      <c r="B63" s="10"/>
      <c r="C63" s="10"/>
      <c r="D63" s="10"/>
      <c r="E63" s="10"/>
      <c r="F63" s="10"/>
      <c r="G63" s="10"/>
      <c r="H63" s="10"/>
      <c r="I63" s="10"/>
    </row>
    <row r="64" spans="1:9" ht="16.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6.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6.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6.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6.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6.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6.5">
      <c r="A70" s="10"/>
      <c r="B70" s="10"/>
      <c r="C70" s="10"/>
      <c r="D70" s="10"/>
      <c r="E70" s="10"/>
      <c r="F70" s="10"/>
      <c r="G70" s="10"/>
      <c r="H70" s="10"/>
      <c r="I70" s="10"/>
    </row>
    <row r="71" spans="1:9" ht="16.5">
      <c r="A71" s="10"/>
      <c r="B71" s="10"/>
      <c r="C71" s="10"/>
      <c r="D71" s="10"/>
      <c r="E71" s="10"/>
      <c r="F71" s="10"/>
      <c r="G71" s="10"/>
      <c r="H71" s="10"/>
      <c r="I71" s="10"/>
    </row>
    <row r="72" spans="1:9" ht="16.5">
      <c r="A72" s="10"/>
      <c r="B72" s="10"/>
      <c r="C72" s="10"/>
      <c r="D72" s="10"/>
      <c r="E72" s="10"/>
      <c r="F72" s="10"/>
      <c r="G72" s="10"/>
      <c r="H72" s="10"/>
      <c r="I72" s="10"/>
    </row>
    <row r="73" spans="1:9" ht="16.5">
      <c r="A73" s="10"/>
      <c r="B73" s="10"/>
      <c r="C73" s="10"/>
      <c r="D73" s="10"/>
      <c r="E73" s="10"/>
      <c r="F73" s="10"/>
      <c r="G73" s="10"/>
      <c r="H73" s="10"/>
      <c r="I73" s="10"/>
    </row>
    <row r="74" spans="1:9" ht="16.5">
      <c r="A74" s="10"/>
      <c r="B74" s="10"/>
      <c r="C74" s="10"/>
      <c r="D74" s="10"/>
      <c r="E74" s="10"/>
      <c r="F74" s="10"/>
      <c r="G74" s="10"/>
      <c r="H74" s="10"/>
      <c r="I74" s="10"/>
    </row>
    <row r="75" spans="1:9" ht="16.5">
      <c r="A75" s="10"/>
      <c r="B75" s="10"/>
      <c r="C75" s="10"/>
      <c r="D75" s="10"/>
      <c r="E75" s="10"/>
      <c r="F75" s="10"/>
      <c r="G75" s="10"/>
      <c r="H75" s="10"/>
      <c r="I75" s="10"/>
    </row>
    <row r="76" spans="1:9" ht="16.5">
      <c r="A76" s="10"/>
      <c r="B76" s="10"/>
      <c r="C76" s="10"/>
      <c r="D76" s="10"/>
      <c r="E76" s="10"/>
      <c r="F76" s="10"/>
      <c r="G76" s="10"/>
      <c r="H76" s="10"/>
      <c r="I76" s="10"/>
    </row>
    <row r="77" spans="1:9" ht="16.5">
      <c r="A77" s="10"/>
      <c r="B77" s="10"/>
      <c r="C77" s="10"/>
      <c r="D77" s="10"/>
      <c r="E77" s="10"/>
      <c r="F77" s="10"/>
      <c r="G77" s="10"/>
      <c r="H77" s="10"/>
      <c r="I77" s="10"/>
    </row>
    <row r="78" spans="1:9" ht="16.5">
      <c r="A78" s="10"/>
      <c r="B78" s="10"/>
      <c r="C78" s="10"/>
      <c r="D78" s="10"/>
      <c r="E78" s="10"/>
      <c r="F78" s="10"/>
      <c r="G78" s="10"/>
      <c r="H78" s="10"/>
      <c r="I78" s="10"/>
    </row>
    <row r="79" spans="1:9" ht="16.5">
      <c r="A79" s="10"/>
      <c r="B79" s="10"/>
      <c r="C79" s="10"/>
      <c r="D79" s="10"/>
      <c r="E79" s="10"/>
      <c r="F79" s="10"/>
      <c r="G79" s="10"/>
      <c r="H79" s="10"/>
      <c r="I79" s="10"/>
    </row>
    <row r="80" spans="1:9" ht="16.5">
      <c r="A80" s="10"/>
      <c r="B80" s="10"/>
      <c r="C80" s="10"/>
      <c r="D80" s="10"/>
      <c r="E80" s="10"/>
      <c r="F80" s="10"/>
      <c r="G80" s="10"/>
      <c r="H80" s="10"/>
      <c r="I80" s="10"/>
    </row>
    <row r="81" spans="1:9" ht="16.5">
      <c r="A81" s="10"/>
      <c r="B81" s="10"/>
      <c r="C81" s="10"/>
      <c r="D81" s="10"/>
      <c r="E81" s="10"/>
      <c r="F81" s="10"/>
      <c r="G81" s="10"/>
      <c r="H81" s="10"/>
      <c r="I81" s="10"/>
    </row>
    <row r="82" spans="1:9" ht="16.5">
      <c r="A82" s="10"/>
      <c r="B82" s="10"/>
      <c r="C82" s="10"/>
      <c r="D82" s="10"/>
      <c r="E82" s="10"/>
      <c r="F82" s="10"/>
      <c r="G82" s="10"/>
      <c r="H82" s="10"/>
      <c r="I82" s="10"/>
    </row>
    <row r="83" spans="1:9" ht="16.5">
      <c r="A83" s="10"/>
      <c r="B83" s="10"/>
      <c r="C83" s="10"/>
      <c r="D83" s="10"/>
      <c r="E83" s="10"/>
      <c r="F83" s="10"/>
      <c r="G83" s="10"/>
      <c r="H83" s="10"/>
      <c r="I83" s="10"/>
    </row>
    <row r="84" spans="1:9" ht="16.5">
      <c r="A84" s="10"/>
      <c r="B84" s="10"/>
      <c r="C84" s="10"/>
      <c r="D84" s="10"/>
      <c r="E84" s="10"/>
      <c r="F84" s="10"/>
      <c r="G84" s="10"/>
      <c r="H84" s="10"/>
      <c r="I84" s="10"/>
    </row>
    <row r="85" spans="1:9" ht="16.5">
      <c r="A85" s="10"/>
      <c r="B85" s="10"/>
      <c r="C85" s="10"/>
      <c r="D85" s="10"/>
      <c r="E85" s="10"/>
      <c r="F85" s="10"/>
      <c r="G85" s="10"/>
      <c r="H85" s="10"/>
      <c r="I85" s="10"/>
    </row>
    <row r="86" spans="1:9" ht="16.5">
      <c r="A86" s="10"/>
      <c r="B86" s="10"/>
      <c r="C86" s="10"/>
      <c r="D86" s="10"/>
      <c r="E86" s="10"/>
      <c r="F86" s="10"/>
      <c r="G86" s="10"/>
      <c r="H86" s="10"/>
      <c r="I86" s="10"/>
    </row>
    <row r="87" spans="1:9" ht="16.5">
      <c r="A87" s="10"/>
      <c r="B87" s="10"/>
      <c r="C87" s="10"/>
      <c r="D87" s="10"/>
      <c r="E87" s="10"/>
      <c r="F87" s="10"/>
      <c r="G87" s="10"/>
      <c r="H87" s="10"/>
      <c r="I87" s="10"/>
    </row>
    <row r="88" spans="1:9" ht="16.5">
      <c r="A88" s="10"/>
      <c r="B88" s="10"/>
      <c r="C88" s="10"/>
      <c r="D88" s="10"/>
      <c r="E88" s="10"/>
      <c r="F88" s="10"/>
      <c r="G88" s="10"/>
      <c r="H88" s="10"/>
      <c r="I88" s="10"/>
    </row>
    <row r="89" spans="1:9" ht="16.5">
      <c r="A89" s="10"/>
      <c r="B89" s="10"/>
      <c r="C89" s="10"/>
      <c r="D89" s="10"/>
      <c r="E89" s="10"/>
      <c r="F89" s="10"/>
      <c r="G89" s="10"/>
      <c r="H89" s="10"/>
      <c r="I89" s="10"/>
    </row>
    <row r="90" spans="1:9" ht="16.5">
      <c r="A90" s="10"/>
      <c r="B90" s="10"/>
      <c r="C90" s="10"/>
      <c r="D90" s="10"/>
      <c r="E90" s="10"/>
      <c r="F90" s="10"/>
      <c r="G90" s="10"/>
      <c r="H90" s="10"/>
      <c r="I90" s="10"/>
    </row>
    <row r="91" spans="1:9" ht="16.5">
      <c r="A91" s="10"/>
      <c r="B91" s="10"/>
      <c r="C91" s="10"/>
      <c r="D91" s="10"/>
      <c r="E91" s="10"/>
      <c r="F91" s="10"/>
      <c r="G91" s="10"/>
      <c r="H91" s="10"/>
      <c r="I91" s="10"/>
    </row>
    <row r="92" spans="1:9" ht="16.5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6.5">
      <c r="A93" s="10"/>
      <c r="B93" s="10"/>
      <c r="C93" s="10"/>
      <c r="D93" s="10"/>
      <c r="E93" s="10"/>
      <c r="F93" s="10"/>
      <c r="G93" s="10"/>
      <c r="H93" s="10"/>
      <c r="I93" s="10"/>
    </row>
    <row r="94" spans="1:9" ht="16.5">
      <c r="A94" s="10"/>
      <c r="B94" s="10"/>
      <c r="C94" s="10"/>
      <c r="D94" s="10"/>
      <c r="E94" s="10"/>
      <c r="F94" s="10"/>
      <c r="G94" s="10"/>
      <c r="H94" s="10"/>
      <c r="I94" s="10"/>
    </row>
    <row r="95" spans="1:9" ht="16.5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6.5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6.5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6.5">
      <c r="A98" s="10"/>
      <c r="B98" s="10"/>
      <c r="C98" s="10"/>
      <c r="D98" s="10"/>
      <c r="E98" s="10"/>
      <c r="F98" s="10"/>
      <c r="G98" s="10"/>
      <c r="H98" s="10"/>
      <c r="I98" s="10"/>
    </row>
    <row r="99" spans="1:9" ht="16.5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6.5">
      <c r="A100" s="10"/>
      <c r="B100" s="10"/>
      <c r="C100" s="10"/>
      <c r="D100" s="10"/>
      <c r="E100" s="10"/>
      <c r="F100" s="10"/>
      <c r="G100" s="10"/>
      <c r="H100" s="10"/>
      <c r="I100" s="10"/>
    </row>
    <row r="101" spans="1:9" ht="16.5">
      <c r="A101" s="10"/>
      <c r="B101" s="10"/>
      <c r="C101" s="10"/>
      <c r="D101" s="10"/>
      <c r="E101" s="10"/>
      <c r="F101" s="10"/>
      <c r="G101" s="10"/>
      <c r="H101" s="10"/>
      <c r="I101" s="10"/>
    </row>
    <row r="102" spans="1:9" ht="16.5">
      <c r="A102" s="10"/>
      <c r="B102" s="10"/>
      <c r="C102" s="10"/>
      <c r="D102" s="10"/>
      <c r="E102" s="10"/>
      <c r="F102" s="10"/>
      <c r="G102" s="10"/>
      <c r="H102" s="10"/>
      <c r="I102" s="10"/>
    </row>
  </sheetData>
  <pageMargins left="0.25" right="0.25" top="0.75" bottom="0.75" header="0.3" footer="0.3"/>
  <pageSetup scale="4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18509-4469-4CA1-837E-28DCE856C1A1}">
  <sheetPr codeName="Sheet19">
    <tabColor rgb="FF92D050"/>
  </sheetPr>
  <dimension ref="A1:N36"/>
  <sheetViews>
    <sheetView view="pageBreakPreview" zoomScale="60" zoomScaleNormal="80" workbookViewId="0">
      <selection activeCell="G16" sqref="G16"/>
    </sheetView>
  </sheetViews>
  <sheetFormatPr defaultRowHeight="15"/>
  <cols>
    <col min="1" max="1" width="21.5703125" customWidth="1"/>
    <col min="2" max="2" width="45.85546875" customWidth="1"/>
    <col min="3" max="3" width="23.140625" customWidth="1"/>
    <col min="4" max="4" width="24" customWidth="1"/>
    <col min="5" max="5" width="29.140625" customWidth="1"/>
    <col min="6" max="6" width="28.42578125" customWidth="1"/>
    <col min="7" max="7" width="27.140625" customWidth="1"/>
    <col min="8" max="8" width="33.42578125" customWidth="1"/>
    <col min="9" max="9" width="18.85546875" customWidth="1"/>
    <col min="10" max="10" width="21.140625" customWidth="1"/>
    <col min="11" max="11" width="4.42578125" customWidth="1"/>
    <col min="12" max="12" width="22.85546875" customWidth="1"/>
    <col min="13" max="13" width="17.140625" customWidth="1"/>
  </cols>
  <sheetData>
    <row r="1" spans="1:14" ht="26.25">
      <c r="A1" s="21" t="s">
        <v>1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7.25">
      <c r="A2" s="59" t="s">
        <v>9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6.5">
      <c r="A3" s="23" t="s">
        <v>409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ht="16.5">
      <c r="A4" s="10"/>
      <c r="C4" s="10"/>
      <c r="D4" s="10"/>
      <c r="E4" s="24" t="s">
        <v>0</v>
      </c>
      <c r="F4" s="10"/>
      <c r="G4" s="10"/>
      <c r="H4" s="10"/>
      <c r="I4" s="10"/>
      <c r="J4" s="10"/>
      <c r="K4" s="10"/>
      <c r="L4" s="10"/>
      <c r="M4" s="10"/>
      <c r="N4" s="10"/>
    </row>
    <row r="5" spans="1:14" ht="18" thickBot="1">
      <c r="A5" s="5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ht="21" thickBot="1">
      <c r="A6" s="25" t="str">
        <f>+'S&amp;D'!A12</f>
        <v>Air Freight Carriers</v>
      </c>
      <c r="B6" s="164"/>
      <c r="C6" s="10"/>
      <c r="D6" s="10"/>
      <c r="E6" s="10"/>
      <c r="F6" s="10"/>
      <c r="G6" s="10"/>
      <c r="H6" s="10"/>
    </row>
    <row r="7" spans="1:14" ht="18" thickBot="1">
      <c r="A7" s="59"/>
      <c r="C7" s="10"/>
      <c r="D7" s="26"/>
      <c r="E7" s="26"/>
      <c r="F7" s="26"/>
      <c r="G7" s="10"/>
      <c r="H7" s="10"/>
    </row>
    <row r="8" spans="1:14" ht="26.25">
      <c r="C8" s="10"/>
      <c r="D8" s="10"/>
      <c r="E8" s="29" t="s">
        <v>344</v>
      </c>
      <c r="F8" s="10"/>
      <c r="G8" s="10"/>
      <c r="H8" s="10"/>
    </row>
    <row r="9" spans="1:14" ht="21" thickBot="1">
      <c r="B9" s="28"/>
      <c r="C9" s="10"/>
      <c r="D9" s="26"/>
      <c r="E9" s="30" t="s">
        <v>410</v>
      </c>
      <c r="F9" s="26"/>
      <c r="G9" s="10"/>
      <c r="H9" s="10"/>
    </row>
    <row r="10" spans="1:14" ht="17.25" thickBot="1">
      <c r="B10" s="31" t="s">
        <v>0</v>
      </c>
      <c r="C10" s="31" t="s">
        <v>0</v>
      </c>
      <c r="D10" s="31" t="s">
        <v>0</v>
      </c>
      <c r="E10" s="31" t="s">
        <v>0</v>
      </c>
      <c r="F10" s="31" t="s">
        <v>0</v>
      </c>
      <c r="G10" s="31" t="s">
        <v>0</v>
      </c>
      <c r="H10" s="26"/>
    </row>
    <row r="11" spans="1:14" ht="16.5">
      <c r="B11" s="32" t="s">
        <v>0</v>
      </c>
      <c r="C11" s="32" t="s">
        <v>3</v>
      </c>
      <c r="D11" s="32" t="s">
        <v>323</v>
      </c>
      <c r="E11" s="32" t="s">
        <v>324</v>
      </c>
      <c r="F11" s="32" t="s">
        <v>220</v>
      </c>
      <c r="G11" s="32" t="s">
        <v>343</v>
      </c>
      <c r="H11" s="32" t="s">
        <v>343</v>
      </c>
    </row>
    <row r="12" spans="1:14" ht="17.25" thickBot="1">
      <c r="B12" s="34" t="s">
        <v>2</v>
      </c>
      <c r="C12" s="34" t="s">
        <v>4</v>
      </c>
      <c r="D12" s="34" t="s">
        <v>27</v>
      </c>
      <c r="E12" s="34" t="s">
        <v>158</v>
      </c>
      <c r="F12" s="34" t="s">
        <v>345</v>
      </c>
      <c r="G12" s="34" t="s">
        <v>352</v>
      </c>
      <c r="H12" s="34" t="s">
        <v>28</v>
      </c>
    </row>
    <row r="13" spans="1:14">
      <c r="B13" s="36" t="s">
        <v>0</v>
      </c>
      <c r="C13" s="36" t="s">
        <v>0</v>
      </c>
      <c r="D13" s="37" t="s">
        <v>112</v>
      </c>
      <c r="E13" s="36" t="s">
        <v>113</v>
      </c>
      <c r="F13" s="36" t="s">
        <v>0</v>
      </c>
      <c r="G13" s="36" t="s">
        <v>113</v>
      </c>
      <c r="H13" s="36" t="s">
        <v>0</v>
      </c>
    </row>
    <row r="14" spans="1:14" ht="16.5">
      <c r="B14" s="32"/>
      <c r="C14" s="32"/>
      <c r="D14" s="32"/>
      <c r="E14" s="32"/>
      <c r="F14" s="32"/>
      <c r="G14" s="32"/>
      <c r="H14" s="32"/>
    </row>
    <row r="15" spans="1:14" ht="16.5">
      <c r="B15" s="10"/>
      <c r="C15" s="10"/>
      <c r="D15" s="10"/>
      <c r="E15" s="10"/>
      <c r="F15" s="10"/>
      <c r="G15" s="10"/>
      <c r="H15" s="10"/>
    </row>
    <row r="16" spans="1:14" ht="17.25">
      <c r="B16" s="59" t="str">
        <f>+'S&amp;D'!A22</f>
        <v xml:space="preserve">FedEx Corp </v>
      </c>
      <c r="C16" s="85" t="str">
        <f>+'S&amp;D'!B22</f>
        <v>FDX</v>
      </c>
      <c r="D16" s="162">
        <f>+'S&amp;D'!G22</f>
        <v>281.33</v>
      </c>
      <c r="E16" s="274">
        <v>366.95</v>
      </c>
      <c r="F16" s="319">
        <f t="shared" ref="F16:F17" si="0">D16/E16</f>
        <v>0.76667120861152749</v>
      </c>
      <c r="G16" s="274">
        <v>119.25</v>
      </c>
      <c r="H16" s="319">
        <f t="shared" ref="H16:H17" si="1">D16/G16</f>
        <v>2.3591614255765196</v>
      </c>
    </row>
    <row r="17" spans="1:8" ht="17.25">
      <c r="B17" s="59" t="str">
        <f>+'S&amp;D'!A23</f>
        <v xml:space="preserve">United Parcel Service </v>
      </c>
      <c r="C17" s="85" t="str">
        <f>+'S&amp;D'!B23</f>
        <v>UPS</v>
      </c>
      <c r="D17" s="162">
        <f>+'S&amp;D'!G23</f>
        <v>126.1</v>
      </c>
      <c r="E17" s="274">
        <v>103</v>
      </c>
      <c r="F17" s="319">
        <f t="shared" si="0"/>
        <v>1.2242718446601941</v>
      </c>
      <c r="G17" s="274">
        <v>18.55</v>
      </c>
      <c r="H17" s="319">
        <f t="shared" si="1"/>
        <v>6.7978436657681938</v>
      </c>
    </row>
    <row r="18" spans="1:8" ht="11.25" customHeight="1" thickBot="1">
      <c r="B18" s="10"/>
      <c r="C18" s="66"/>
      <c r="D18" s="66"/>
      <c r="E18" s="66"/>
      <c r="F18" s="320"/>
      <c r="G18" s="66"/>
      <c r="H18" s="320"/>
    </row>
    <row r="19" spans="1:8" ht="17.25" thickTop="1">
      <c r="B19" s="10"/>
      <c r="D19" s="12" t="s">
        <v>45</v>
      </c>
      <c r="E19" s="309">
        <f>MAX(E16:E17)</f>
        <v>366.95</v>
      </c>
      <c r="F19" s="309">
        <f>MAX(F16:F17)</f>
        <v>1.2242718446601941</v>
      </c>
      <c r="G19" s="309">
        <f>MAX(G16:G17)</f>
        <v>119.25</v>
      </c>
      <c r="H19" s="309">
        <f>MAX(H16:H17)</f>
        <v>6.7978436657681938</v>
      </c>
    </row>
    <row r="20" spans="1:8" ht="16.5">
      <c r="B20" s="10"/>
      <c r="D20" s="282" t="s">
        <v>46</v>
      </c>
      <c r="E20" s="310">
        <f>MIN(E16:E17)</f>
        <v>103</v>
      </c>
      <c r="F20" s="310">
        <f>MIN(F16:F17)</f>
        <v>0.76667120861152749</v>
      </c>
      <c r="G20" s="310">
        <f>MIN(G16:G17)</f>
        <v>18.55</v>
      </c>
      <c r="H20" s="310">
        <f>MIN(H16:H17)</f>
        <v>2.3591614255765196</v>
      </c>
    </row>
    <row r="21" spans="1:8" ht="16.5">
      <c r="B21" s="10"/>
      <c r="D21" s="12" t="s">
        <v>18</v>
      </c>
      <c r="E21" s="67" t="s">
        <v>0</v>
      </c>
      <c r="F21" s="19">
        <f>MEDIAN(F16:F17)</f>
        <v>0.9954715266358608</v>
      </c>
      <c r="G21" s="67" t="s">
        <v>0</v>
      </c>
      <c r="H21" s="16">
        <f>MEDIAN(H16:H17)</f>
        <v>4.5785025456723574</v>
      </c>
    </row>
    <row r="22" spans="1:8" ht="16.5">
      <c r="B22" s="10"/>
      <c r="D22" s="12" t="s">
        <v>374</v>
      </c>
      <c r="E22" s="15" t="s">
        <v>0</v>
      </c>
      <c r="F22" s="17">
        <f>AVERAGE(F16:F17)</f>
        <v>0.9954715266358608</v>
      </c>
      <c r="G22" s="15" t="s">
        <v>0</v>
      </c>
      <c r="H22" s="16">
        <f>AVERAGE(H16:H17)</f>
        <v>4.5785025456723565</v>
      </c>
    </row>
    <row r="23" spans="1:8" ht="16.5">
      <c r="B23" s="10"/>
      <c r="C23" s="10"/>
      <c r="D23" s="10"/>
      <c r="E23" s="10"/>
      <c r="F23" s="10"/>
      <c r="G23" s="10"/>
      <c r="H23" s="10"/>
    </row>
    <row r="24" spans="1:8" ht="16.5">
      <c r="B24" s="10"/>
      <c r="C24" s="10"/>
      <c r="D24" s="10"/>
      <c r="E24" s="10"/>
      <c r="F24" s="10"/>
      <c r="G24" s="10"/>
      <c r="H24" s="10"/>
    </row>
    <row r="25" spans="1:8" ht="17.25" thickBot="1">
      <c r="B25" s="10"/>
      <c r="C25" s="10"/>
      <c r="D25" s="10"/>
      <c r="E25" s="10"/>
      <c r="F25" s="10"/>
      <c r="H25" s="10"/>
    </row>
    <row r="26" spans="1:8" ht="27" thickBot="1">
      <c r="B26" s="70" t="s">
        <v>0</v>
      </c>
      <c r="C26" s="10"/>
      <c r="D26" s="21" t="s">
        <v>118</v>
      </c>
      <c r="E26" s="21"/>
      <c r="F26" s="352">
        <v>1</v>
      </c>
      <c r="H26" s="352">
        <v>4.58</v>
      </c>
    </row>
    <row r="27" spans="1:8" ht="16.5">
      <c r="B27" s="70" t="s">
        <v>0</v>
      </c>
      <c r="C27" s="10"/>
      <c r="D27" s="10"/>
      <c r="E27" s="10"/>
      <c r="F27" s="10"/>
      <c r="H27" s="10"/>
    </row>
    <row r="28" spans="1:8" ht="16.5">
      <c r="B28" s="70"/>
      <c r="C28" s="10"/>
      <c r="D28" s="10"/>
      <c r="E28" s="10"/>
      <c r="F28" s="10"/>
      <c r="H28" s="10"/>
    </row>
    <row r="29" spans="1:8" ht="17.25">
      <c r="A29" s="101" t="s">
        <v>346</v>
      </c>
      <c r="B29" s="70"/>
      <c r="C29" s="10"/>
      <c r="D29" s="10"/>
      <c r="E29" s="10"/>
      <c r="F29" s="10"/>
      <c r="H29" s="10"/>
    </row>
    <row r="30" spans="1:8" ht="17.25">
      <c r="A30" s="101" t="s">
        <v>328</v>
      </c>
      <c r="B30" s="70"/>
      <c r="C30" s="10"/>
      <c r="D30" s="10"/>
      <c r="E30" s="10"/>
      <c r="F30" s="10"/>
      <c r="G30" s="10"/>
      <c r="H30" s="10"/>
    </row>
    <row r="31" spans="1:8" ht="16.5">
      <c r="B31" s="70"/>
      <c r="C31" s="10"/>
      <c r="D31" s="10"/>
      <c r="E31" s="10"/>
      <c r="F31" s="10"/>
      <c r="G31" s="10"/>
      <c r="H31" s="10"/>
    </row>
    <row r="32" spans="1:8" ht="17.25">
      <c r="A32" s="101" t="s">
        <v>347</v>
      </c>
      <c r="B32" s="70"/>
      <c r="C32" s="10"/>
      <c r="D32" s="10"/>
      <c r="E32" s="10"/>
      <c r="F32" s="10"/>
      <c r="G32" s="10"/>
      <c r="H32" s="10"/>
    </row>
    <row r="33" spans="1:14" ht="17.25">
      <c r="A33" s="101" t="s">
        <v>326</v>
      </c>
      <c r="B33" s="70"/>
      <c r="C33" s="10"/>
      <c r="D33" s="10"/>
      <c r="E33" s="10"/>
      <c r="F33" s="10"/>
      <c r="G33" s="10"/>
      <c r="H33" s="10"/>
    </row>
    <row r="34" spans="1:14" ht="17.25">
      <c r="A34" s="101" t="s">
        <v>327</v>
      </c>
      <c r="B34" s="70"/>
      <c r="C34" s="10"/>
      <c r="D34" s="10"/>
      <c r="E34" s="10"/>
      <c r="F34" s="10"/>
      <c r="G34" s="10"/>
      <c r="H34" s="10"/>
    </row>
    <row r="35" spans="1:14" ht="16.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ht="16.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</sheetData>
  <pageMargins left="0.25" right="0.25" top="0.75" bottom="0.75" header="0.3" footer="0.3"/>
  <pageSetup scale="4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0">
    <tabColor rgb="FF92D050"/>
  </sheetPr>
  <dimension ref="A1"/>
  <sheetViews>
    <sheetView workbookViewId="0">
      <selection activeCell="L7" sqref="L7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  <pageSetUpPr fitToPage="1"/>
  </sheetPr>
  <dimension ref="A1:K31"/>
  <sheetViews>
    <sheetView view="pageBreakPreview" zoomScale="80" zoomScaleNormal="80" zoomScaleSheetLayoutView="80" workbookViewId="0">
      <selection activeCell="G30" sqref="G30"/>
    </sheetView>
  </sheetViews>
  <sheetFormatPr defaultRowHeight="15"/>
  <cols>
    <col min="1" max="1" width="22.140625" customWidth="1"/>
    <col min="2" max="2" width="39.85546875" customWidth="1"/>
    <col min="3" max="3" width="16.85546875" customWidth="1"/>
    <col min="4" max="4" width="35.140625" customWidth="1"/>
    <col min="5" max="5" width="18" customWidth="1"/>
    <col min="6" max="6" width="20.85546875" bestFit="1" customWidth="1"/>
    <col min="7" max="7" width="22" customWidth="1"/>
    <col min="8" max="8" width="23.85546875" customWidth="1"/>
  </cols>
  <sheetData>
    <row r="1" spans="1:11" ht="26.25">
      <c r="A1" s="21" t="s">
        <v>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17.25" customHeight="1">
      <c r="A3" s="23" t="s">
        <v>409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17.25" customHeight="1">
      <c r="B4" s="23"/>
      <c r="C4" s="10"/>
      <c r="D4" s="10"/>
      <c r="E4" s="10"/>
      <c r="F4" s="10"/>
      <c r="G4" s="10"/>
      <c r="H4" s="10"/>
      <c r="I4" s="10"/>
      <c r="J4" s="10"/>
      <c r="K4" s="10"/>
    </row>
    <row r="5" spans="1:11" ht="17.25" customHeight="1">
      <c r="B5" s="135"/>
      <c r="C5" s="10"/>
      <c r="D5" s="10"/>
      <c r="E5" s="10"/>
      <c r="F5" s="10"/>
      <c r="G5" s="10"/>
      <c r="H5" s="10"/>
      <c r="I5" s="10"/>
      <c r="J5" s="10"/>
      <c r="K5" s="10"/>
    </row>
    <row r="6" spans="1:11" ht="17.25" customHeight="1">
      <c r="B6" s="135"/>
      <c r="C6" s="10"/>
      <c r="D6" s="10"/>
      <c r="E6" s="10"/>
      <c r="F6" s="10"/>
      <c r="G6" s="10"/>
      <c r="H6" s="10"/>
      <c r="I6" s="10"/>
      <c r="J6" s="10"/>
      <c r="K6" s="10"/>
    </row>
    <row r="7" spans="1:11" ht="17.25" customHeight="1">
      <c r="B7" s="135"/>
      <c r="C7" s="10"/>
      <c r="D7" s="10"/>
      <c r="E7" s="10"/>
      <c r="F7" s="10"/>
      <c r="G7" s="10"/>
      <c r="H7" s="10"/>
      <c r="I7" s="10"/>
      <c r="J7" s="10"/>
      <c r="K7" s="10"/>
    </row>
    <row r="8" spans="1:11" ht="16.5">
      <c r="B8" s="23"/>
      <c r="C8" s="10"/>
      <c r="D8" s="10"/>
      <c r="E8" s="10"/>
      <c r="F8" s="10"/>
      <c r="G8" s="10"/>
      <c r="H8" s="10"/>
      <c r="I8" s="10"/>
      <c r="J8" s="10"/>
      <c r="K8" s="10"/>
    </row>
    <row r="9" spans="1:11" ht="20.25">
      <c r="B9" s="10"/>
      <c r="C9" s="10"/>
      <c r="D9" s="73" t="s">
        <v>0</v>
      </c>
      <c r="E9" s="10"/>
      <c r="F9" s="10"/>
      <c r="G9" s="10"/>
      <c r="H9" s="10"/>
      <c r="I9" s="10"/>
      <c r="J9" s="10"/>
      <c r="K9" s="10"/>
    </row>
    <row r="10" spans="1:11" ht="20.25">
      <c r="B10" s="10"/>
      <c r="C10" s="10"/>
      <c r="D10" s="73" t="s">
        <v>63</v>
      </c>
      <c r="E10" s="10"/>
      <c r="F10" s="10"/>
      <c r="G10" s="10"/>
      <c r="H10" s="10"/>
      <c r="I10" s="10"/>
      <c r="J10" s="10"/>
      <c r="K10" s="10"/>
    </row>
    <row r="11" spans="1:11" ht="16.5"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ht="16.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6.5">
      <c r="B13" s="10"/>
      <c r="C13" s="10"/>
      <c r="D13" s="10"/>
      <c r="E13" s="24"/>
      <c r="F13" s="10"/>
      <c r="G13" s="10"/>
      <c r="H13" s="10"/>
      <c r="I13" s="10"/>
      <c r="J13" s="10"/>
      <c r="K13" s="10"/>
    </row>
    <row r="14" spans="1:11" ht="16.5"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ht="17.25" thickBot="1">
      <c r="B15" s="10"/>
      <c r="C15" s="26"/>
      <c r="D15" s="26"/>
      <c r="E15" s="26"/>
      <c r="F15" s="10"/>
      <c r="G15" s="10"/>
      <c r="H15" s="10"/>
      <c r="I15" s="10"/>
      <c r="J15" s="10"/>
      <c r="K15" s="10"/>
    </row>
    <row r="16" spans="1:11" ht="26.25">
      <c r="B16" s="10"/>
      <c r="C16" s="10"/>
      <c r="D16" s="29" t="str">
        <f>+'S&amp;D'!A12</f>
        <v>Air Freight Carriers</v>
      </c>
      <c r="E16" s="10"/>
      <c r="F16" s="10"/>
      <c r="G16" s="10"/>
      <c r="H16" s="10"/>
      <c r="I16" s="10"/>
      <c r="J16" s="10"/>
      <c r="K16" s="10"/>
    </row>
    <row r="17" spans="2:11" ht="17.25" thickBot="1">
      <c r="B17" s="10"/>
      <c r="C17" s="26"/>
      <c r="D17" s="34" t="s">
        <v>0</v>
      </c>
      <c r="E17" s="26"/>
      <c r="F17" s="10"/>
      <c r="G17" s="10"/>
      <c r="H17" s="10"/>
      <c r="I17" s="10"/>
      <c r="J17" s="10"/>
      <c r="K17" s="10"/>
    </row>
    <row r="18" spans="2:11" ht="17.25" thickBot="1">
      <c r="B18" s="26"/>
      <c r="C18" s="26"/>
      <c r="D18" s="34" t="s">
        <v>0</v>
      </c>
      <c r="E18" s="26"/>
      <c r="F18" s="26"/>
      <c r="G18" s="26"/>
      <c r="H18" s="10"/>
      <c r="I18" s="10"/>
      <c r="J18" s="10"/>
      <c r="K18" s="10"/>
    </row>
    <row r="19" spans="2:11" ht="16.5">
      <c r="B19" s="32" t="s">
        <v>31</v>
      </c>
      <c r="C19" s="32" t="s">
        <v>32</v>
      </c>
      <c r="D19" s="32" t="s">
        <v>33</v>
      </c>
      <c r="E19" s="32" t="s">
        <v>67</v>
      </c>
      <c r="F19" s="32" t="s">
        <v>33</v>
      </c>
      <c r="G19" s="32" t="s">
        <v>34</v>
      </c>
      <c r="H19" s="10"/>
      <c r="I19" s="10"/>
      <c r="J19" s="10"/>
      <c r="K19" s="10"/>
    </row>
    <row r="20" spans="2:11" ht="17.25" thickBot="1">
      <c r="B20" s="34" t="s">
        <v>32</v>
      </c>
      <c r="C20" s="34" t="s">
        <v>35</v>
      </c>
      <c r="D20" s="34" t="s">
        <v>36</v>
      </c>
      <c r="E20" s="34" t="s">
        <v>23</v>
      </c>
      <c r="F20" s="34" t="s">
        <v>37</v>
      </c>
      <c r="G20" s="34" t="s">
        <v>38</v>
      </c>
      <c r="H20" s="10"/>
      <c r="I20" s="10"/>
      <c r="J20" s="10"/>
      <c r="K20" s="10"/>
    </row>
    <row r="21" spans="2:11" ht="16.5"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10"/>
      <c r="I21" s="10"/>
      <c r="J21" s="10"/>
      <c r="K21" s="10"/>
    </row>
    <row r="22" spans="2:11" ht="16.5">
      <c r="B22" s="32"/>
      <c r="C22" s="32"/>
      <c r="D22" s="32"/>
      <c r="E22" s="32"/>
      <c r="F22" s="32"/>
      <c r="G22" s="32"/>
      <c r="H22" s="10"/>
      <c r="I22" s="10"/>
      <c r="J22" s="10"/>
      <c r="K22" s="10"/>
    </row>
    <row r="23" spans="2:11" ht="17.25">
      <c r="B23" s="85" t="s">
        <v>39</v>
      </c>
      <c r="C23" s="127">
        <f>'S&amp;D'!J40</f>
        <v>0.73</v>
      </c>
      <c r="D23" s="127">
        <f>+'Indicated Yield Equity Rate '!D50</f>
        <v>0.10009999999999999</v>
      </c>
      <c r="E23" s="98" t="s">
        <v>40</v>
      </c>
      <c r="F23" s="127">
        <f>+D23</f>
        <v>0.10009999999999999</v>
      </c>
      <c r="G23" s="128">
        <f>+F23*C23</f>
        <v>7.3072999999999999E-2</v>
      </c>
      <c r="H23" s="10"/>
      <c r="I23" s="10"/>
      <c r="J23" s="10"/>
      <c r="K23" s="10"/>
    </row>
    <row r="24" spans="2:11" ht="17.25">
      <c r="B24" s="85" t="s">
        <v>0</v>
      </c>
      <c r="C24" s="98" t="s">
        <v>0</v>
      </c>
      <c r="D24" s="98" t="s">
        <v>0</v>
      </c>
      <c r="E24" s="98" t="s">
        <v>0</v>
      </c>
      <c r="F24" s="129" t="s">
        <v>0</v>
      </c>
      <c r="G24" s="117" t="s">
        <v>0</v>
      </c>
      <c r="H24" s="10"/>
      <c r="I24" s="10"/>
      <c r="J24" s="10"/>
      <c r="K24" s="10"/>
    </row>
    <row r="25" spans="2:11" ht="17.25">
      <c r="B25" s="85" t="s">
        <v>41</v>
      </c>
      <c r="C25" s="127">
        <f>'S&amp;D'!K40</f>
        <v>0.27</v>
      </c>
      <c r="D25" s="127">
        <f>+Debt!J24</f>
        <v>5.67E-2</v>
      </c>
      <c r="E25" s="127">
        <v>0.26</v>
      </c>
      <c r="F25" s="127">
        <f>+D25*(1-E25)</f>
        <v>4.1958000000000002E-2</v>
      </c>
      <c r="G25" s="128">
        <f>+C25*F25</f>
        <v>1.1328660000000001E-2</v>
      </c>
      <c r="H25" s="10"/>
      <c r="I25" s="10"/>
      <c r="J25" s="10"/>
      <c r="K25" s="10"/>
    </row>
    <row r="26" spans="2:11" ht="18" thickBot="1">
      <c r="B26" s="92" t="s">
        <v>0</v>
      </c>
      <c r="C26" s="92" t="s">
        <v>0</v>
      </c>
      <c r="D26" s="92" t="s">
        <v>0</v>
      </c>
      <c r="E26" s="92" t="s">
        <v>0</v>
      </c>
      <c r="F26" s="130" t="s">
        <v>0</v>
      </c>
      <c r="G26" s="131" t="s">
        <v>0</v>
      </c>
      <c r="H26" s="10"/>
      <c r="I26" s="10"/>
      <c r="J26" s="10"/>
      <c r="K26" s="10"/>
    </row>
    <row r="27" spans="2:11" ht="17.25">
      <c r="B27" s="85" t="s">
        <v>70</v>
      </c>
      <c r="C27" s="132">
        <f>+C23+C25</f>
        <v>1</v>
      </c>
      <c r="D27" s="85" t="s">
        <v>0</v>
      </c>
      <c r="E27" s="85" t="s">
        <v>0</v>
      </c>
      <c r="F27" s="133" t="s">
        <v>0</v>
      </c>
      <c r="G27" s="128">
        <f>+G23+G25</f>
        <v>8.4401660000000003E-2</v>
      </c>
      <c r="H27" s="10"/>
      <c r="I27" s="10"/>
      <c r="J27" s="10"/>
      <c r="K27" s="10"/>
    </row>
    <row r="28" spans="2:11" ht="18" thickBot="1">
      <c r="B28" s="59"/>
      <c r="C28" s="59"/>
      <c r="D28" s="59"/>
      <c r="E28" s="59"/>
      <c r="F28" s="59"/>
      <c r="G28" s="134"/>
      <c r="H28" s="10"/>
      <c r="I28" s="10"/>
      <c r="J28" s="10"/>
      <c r="K28" s="10"/>
    </row>
    <row r="29" spans="2:11" ht="18" thickBot="1">
      <c r="B29" s="10"/>
      <c r="C29" s="10"/>
      <c r="D29" s="10"/>
      <c r="E29" s="10"/>
      <c r="F29" s="179" t="s">
        <v>73</v>
      </c>
      <c r="G29" s="353">
        <v>8.4400000000000003E-2</v>
      </c>
      <c r="H29" s="10"/>
      <c r="I29" s="10"/>
      <c r="J29" s="10"/>
      <c r="K29" s="10"/>
    </row>
    <row r="30" spans="2:11" ht="16.5"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2:11" ht="16.5">
      <c r="B31" s="10"/>
      <c r="C31" s="10"/>
      <c r="D31" s="10"/>
      <c r="E31" s="10"/>
      <c r="F31" s="10"/>
      <c r="G31" s="10"/>
      <c r="H31" s="10"/>
      <c r="I31" s="10"/>
      <c r="J31" s="10"/>
      <c r="K31" s="10"/>
    </row>
  </sheetData>
  <pageMargins left="0.25" right="0.25" top="0.75" bottom="0.7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5631F-B284-4F75-B05C-C409AB53D71E}">
  <sheetPr codeName="Sheet3">
    <tabColor rgb="FF92D050"/>
    <pageSetUpPr fitToPage="1"/>
  </sheetPr>
  <dimension ref="A1:K64"/>
  <sheetViews>
    <sheetView view="pageBreakPreview" topLeftCell="A6" zoomScale="80" zoomScaleNormal="80" zoomScaleSheetLayoutView="80" workbookViewId="0">
      <selection activeCell="D56" sqref="D56"/>
    </sheetView>
  </sheetViews>
  <sheetFormatPr defaultRowHeight="15"/>
  <cols>
    <col min="1" max="1" width="17.140625" customWidth="1"/>
    <col min="2" max="2" width="31.85546875" customWidth="1"/>
    <col min="3" max="3" width="16.5703125" customWidth="1"/>
    <col min="4" max="4" width="35.140625" customWidth="1"/>
    <col min="5" max="5" width="14.85546875" customWidth="1"/>
    <col min="6" max="6" width="25.85546875" customWidth="1"/>
    <col min="7" max="7" width="24.140625" customWidth="1"/>
    <col min="8" max="8" width="17.85546875" customWidth="1"/>
  </cols>
  <sheetData>
    <row r="1" spans="1:11" ht="26.25">
      <c r="A1" s="21" t="s">
        <v>1</v>
      </c>
      <c r="C1" s="10"/>
      <c r="D1" s="10"/>
      <c r="E1" s="10"/>
      <c r="F1" s="10"/>
      <c r="G1" s="10"/>
      <c r="H1" s="10"/>
      <c r="I1" s="10"/>
      <c r="J1" s="10"/>
      <c r="K1" s="10"/>
    </row>
    <row r="2" spans="1:11" ht="17.25">
      <c r="A2" s="22" t="s">
        <v>9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16.5">
      <c r="A3" s="23" t="s">
        <v>409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16.5">
      <c r="B4" s="23"/>
      <c r="C4" s="10"/>
      <c r="D4" s="10"/>
      <c r="E4" s="10"/>
      <c r="F4" s="10"/>
      <c r="G4" s="10"/>
      <c r="H4" s="10"/>
      <c r="I4" s="10"/>
      <c r="J4" s="10"/>
      <c r="K4" s="10"/>
    </row>
    <row r="5" spans="1:11" ht="16.5">
      <c r="B5" s="23"/>
      <c r="C5" s="10"/>
      <c r="D5" s="10"/>
      <c r="E5" s="10"/>
      <c r="F5" s="10"/>
      <c r="G5" s="10"/>
      <c r="H5" s="10"/>
      <c r="I5" s="10"/>
      <c r="J5" s="10"/>
      <c r="K5" s="10"/>
    </row>
    <row r="6" spans="1:11" ht="16.5">
      <c r="B6" s="23"/>
      <c r="C6" s="10"/>
      <c r="D6" s="10"/>
      <c r="E6" s="10"/>
      <c r="F6" s="10"/>
      <c r="G6" s="10"/>
      <c r="H6" s="10"/>
      <c r="I6" s="10"/>
      <c r="J6" s="10"/>
      <c r="K6" s="10"/>
    </row>
    <row r="7" spans="1:11" ht="16.5">
      <c r="B7" s="23"/>
      <c r="C7" s="10"/>
      <c r="D7" s="10"/>
      <c r="E7" s="10"/>
      <c r="F7" s="10"/>
      <c r="G7" s="10"/>
      <c r="H7" s="10"/>
      <c r="I7" s="10"/>
      <c r="J7" s="10"/>
      <c r="K7" s="10"/>
    </row>
    <row r="8" spans="1:11" ht="16.5">
      <c r="B8" s="23"/>
      <c r="C8" s="10"/>
      <c r="D8" s="10"/>
      <c r="E8" s="10"/>
      <c r="F8" s="10"/>
      <c r="G8" s="10"/>
      <c r="H8" s="10"/>
      <c r="I8" s="10"/>
      <c r="J8" s="10"/>
      <c r="K8" s="10"/>
    </row>
    <row r="9" spans="1:11" ht="16.5">
      <c r="B9" s="23"/>
      <c r="C9" s="10"/>
      <c r="D9" s="10"/>
      <c r="E9" s="10"/>
      <c r="F9" s="10"/>
      <c r="G9" s="10"/>
      <c r="H9" s="10"/>
      <c r="I9" s="10"/>
      <c r="J9" s="10"/>
      <c r="K9" s="10"/>
    </row>
    <row r="10" spans="1:11" ht="20.25">
      <c r="B10" s="10"/>
      <c r="C10" s="10"/>
      <c r="D10" s="73" t="s">
        <v>0</v>
      </c>
      <c r="E10" s="10"/>
      <c r="F10" s="10"/>
      <c r="G10" s="10"/>
      <c r="H10" s="10"/>
      <c r="I10" s="10"/>
      <c r="J10" s="10"/>
      <c r="K10" s="10"/>
    </row>
    <row r="11" spans="1:11" ht="20.25">
      <c r="B11" s="10"/>
      <c r="C11" s="10"/>
      <c r="D11" s="73" t="s">
        <v>62</v>
      </c>
      <c r="E11" s="10"/>
      <c r="F11" s="10"/>
      <c r="G11" s="10"/>
      <c r="H11" s="10"/>
      <c r="I11" s="10"/>
      <c r="J11" s="10"/>
      <c r="K11" s="10"/>
    </row>
    <row r="12" spans="1:11" ht="16.5"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ht="16.5"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ht="17.25" thickBot="1">
      <c r="B14" s="10"/>
      <c r="C14" s="26"/>
      <c r="D14" s="26"/>
      <c r="E14" s="26"/>
      <c r="F14" s="10"/>
      <c r="G14" s="10"/>
      <c r="H14" s="10"/>
      <c r="I14" s="10"/>
      <c r="J14" s="10"/>
      <c r="K14" s="10"/>
    </row>
    <row r="15" spans="1:11" ht="26.25">
      <c r="B15" s="10"/>
      <c r="C15" s="10"/>
      <c r="D15" s="29" t="str">
        <f>+'S&amp;D'!A12</f>
        <v>Air Freight Carriers</v>
      </c>
      <c r="E15" s="10"/>
      <c r="F15" s="10"/>
      <c r="G15" s="10"/>
      <c r="H15" s="10"/>
      <c r="I15" s="10"/>
      <c r="J15" s="10"/>
      <c r="K15" s="10"/>
    </row>
    <row r="16" spans="1:11" ht="21" thickBot="1">
      <c r="B16" s="10"/>
      <c r="C16" s="26"/>
      <c r="D16" s="126" t="s">
        <v>69</v>
      </c>
      <c r="E16" s="26"/>
      <c r="F16" s="10"/>
      <c r="G16" s="10"/>
      <c r="H16" s="10"/>
      <c r="I16" s="10"/>
      <c r="J16" s="10"/>
      <c r="K16" s="10"/>
    </row>
    <row r="17" spans="2:11" ht="16.5">
      <c r="H17" s="10"/>
      <c r="I17" s="10"/>
      <c r="J17" s="10"/>
      <c r="K17" s="10"/>
    </row>
    <row r="18" spans="2:11" ht="17.25" thickBot="1">
      <c r="B18" s="26"/>
      <c r="C18" s="26"/>
      <c r="D18" s="34" t="s">
        <v>0</v>
      </c>
      <c r="E18" s="26"/>
      <c r="F18" s="26"/>
      <c r="G18" s="26"/>
      <c r="H18" s="10"/>
      <c r="I18" s="10"/>
      <c r="J18" s="10"/>
      <c r="K18" s="10"/>
    </row>
    <row r="19" spans="2:11" ht="16.5">
      <c r="B19" s="32" t="s">
        <v>31</v>
      </c>
      <c r="C19" s="32" t="s">
        <v>32</v>
      </c>
      <c r="D19" s="32" t="s">
        <v>66</v>
      </c>
      <c r="E19" s="32" t="s">
        <v>67</v>
      </c>
      <c r="F19" s="32" t="s">
        <v>65</v>
      </c>
      <c r="G19" s="32" t="s">
        <v>34</v>
      </c>
      <c r="H19" s="10"/>
      <c r="I19" s="10"/>
      <c r="J19" s="10"/>
      <c r="K19" s="10"/>
    </row>
    <row r="20" spans="2:11" ht="17.25" thickBot="1">
      <c r="B20" s="34" t="s">
        <v>32</v>
      </c>
      <c r="C20" s="34" t="s">
        <v>35</v>
      </c>
      <c r="D20" s="34" t="s">
        <v>36</v>
      </c>
      <c r="E20" s="34" t="s">
        <v>23</v>
      </c>
      <c r="F20" s="34" t="s">
        <v>37</v>
      </c>
      <c r="G20" s="34" t="s">
        <v>68</v>
      </c>
      <c r="H20" s="10"/>
      <c r="I20" s="10"/>
      <c r="J20" s="10"/>
      <c r="K20" s="10"/>
    </row>
    <row r="21" spans="2:11" ht="16.5">
      <c r="B21" s="36" t="s">
        <v>0</v>
      </c>
      <c r="C21" s="36" t="s">
        <v>0</v>
      </c>
      <c r="D21" s="36" t="s">
        <v>0</v>
      </c>
      <c r="E21" s="36" t="s">
        <v>0</v>
      </c>
      <c r="F21" s="36" t="s">
        <v>0</v>
      </c>
      <c r="G21" s="36" t="s">
        <v>0</v>
      </c>
      <c r="H21" s="10"/>
      <c r="I21" s="10"/>
      <c r="J21" s="10"/>
      <c r="K21" s="10"/>
    </row>
    <row r="22" spans="2:11" ht="16.5">
      <c r="B22" s="32"/>
      <c r="C22" s="32"/>
      <c r="D22" s="32"/>
      <c r="E22" s="32"/>
      <c r="F22" s="32"/>
      <c r="G22" s="32"/>
      <c r="H22" s="10"/>
      <c r="I22" s="10"/>
      <c r="J22" s="10"/>
      <c r="K22" s="10"/>
    </row>
    <row r="23" spans="2:11" ht="17.25">
      <c r="B23" s="85" t="s">
        <v>39</v>
      </c>
      <c r="C23" s="127">
        <f>'S&amp;D'!J40</f>
        <v>0.73</v>
      </c>
      <c r="D23" s="127">
        <f>+'Direct NOPAT'!J28</f>
        <v>6.3399999999999998E-2</v>
      </c>
      <c r="E23" s="98" t="s">
        <v>40</v>
      </c>
      <c r="F23" s="127">
        <f>+D23</f>
        <v>6.3399999999999998E-2</v>
      </c>
      <c r="G23" s="128">
        <f>+F23*C23</f>
        <v>4.6281999999999997E-2</v>
      </c>
      <c r="H23" s="10"/>
      <c r="I23" s="10"/>
      <c r="J23" s="10"/>
      <c r="K23" s="10"/>
    </row>
    <row r="24" spans="2:11" ht="17.25">
      <c r="B24" s="85" t="s">
        <v>0</v>
      </c>
      <c r="C24" s="98" t="s">
        <v>0</v>
      </c>
      <c r="D24" s="98" t="s">
        <v>0</v>
      </c>
      <c r="E24" s="98" t="s">
        <v>0</v>
      </c>
      <c r="F24" s="129" t="s">
        <v>0</v>
      </c>
      <c r="G24" s="117" t="s">
        <v>0</v>
      </c>
      <c r="H24" s="10"/>
      <c r="I24" s="10"/>
      <c r="J24" s="10"/>
      <c r="K24" s="10"/>
    </row>
    <row r="25" spans="2:11" ht="17.25">
      <c r="B25" s="85" t="s">
        <v>41</v>
      </c>
      <c r="C25" s="127">
        <f>'S&amp;D'!K40</f>
        <v>0.27</v>
      </c>
      <c r="D25" s="127">
        <f>+Debt!J24</f>
        <v>5.67E-2</v>
      </c>
      <c r="E25" s="127">
        <v>0.26</v>
      </c>
      <c r="F25" s="127">
        <f>+D25*(1-E25)</f>
        <v>4.1958000000000002E-2</v>
      </c>
      <c r="G25" s="128">
        <f>+C25*F25</f>
        <v>1.1328660000000001E-2</v>
      </c>
      <c r="H25" s="10"/>
      <c r="I25" s="10"/>
      <c r="J25" s="10"/>
      <c r="K25" s="10"/>
    </row>
    <row r="26" spans="2:11" ht="18" thickBot="1">
      <c r="B26" s="92" t="s">
        <v>0</v>
      </c>
      <c r="C26" s="92" t="s">
        <v>0</v>
      </c>
      <c r="D26" s="92" t="s">
        <v>0</v>
      </c>
      <c r="E26" s="92" t="s">
        <v>0</v>
      </c>
      <c r="F26" s="130" t="s">
        <v>0</v>
      </c>
      <c r="G26" s="131" t="s">
        <v>0</v>
      </c>
      <c r="H26" s="10"/>
      <c r="I26" s="10"/>
      <c r="J26" s="10"/>
      <c r="K26" s="10"/>
    </row>
    <row r="27" spans="2:11" ht="17.25">
      <c r="B27" s="85" t="s">
        <v>42</v>
      </c>
      <c r="C27" s="132">
        <f>+C23+C25</f>
        <v>1</v>
      </c>
      <c r="D27" s="85" t="s">
        <v>0</v>
      </c>
      <c r="E27" s="85" t="s">
        <v>0</v>
      </c>
      <c r="F27" s="133" t="s">
        <v>0</v>
      </c>
      <c r="G27" s="128">
        <f>+G23+G25</f>
        <v>5.7610659999999994E-2</v>
      </c>
      <c r="H27" s="10"/>
      <c r="I27" s="10"/>
      <c r="J27" s="10"/>
      <c r="K27" s="10"/>
    </row>
    <row r="28" spans="2:11" ht="18" thickBot="1">
      <c r="B28" s="59"/>
      <c r="C28" s="59"/>
      <c r="D28" s="59"/>
      <c r="E28" s="59"/>
      <c r="F28" s="59"/>
      <c r="G28" s="134"/>
      <c r="H28" s="10"/>
      <c r="I28" s="10"/>
      <c r="J28" s="10"/>
      <c r="K28" s="10"/>
    </row>
    <row r="29" spans="2:11" ht="18" thickBot="1">
      <c r="B29" s="10"/>
      <c r="C29" s="10"/>
      <c r="D29" s="10"/>
      <c r="E29" s="10"/>
      <c r="F29" s="179" t="s">
        <v>73</v>
      </c>
      <c r="G29" s="353">
        <v>5.7599999999999998E-2</v>
      </c>
      <c r="H29" s="10"/>
      <c r="I29" s="10"/>
      <c r="J29" s="10"/>
      <c r="K29" s="10"/>
    </row>
    <row r="30" spans="2:11" ht="18" thickBot="1">
      <c r="B30" s="10"/>
      <c r="C30" s="10"/>
      <c r="D30" s="10"/>
      <c r="E30" s="10"/>
      <c r="F30" s="133"/>
      <c r="G30" s="128"/>
      <c r="H30" s="10"/>
      <c r="I30" s="10"/>
      <c r="J30" s="10"/>
      <c r="K30" s="10"/>
    </row>
    <row r="31" spans="2:11" ht="18" thickBot="1">
      <c r="B31" s="10"/>
      <c r="C31" s="10"/>
      <c r="D31" s="10"/>
      <c r="E31" s="10"/>
      <c r="F31" s="179" t="s">
        <v>221</v>
      </c>
      <c r="G31" s="204">
        <f>1/G29</f>
        <v>17.361111111111111</v>
      </c>
      <c r="H31" s="10"/>
      <c r="I31" s="10"/>
      <c r="J31" s="10"/>
      <c r="K31" s="10"/>
    </row>
    <row r="32" spans="2:11" ht="17.25">
      <c r="B32" s="10"/>
      <c r="C32" s="10"/>
      <c r="D32" s="10"/>
      <c r="E32" s="10"/>
      <c r="F32" s="133"/>
      <c r="G32" s="128"/>
      <c r="H32" s="10"/>
      <c r="I32" s="10"/>
      <c r="J32" s="10"/>
      <c r="K32" s="10"/>
    </row>
    <row r="33" spans="1:11" ht="17.25">
      <c r="B33" s="10"/>
      <c r="C33" s="10"/>
      <c r="D33" s="10"/>
      <c r="E33" s="10"/>
      <c r="F33" s="133"/>
      <c r="G33" s="128"/>
      <c r="H33" s="10"/>
      <c r="I33" s="10"/>
      <c r="J33" s="10"/>
      <c r="K33" s="10"/>
    </row>
    <row r="34" spans="1:11" ht="26.25">
      <c r="A34" s="21" t="s">
        <v>1</v>
      </c>
      <c r="C34" s="10"/>
      <c r="D34" s="10"/>
      <c r="E34" s="10"/>
      <c r="F34" s="133"/>
      <c r="G34" s="128"/>
      <c r="H34" s="10"/>
      <c r="I34" s="10"/>
      <c r="J34" s="10"/>
      <c r="K34" s="10"/>
    </row>
    <row r="35" spans="1:11" ht="17.25">
      <c r="A35" s="22" t="s">
        <v>9</v>
      </c>
      <c r="C35" s="10"/>
      <c r="D35" s="10"/>
      <c r="E35" s="10"/>
      <c r="F35" s="133"/>
      <c r="G35" s="128"/>
      <c r="H35" s="10"/>
      <c r="I35" s="10"/>
      <c r="J35" s="10"/>
      <c r="K35" s="10"/>
    </row>
    <row r="36" spans="1:11" ht="17.25">
      <c r="A36" s="23" t="s">
        <v>409</v>
      </c>
      <c r="C36" s="10"/>
      <c r="D36" s="10"/>
      <c r="E36" s="10"/>
      <c r="F36" s="133"/>
      <c r="G36" s="128"/>
      <c r="H36" s="10"/>
      <c r="I36" s="10"/>
      <c r="J36" s="10"/>
      <c r="K36" s="10"/>
    </row>
    <row r="37" spans="1:11" ht="17.25">
      <c r="A37" s="23"/>
      <c r="C37" s="10"/>
      <c r="D37" s="10"/>
      <c r="E37" s="10"/>
      <c r="F37" s="133"/>
      <c r="G37" s="128"/>
      <c r="H37" s="10"/>
      <c r="I37" s="10"/>
      <c r="J37" s="10"/>
      <c r="K37" s="10"/>
    </row>
    <row r="38" spans="1:11" ht="17.25">
      <c r="A38" s="23"/>
      <c r="C38" s="10"/>
      <c r="D38" s="10"/>
      <c r="E38" s="10"/>
      <c r="F38" s="133"/>
      <c r="G38" s="128"/>
      <c r="H38" s="10"/>
      <c r="I38" s="10"/>
      <c r="J38" s="10"/>
      <c r="K38" s="10"/>
    </row>
    <row r="39" spans="1:11" ht="17.25">
      <c r="A39" s="23"/>
      <c r="C39" s="10"/>
      <c r="D39" s="10"/>
      <c r="E39" s="10"/>
      <c r="F39" s="133"/>
      <c r="G39" s="128"/>
      <c r="H39" s="10"/>
      <c r="I39" s="10"/>
      <c r="J39" s="10"/>
      <c r="K39" s="10"/>
    </row>
    <row r="40" spans="1:11" ht="17.25">
      <c r="A40" s="23"/>
      <c r="C40" s="10"/>
      <c r="D40" s="10"/>
      <c r="E40" s="10"/>
      <c r="F40" s="133"/>
      <c r="G40" s="128"/>
      <c r="H40" s="10"/>
      <c r="I40" s="10"/>
      <c r="J40" s="10"/>
      <c r="K40" s="10"/>
    </row>
    <row r="41" spans="1:11" ht="17.25">
      <c r="A41" s="23"/>
      <c r="C41" s="10"/>
      <c r="D41" s="10"/>
      <c r="E41" s="10"/>
      <c r="F41" s="133"/>
      <c r="G41" s="128"/>
      <c r="H41" s="10"/>
      <c r="I41" s="10"/>
      <c r="J41" s="10"/>
      <c r="K41" s="10"/>
    </row>
    <row r="42" spans="1:11" ht="17.25">
      <c r="A42" s="23"/>
      <c r="C42" s="10"/>
      <c r="D42" s="10"/>
      <c r="E42" s="10"/>
      <c r="F42" s="133"/>
      <c r="G42" s="128"/>
      <c r="H42" s="10"/>
      <c r="I42" s="10"/>
      <c r="J42" s="10"/>
      <c r="K42" s="10"/>
    </row>
    <row r="43" spans="1:11" ht="17.25">
      <c r="A43" s="23"/>
      <c r="C43" s="10"/>
      <c r="D43" s="10"/>
      <c r="E43" s="10"/>
      <c r="F43" s="133"/>
      <c r="G43" s="128"/>
      <c r="H43" s="10"/>
      <c r="I43" s="10"/>
      <c r="J43" s="10"/>
      <c r="K43" s="10"/>
    </row>
    <row r="44" spans="1:11" ht="20.25">
      <c r="A44" s="23"/>
      <c r="C44" s="10"/>
      <c r="D44" s="73" t="s">
        <v>62</v>
      </c>
      <c r="E44" s="10"/>
      <c r="F44" s="133"/>
      <c r="G44" s="128"/>
      <c r="H44" s="10"/>
      <c r="I44" s="10"/>
      <c r="J44" s="10"/>
      <c r="K44" s="10"/>
    </row>
    <row r="45" spans="1:11" ht="20.25">
      <c r="A45" s="23"/>
      <c r="C45" s="10"/>
      <c r="D45" s="73"/>
      <c r="E45" s="10"/>
      <c r="F45" s="133"/>
      <c r="G45" s="128"/>
      <c r="H45" s="10"/>
      <c r="I45" s="10"/>
      <c r="J45" s="10"/>
      <c r="K45" s="10"/>
    </row>
    <row r="46" spans="1:11" ht="20.25">
      <c r="A46" s="23"/>
      <c r="C46" s="10"/>
      <c r="D46" s="73"/>
      <c r="E46" s="10"/>
      <c r="F46" s="133"/>
      <c r="G46" s="128"/>
      <c r="H46" s="10"/>
      <c r="I46" s="10"/>
      <c r="J46" s="10"/>
      <c r="K46" s="10"/>
    </row>
    <row r="47" spans="1:11" ht="17.25" thickBot="1">
      <c r="B47" s="10"/>
      <c r="C47" s="26"/>
      <c r="D47" s="26"/>
      <c r="E47" s="26"/>
      <c r="F47" s="10"/>
      <c r="G47" s="10"/>
      <c r="H47" s="10"/>
      <c r="I47" s="10"/>
      <c r="J47" s="10"/>
      <c r="K47" s="10"/>
    </row>
    <row r="48" spans="1:11" ht="26.25">
      <c r="B48" s="10"/>
      <c r="C48" s="10"/>
      <c r="D48" s="29" t="str">
        <f>+D15</f>
        <v>Air Freight Carriers</v>
      </c>
      <c r="E48" s="10"/>
      <c r="F48" s="10"/>
      <c r="G48" s="10"/>
      <c r="H48" s="10"/>
      <c r="I48" s="10"/>
      <c r="J48" s="10"/>
      <c r="K48" s="10"/>
    </row>
    <row r="49" spans="2:11" ht="21" thickBot="1">
      <c r="B49" s="10"/>
      <c r="C49" s="26"/>
      <c r="D49" s="126" t="s">
        <v>64</v>
      </c>
      <c r="E49" s="26"/>
      <c r="F49" s="10"/>
      <c r="G49" s="10"/>
      <c r="H49" s="10"/>
      <c r="I49" s="10"/>
      <c r="J49" s="10"/>
      <c r="K49" s="10"/>
    </row>
    <row r="50" spans="2:11" ht="16.5"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2:11" ht="17.25" thickBot="1">
      <c r="B51" s="26"/>
      <c r="C51" s="26"/>
      <c r="D51" s="34" t="s">
        <v>0</v>
      </c>
      <c r="E51" s="26"/>
      <c r="F51" s="26"/>
      <c r="G51" s="26"/>
      <c r="H51" s="10"/>
      <c r="I51" s="10"/>
      <c r="J51" s="10"/>
      <c r="K51" s="10"/>
    </row>
    <row r="52" spans="2:11" ht="16.5">
      <c r="B52" s="32" t="s">
        <v>31</v>
      </c>
      <c r="C52" s="32" t="s">
        <v>32</v>
      </c>
      <c r="D52" s="32" t="s">
        <v>66</v>
      </c>
      <c r="E52" s="32" t="s">
        <v>67</v>
      </c>
      <c r="F52" s="32" t="s">
        <v>65</v>
      </c>
      <c r="G52" s="32" t="s">
        <v>34</v>
      </c>
      <c r="H52" s="10"/>
      <c r="I52" s="10"/>
      <c r="J52" s="10"/>
      <c r="K52" s="10"/>
    </row>
    <row r="53" spans="2:11" ht="17.25" thickBot="1">
      <c r="B53" s="34" t="s">
        <v>32</v>
      </c>
      <c r="C53" s="34" t="s">
        <v>35</v>
      </c>
      <c r="D53" s="34" t="s">
        <v>36</v>
      </c>
      <c r="E53" s="34" t="s">
        <v>23</v>
      </c>
      <c r="F53" s="34" t="s">
        <v>37</v>
      </c>
      <c r="G53" s="34" t="s">
        <v>68</v>
      </c>
      <c r="H53" s="10"/>
      <c r="I53" s="10"/>
      <c r="J53" s="10"/>
      <c r="K53" s="10"/>
    </row>
    <row r="54" spans="2:11" ht="16.5">
      <c r="B54" s="36" t="s">
        <v>0</v>
      </c>
      <c r="C54" s="36" t="s">
        <v>0</v>
      </c>
      <c r="D54" s="36" t="s">
        <v>0</v>
      </c>
      <c r="E54" s="36" t="s">
        <v>0</v>
      </c>
      <c r="F54" s="36" t="s">
        <v>0</v>
      </c>
      <c r="G54" s="36" t="s">
        <v>0</v>
      </c>
      <c r="H54" s="10"/>
      <c r="I54" s="10"/>
      <c r="J54" s="10"/>
      <c r="K54" s="10"/>
    </row>
    <row r="55" spans="2:11" ht="16.5">
      <c r="B55" s="32"/>
      <c r="C55" s="32"/>
      <c r="D55" s="32"/>
      <c r="E55" s="32"/>
      <c r="F55" s="32"/>
      <c r="G55" s="32"/>
      <c r="H55" s="10"/>
      <c r="I55" s="10"/>
      <c r="J55" s="10"/>
      <c r="K55" s="10"/>
    </row>
    <row r="56" spans="2:11" ht="17.25">
      <c r="B56" s="85" t="s">
        <v>39</v>
      </c>
      <c r="C56" s="127">
        <f>'S&amp;D'!J40</f>
        <v>0.73</v>
      </c>
      <c r="D56" s="127">
        <f>'Direct GCF'!H27</f>
        <v>0.11345</v>
      </c>
      <c r="E56" s="98" t="s">
        <v>40</v>
      </c>
      <c r="F56" s="127">
        <f>+D56</f>
        <v>0.11345</v>
      </c>
      <c r="G56" s="128">
        <f>+F56*C56</f>
        <v>8.2818499999999989E-2</v>
      </c>
      <c r="H56" s="10"/>
      <c r="I56" s="10"/>
      <c r="J56" s="10"/>
      <c r="K56" s="10"/>
    </row>
    <row r="57" spans="2:11" ht="17.25">
      <c r="B57" s="85" t="s">
        <v>0</v>
      </c>
      <c r="C57" s="98" t="s">
        <v>0</v>
      </c>
      <c r="D57" s="98" t="s">
        <v>0</v>
      </c>
      <c r="E57" s="98" t="s">
        <v>0</v>
      </c>
      <c r="F57" s="129" t="s">
        <v>0</v>
      </c>
      <c r="G57" s="117" t="s">
        <v>0</v>
      </c>
      <c r="H57" s="10"/>
      <c r="I57" s="10"/>
      <c r="J57" s="10"/>
      <c r="K57" s="10"/>
    </row>
    <row r="58" spans="2:11" ht="17.25">
      <c r="B58" s="85" t="s">
        <v>41</v>
      </c>
      <c r="C58" s="127">
        <f>'S&amp;D'!K40</f>
        <v>0.27</v>
      </c>
      <c r="D58" s="127">
        <f>+Debt!J24</f>
        <v>5.67E-2</v>
      </c>
      <c r="E58" s="127">
        <v>0.26</v>
      </c>
      <c r="F58" s="127">
        <f>+D58*(1-E58)</f>
        <v>4.1958000000000002E-2</v>
      </c>
      <c r="G58" s="128">
        <f>+C58*F58</f>
        <v>1.1328660000000001E-2</v>
      </c>
      <c r="H58" s="10"/>
      <c r="I58" s="10"/>
      <c r="J58" s="10"/>
      <c r="K58" s="10"/>
    </row>
    <row r="59" spans="2:11" ht="18" thickBot="1">
      <c r="B59" s="92" t="s">
        <v>0</v>
      </c>
      <c r="C59" s="92" t="s">
        <v>0</v>
      </c>
      <c r="D59" s="92" t="s">
        <v>0</v>
      </c>
      <c r="E59" s="92" t="s">
        <v>0</v>
      </c>
      <c r="F59" s="130" t="s">
        <v>0</v>
      </c>
      <c r="G59" s="131" t="s">
        <v>0</v>
      </c>
      <c r="H59" s="10"/>
      <c r="I59" s="10"/>
      <c r="J59" s="10"/>
      <c r="K59" s="10"/>
    </row>
    <row r="60" spans="2:11" ht="17.25">
      <c r="B60" s="85" t="s">
        <v>42</v>
      </c>
      <c r="C60" s="132">
        <f>+C56+C58</f>
        <v>1</v>
      </c>
      <c r="D60" s="85" t="s">
        <v>0</v>
      </c>
      <c r="E60" s="85" t="s">
        <v>0</v>
      </c>
      <c r="F60" s="133" t="s">
        <v>0</v>
      </c>
      <c r="G60" s="128">
        <f>+G56+G58</f>
        <v>9.4147159999999994E-2</v>
      </c>
      <c r="H60" s="10"/>
      <c r="I60" s="10"/>
      <c r="J60" s="10"/>
      <c r="K60" s="10"/>
    </row>
    <row r="61" spans="2:11" ht="18" thickBot="1">
      <c r="B61" s="59"/>
      <c r="C61" s="59"/>
      <c r="D61" s="59"/>
      <c r="E61" s="59"/>
      <c r="F61" s="59"/>
      <c r="G61" s="134"/>
      <c r="H61" s="10"/>
      <c r="I61" s="10"/>
      <c r="J61" s="10"/>
      <c r="K61" s="10"/>
    </row>
    <row r="62" spans="2:11" ht="18" thickBot="1">
      <c r="B62" s="10"/>
      <c r="C62" s="10"/>
      <c r="D62" s="10"/>
      <c r="E62" s="10"/>
      <c r="F62" s="179" t="s">
        <v>73</v>
      </c>
      <c r="G62" s="353">
        <v>9.4100000000000003E-2</v>
      </c>
      <c r="H62" s="10"/>
      <c r="I62" s="10"/>
      <c r="J62" s="10"/>
      <c r="K62" s="10"/>
    </row>
    <row r="63" spans="2:11" ht="15.75" thickBot="1"/>
    <row r="64" spans="2:11" ht="18" thickBot="1">
      <c r="F64" s="179" t="s">
        <v>221</v>
      </c>
      <c r="G64" s="311">
        <f>1/G62</f>
        <v>10.626992561105206</v>
      </c>
    </row>
  </sheetData>
  <pageMargins left="0.25" right="0.25" top="0.75" bottom="0.75" header="0.3" footer="0.3"/>
  <pageSetup scale="72" fitToHeight="0" orientation="landscape" r:id="rId1"/>
  <rowBreaks count="1" manualBreakCount="1">
    <brk id="33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92D050"/>
    <pageSetUpPr fitToPage="1"/>
  </sheetPr>
  <dimension ref="A1:L63"/>
  <sheetViews>
    <sheetView view="pageBreakPreview" zoomScale="60" zoomScaleNormal="80" zoomScalePageLayoutView="70" workbookViewId="0">
      <pane xSplit="1" topLeftCell="B1" activePane="topRight" state="frozen"/>
      <selection pane="topRight" activeCell="K41" sqref="K41"/>
    </sheetView>
  </sheetViews>
  <sheetFormatPr defaultRowHeight="15"/>
  <cols>
    <col min="1" max="1" width="63" customWidth="1"/>
    <col min="2" max="2" width="11.5703125" bestFit="1" customWidth="1"/>
    <col min="3" max="3" width="20.42578125" bestFit="1" customWidth="1"/>
    <col min="4" max="4" width="25.5703125" bestFit="1" customWidth="1"/>
    <col min="5" max="5" width="29.85546875" customWidth="1"/>
    <col min="6" max="7" width="29.140625" customWidth="1"/>
    <col min="8" max="8" width="31.85546875" customWidth="1"/>
    <col min="9" max="9" width="31.5703125" customWidth="1"/>
    <col min="10" max="10" width="30.85546875" customWidth="1"/>
    <col min="11" max="11" width="29.42578125" customWidth="1"/>
    <col min="12" max="12" width="11.85546875" customWidth="1"/>
    <col min="13" max="13" width="30.140625" bestFit="1" customWidth="1"/>
    <col min="14" max="14" width="9.140625" customWidth="1"/>
  </cols>
  <sheetData>
    <row r="1" spans="1:12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2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2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16.5">
      <c r="A4" s="23"/>
      <c r="B4" s="10"/>
      <c r="C4" s="10"/>
      <c r="D4" s="10"/>
      <c r="E4" s="10"/>
      <c r="F4" s="177" t="s">
        <v>0</v>
      </c>
      <c r="G4" s="10"/>
      <c r="H4" s="10"/>
      <c r="I4" s="10"/>
      <c r="J4" s="10"/>
      <c r="K4" s="10"/>
    </row>
    <row r="5" spans="1:12" ht="16.5">
      <c r="B5" s="10"/>
      <c r="C5" s="10"/>
      <c r="D5" s="10"/>
      <c r="E5" s="24"/>
      <c r="F5" s="177" t="s">
        <v>0</v>
      </c>
      <c r="G5" s="10"/>
      <c r="H5" s="10"/>
      <c r="I5" s="10"/>
      <c r="J5" s="10"/>
      <c r="K5" s="10" t="s">
        <v>0</v>
      </c>
    </row>
    <row r="6" spans="1:12" ht="16.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2" ht="16.5">
      <c r="A7" s="10"/>
      <c r="B7" s="32"/>
      <c r="C7" s="32"/>
      <c r="D7" s="32"/>
      <c r="E7" s="32"/>
      <c r="F7" s="32"/>
      <c r="G7" s="12"/>
      <c r="H7" s="41"/>
      <c r="I7" s="41"/>
      <c r="J7" s="80"/>
      <c r="K7" s="80"/>
      <c r="L7" s="3"/>
    </row>
    <row r="8" spans="1:12" ht="16.5">
      <c r="A8" s="81"/>
      <c r="B8" s="32"/>
      <c r="C8" s="32"/>
      <c r="D8" s="32"/>
      <c r="E8" s="32"/>
      <c r="F8" s="32"/>
      <c r="G8" s="12"/>
      <c r="H8" s="41"/>
      <c r="I8" s="41"/>
      <c r="J8" s="80"/>
      <c r="K8" s="80"/>
      <c r="L8" s="3"/>
    </row>
    <row r="9" spans="1:12" ht="16.5">
      <c r="A9" s="81"/>
      <c r="B9" s="32"/>
      <c r="C9" s="32"/>
      <c r="D9" s="32"/>
      <c r="E9" s="32"/>
      <c r="F9" s="32"/>
      <c r="G9" s="12"/>
      <c r="H9" s="41"/>
      <c r="I9" s="41"/>
      <c r="J9" s="80"/>
      <c r="K9" s="80"/>
      <c r="L9" s="3"/>
    </row>
    <row r="10" spans="1:12" ht="16.5">
      <c r="A10" s="41"/>
      <c r="D10" s="41"/>
      <c r="E10" s="41"/>
      <c r="F10" s="41"/>
      <c r="G10" s="41"/>
      <c r="H10" s="41"/>
      <c r="I10" s="41"/>
      <c r="J10" s="41"/>
      <c r="K10" s="41"/>
      <c r="L10" s="2"/>
    </row>
    <row r="11" spans="1:12" ht="17.25" thickBot="1">
      <c r="A11" s="41"/>
      <c r="D11" s="41"/>
      <c r="E11" s="82"/>
      <c r="F11" s="26"/>
      <c r="G11" s="82"/>
      <c r="H11" s="41"/>
      <c r="I11" s="41"/>
      <c r="J11" s="41" t="s">
        <v>0</v>
      </c>
      <c r="K11" s="41"/>
      <c r="L11" s="2"/>
    </row>
    <row r="12" spans="1:12" ht="27" thickBot="1">
      <c r="A12" s="25" t="s">
        <v>364</v>
      </c>
      <c r="D12" s="41"/>
      <c r="E12" s="41"/>
      <c r="F12" s="29" t="s">
        <v>74</v>
      </c>
      <c r="G12" s="41"/>
      <c r="H12" s="41"/>
      <c r="I12" s="41"/>
      <c r="J12" s="41"/>
      <c r="K12" s="10"/>
    </row>
    <row r="13" spans="1:12" ht="21" thickBot="1">
      <c r="A13" s="28"/>
      <c r="D13" s="41"/>
      <c r="E13" s="82"/>
      <c r="F13" s="34" t="s">
        <v>410</v>
      </c>
      <c r="G13" s="82"/>
      <c r="H13" s="41"/>
      <c r="I13" s="41"/>
      <c r="J13" s="41"/>
      <c r="K13" s="10"/>
    </row>
    <row r="14" spans="1:12" ht="20.25">
      <c r="A14" s="28"/>
      <c r="B14" s="41"/>
      <c r="C14" s="41"/>
      <c r="D14" s="41" t="s">
        <v>0</v>
      </c>
      <c r="E14" s="41" t="s">
        <v>0</v>
      </c>
      <c r="F14" s="11" t="s">
        <v>0</v>
      </c>
      <c r="G14" s="41"/>
      <c r="H14" s="41"/>
      <c r="I14" s="41"/>
      <c r="J14" s="41"/>
      <c r="K14" s="10"/>
    </row>
    <row r="15" spans="1:12" ht="17.25" thickBot="1">
      <c r="A15" s="39" t="s">
        <v>0</v>
      </c>
      <c r="B15" s="39" t="s">
        <v>0</v>
      </c>
      <c r="C15" s="39" t="s">
        <v>0</v>
      </c>
      <c r="D15" s="39"/>
      <c r="E15" s="39"/>
      <c r="F15" s="39"/>
      <c r="G15" s="39" t="s">
        <v>0</v>
      </c>
      <c r="H15" s="82"/>
      <c r="I15" s="82"/>
      <c r="J15" s="82"/>
      <c r="K15" s="10"/>
    </row>
    <row r="16" spans="1:12" ht="17.25">
      <c r="A16" s="220"/>
      <c r="B16" s="221"/>
      <c r="C16" s="237"/>
      <c r="D16" s="205" t="s">
        <v>13</v>
      </c>
      <c r="E16" s="233" t="s">
        <v>13</v>
      </c>
      <c r="F16" s="205" t="s">
        <v>13</v>
      </c>
      <c r="G16" s="222" t="s">
        <v>231</v>
      </c>
      <c r="H16" s="234" t="s">
        <v>411</v>
      </c>
      <c r="I16" s="222" t="s">
        <v>411</v>
      </c>
      <c r="J16" s="234" t="s">
        <v>411</v>
      </c>
      <c r="K16" s="10"/>
    </row>
    <row r="17" spans="1:12" ht="17.25">
      <c r="A17" s="83" t="s">
        <v>0</v>
      </c>
      <c r="B17" s="84" t="s">
        <v>3</v>
      </c>
      <c r="C17" s="208" t="s">
        <v>5</v>
      </c>
      <c r="D17" s="86" t="s">
        <v>10</v>
      </c>
      <c r="E17" s="235" t="s">
        <v>10</v>
      </c>
      <c r="F17" s="86" t="s">
        <v>19</v>
      </c>
      <c r="G17" s="87" t="s">
        <v>411</v>
      </c>
      <c r="H17" s="84" t="s">
        <v>12</v>
      </c>
      <c r="I17" s="88" t="s">
        <v>11</v>
      </c>
      <c r="J17" s="89" t="s">
        <v>142</v>
      </c>
      <c r="K17" s="10"/>
    </row>
    <row r="18" spans="1:12" ht="17.25">
      <c r="A18" s="83" t="s">
        <v>2</v>
      </c>
      <c r="B18" s="84" t="s">
        <v>4</v>
      </c>
      <c r="C18" s="208" t="s">
        <v>6</v>
      </c>
      <c r="D18" s="86" t="s">
        <v>45</v>
      </c>
      <c r="E18" s="235" t="s">
        <v>46</v>
      </c>
      <c r="F18" s="86" t="s">
        <v>10</v>
      </c>
      <c r="G18" s="87" t="s">
        <v>10</v>
      </c>
      <c r="H18" s="84" t="s">
        <v>72</v>
      </c>
      <c r="I18" s="225" t="s">
        <v>342</v>
      </c>
      <c r="J18" s="89" t="s">
        <v>232</v>
      </c>
      <c r="K18" s="10" t="s">
        <v>0</v>
      </c>
    </row>
    <row r="19" spans="1:12" ht="18" thickBot="1">
      <c r="A19" s="90" t="s">
        <v>0</v>
      </c>
      <c r="B19" s="91" t="s">
        <v>0</v>
      </c>
      <c r="C19" s="108" t="s">
        <v>0</v>
      </c>
      <c r="D19" s="91" t="s">
        <v>0</v>
      </c>
      <c r="E19" s="92" t="s">
        <v>0</v>
      </c>
      <c r="F19" s="91" t="s">
        <v>0</v>
      </c>
      <c r="G19" s="92" t="s">
        <v>0</v>
      </c>
      <c r="H19" s="93" t="s">
        <v>61</v>
      </c>
      <c r="I19" s="94" t="s">
        <v>60</v>
      </c>
      <c r="J19" s="93" t="s">
        <v>60</v>
      </c>
      <c r="K19" s="10"/>
    </row>
    <row r="20" spans="1:12" ht="16.5">
      <c r="A20" s="238" t="s">
        <v>7</v>
      </c>
      <c r="B20" s="256" t="s">
        <v>7</v>
      </c>
      <c r="C20" s="238" t="s">
        <v>7</v>
      </c>
      <c r="D20" s="264" t="s">
        <v>7</v>
      </c>
      <c r="E20" s="264" t="s">
        <v>7</v>
      </c>
      <c r="F20" s="40" t="s">
        <v>15</v>
      </c>
      <c r="G20" s="238" t="s">
        <v>7</v>
      </c>
      <c r="H20" s="238" t="s">
        <v>8</v>
      </c>
      <c r="I20" s="238" t="s">
        <v>8</v>
      </c>
      <c r="J20" s="238" t="s">
        <v>8</v>
      </c>
      <c r="K20" s="10"/>
    </row>
    <row r="21" spans="1:12" ht="17.25">
      <c r="A21" s="84"/>
      <c r="B21" s="85"/>
      <c r="C21" s="84"/>
      <c r="D21" s="208"/>
      <c r="E21" s="85"/>
      <c r="F21" s="83"/>
      <c r="G21" s="84"/>
      <c r="H21" s="84"/>
      <c r="I21" s="110"/>
      <c r="J21" s="96"/>
      <c r="K21" s="10"/>
    </row>
    <row r="22" spans="1:12" ht="17.25">
      <c r="A22" s="97" t="s">
        <v>355</v>
      </c>
      <c r="B22" s="75" t="s">
        <v>356</v>
      </c>
      <c r="C22" s="84" t="s">
        <v>353</v>
      </c>
      <c r="D22" s="99">
        <v>282.41000000000003</v>
      </c>
      <c r="E22" s="56">
        <v>275.5</v>
      </c>
      <c r="F22" s="99">
        <f t="shared" ref="F22:F23" si="0">AVERAGE(D22,E22)</f>
        <v>278.95500000000004</v>
      </c>
      <c r="G22" s="56">
        <v>281.33</v>
      </c>
      <c r="H22" s="305">
        <v>240850603</v>
      </c>
      <c r="I22" s="305">
        <v>0</v>
      </c>
      <c r="J22" s="224">
        <f>(19433000000+(21135000000-20193000000))+(592000000+(68000000-334000000))</f>
        <v>20701000000</v>
      </c>
      <c r="K22" s="285"/>
    </row>
    <row r="23" spans="1:12" ht="18" thickBot="1">
      <c r="A23" s="260" t="s">
        <v>357</v>
      </c>
      <c r="B23" s="76" t="s">
        <v>358</v>
      </c>
      <c r="C23" s="91" t="s">
        <v>353</v>
      </c>
      <c r="D23" s="317">
        <v>125.83</v>
      </c>
      <c r="E23" s="318">
        <v>124.21</v>
      </c>
      <c r="F23" s="317">
        <f t="shared" si="0"/>
        <v>125.02</v>
      </c>
      <c r="G23" s="318">
        <v>126.1</v>
      </c>
      <c r="H23" s="306">
        <f>121000000+733000000-(0.2*1000000)</f>
        <v>853800000</v>
      </c>
      <c r="I23" s="297">
        <v>0</v>
      </c>
      <c r="J23" s="306">
        <f>1838000000+19446000000</f>
        <v>21284000000</v>
      </c>
      <c r="K23" s="10" t="s">
        <v>0</v>
      </c>
    </row>
    <row r="24" spans="1:12" ht="17.25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"/>
      <c r="L24" t="s">
        <v>0</v>
      </c>
    </row>
    <row r="25" spans="1:12" ht="17.25">
      <c r="A25" s="101"/>
      <c r="B25" s="101"/>
      <c r="C25" s="101"/>
      <c r="D25" s="101" t="s">
        <v>0</v>
      </c>
      <c r="E25" s="101"/>
      <c r="F25" s="101"/>
      <c r="G25" s="101"/>
      <c r="H25" s="101"/>
      <c r="I25" s="101"/>
      <c r="J25" s="101" t="s">
        <v>0</v>
      </c>
      <c r="K25" s="10"/>
    </row>
    <row r="26" spans="1:12" ht="18" thickBot="1">
      <c r="A26" s="102" t="s">
        <v>0</v>
      </c>
      <c r="B26" s="103"/>
      <c r="C26" s="103"/>
      <c r="D26" s="103"/>
      <c r="E26" s="103"/>
      <c r="F26" s="26"/>
      <c r="G26" s="103"/>
      <c r="H26" s="103"/>
      <c r="I26" s="103"/>
      <c r="J26" s="101"/>
      <c r="K26" s="101"/>
      <c r="L26" s="4"/>
    </row>
    <row r="27" spans="1:12" ht="17.25">
      <c r="A27" s="104"/>
      <c r="B27" s="363"/>
      <c r="C27" s="105"/>
      <c r="D27" s="363"/>
      <c r="E27" s="106" t="s">
        <v>0</v>
      </c>
      <c r="F27" s="234" t="s">
        <v>0</v>
      </c>
      <c r="G27" s="234" t="s">
        <v>0</v>
      </c>
      <c r="H27" s="188"/>
      <c r="I27" s="105"/>
      <c r="J27" s="363"/>
      <c r="K27" s="363"/>
      <c r="L27" s="4"/>
    </row>
    <row r="28" spans="1:12" ht="17.25">
      <c r="A28" s="83"/>
      <c r="B28" s="84"/>
      <c r="C28" s="85"/>
      <c r="D28" s="364" t="s">
        <v>411</v>
      </c>
      <c r="E28" s="85" t="s">
        <v>411</v>
      </c>
      <c r="F28" s="84" t="s">
        <v>411</v>
      </c>
      <c r="G28" s="84" t="s">
        <v>411</v>
      </c>
      <c r="H28" s="364" t="s">
        <v>411</v>
      </c>
      <c r="I28" s="364" t="s">
        <v>411</v>
      </c>
      <c r="J28" s="364" t="s">
        <v>411</v>
      </c>
      <c r="K28" s="364" t="s">
        <v>411</v>
      </c>
      <c r="L28" s="5"/>
    </row>
    <row r="29" spans="1:12" ht="17.25">
      <c r="A29" s="83" t="s">
        <v>0</v>
      </c>
      <c r="B29" s="84" t="s">
        <v>3</v>
      </c>
      <c r="C29" s="85" t="s">
        <v>5</v>
      </c>
      <c r="D29" s="84" t="s">
        <v>12</v>
      </c>
      <c r="E29" s="98" t="s">
        <v>141</v>
      </c>
      <c r="F29" s="89" t="s">
        <v>268</v>
      </c>
      <c r="G29" s="89" t="s">
        <v>404</v>
      </c>
      <c r="H29" s="84" t="s">
        <v>198</v>
      </c>
      <c r="I29" s="98" t="s">
        <v>16</v>
      </c>
      <c r="J29" s="89" t="s">
        <v>17</v>
      </c>
      <c r="K29" s="89" t="s">
        <v>51</v>
      </c>
      <c r="L29" s="5"/>
    </row>
    <row r="30" spans="1:12" ht="18" thickBot="1">
      <c r="A30" s="90" t="s">
        <v>2</v>
      </c>
      <c r="B30" s="91" t="s">
        <v>4</v>
      </c>
      <c r="C30" s="92" t="s">
        <v>6</v>
      </c>
      <c r="D30" s="91" t="s">
        <v>14</v>
      </c>
      <c r="E30" s="92" t="s">
        <v>14</v>
      </c>
      <c r="F30" s="91" t="s">
        <v>281</v>
      </c>
      <c r="G30" s="91" t="s">
        <v>281</v>
      </c>
      <c r="H30" s="91" t="s">
        <v>14</v>
      </c>
      <c r="I30" s="92" t="s">
        <v>333</v>
      </c>
      <c r="J30" s="91" t="s">
        <v>0</v>
      </c>
      <c r="K30" s="91" t="s">
        <v>334</v>
      </c>
      <c r="L30" s="1"/>
    </row>
    <row r="31" spans="1:12" ht="15.75">
      <c r="A31" s="255" t="s">
        <v>7</v>
      </c>
      <c r="B31" s="238" t="s">
        <v>7</v>
      </c>
      <c r="C31" s="256" t="s">
        <v>7</v>
      </c>
      <c r="D31" s="95" t="s">
        <v>15</v>
      </c>
      <c r="E31" s="40" t="s">
        <v>8</v>
      </c>
      <c r="F31" s="95" t="s">
        <v>8</v>
      </c>
      <c r="G31" s="95" t="s">
        <v>8</v>
      </c>
      <c r="H31" s="95" t="s">
        <v>8</v>
      </c>
      <c r="I31" s="40" t="s">
        <v>15</v>
      </c>
      <c r="J31" s="95" t="s">
        <v>15</v>
      </c>
      <c r="K31" s="95" t="s">
        <v>15</v>
      </c>
      <c r="L31" s="5"/>
    </row>
    <row r="32" spans="1:12" ht="17.25">
      <c r="A32" s="83"/>
      <c r="B32" s="84"/>
      <c r="C32" s="85"/>
      <c r="D32" s="365"/>
      <c r="E32" s="101"/>
      <c r="F32" s="96"/>
      <c r="G32" s="96"/>
      <c r="H32" s="365"/>
      <c r="I32" s="59"/>
      <c r="J32" s="96"/>
      <c r="K32" s="96"/>
      <c r="L32" s="4"/>
    </row>
    <row r="33" spans="1:12" ht="17.25">
      <c r="A33" s="97" t="str">
        <f t="shared" ref="A33:C34" si="1">+A22</f>
        <v xml:space="preserve">FedEx Corp </v>
      </c>
      <c r="B33" s="84" t="str">
        <f t="shared" si="1"/>
        <v>FDX</v>
      </c>
      <c r="C33" s="85" t="str">
        <f t="shared" si="1"/>
        <v>Air Trans</v>
      </c>
      <c r="D33" s="366">
        <f>(+H22)*G22</f>
        <v>67758500141.989998</v>
      </c>
      <c r="E33" s="303">
        <f>(1/1)*I22</f>
        <v>0</v>
      </c>
      <c r="F33" s="368">
        <f t="shared" ref="F33:F34" si="2">+G58</f>
        <v>17249000000</v>
      </c>
      <c r="G33" s="368">
        <v>0</v>
      </c>
      <c r="H33" s="368">
        <f>J22*(17.9/19.6)</f>
        <v>18905505102.040813</v>
      </c>
      <c r="I33" s="100">
        <f>+D33+E33+F33+G33+H33</f>
        <v>103913005244.03081</v>
      </c>
      <c r="J33" s="369">
        <f>(+D33)/I33</f>
        <v>0.65206948815372012</v>
      </c>
      <c r="K33" s="369">
        <f t="shared" ref="K33:K34" si="3">(+E33+F33+G33+H33)/I33</f>
        <v>0.34793051184627999</v>
      </c>
      <c r="L33" s="4"/>
    </row>
    <row r="34" spans="1:12" ht="18" thickBot="1">
      <c r="A34" s="362" t="str">
        <f t="shared" si="1"/>
        <v xml:space="preserve">United Parcel Service </v>
      </c>
      <c r="B34" s="91" t="str">
        <f t="shared" si="1"/>
        <v>UPS</v>
      </c>
      <c r="C34" s="92" t="str">
        <f t="shared" si="1"/>
        <v>Air Trans</v>
      </c>
      <c r="D34" s="367">
        <f>(+H23)*G23</f>
        <v>107664180000</v>
      </c>
      <c r="E34" s="296">
        <f>(1/1)*I23</f>
        <v>0</v>
      </c>
      <c r="F34" s="382">
        <f t="shared" si="2"/>
        <v>4368000000</v>
      </c>
      <c r="G34" s="382">
        <v>0</v>
      </c>
      <c r="H34" s="306">
        <f>J23*(20300/21284)</f>
        <v>20300000000</v>
      </c>
      <c r="I34" s="297">
        <f>+D34+E34+F34+G34+H34</f>
        <v>132332180000</v>
      </c>
      <c r="J34" s="370">
        <f>(+D34)/I34</f>
        <v>0.81359031491810985</v>
      </c>
      <c r="K34" s="370">
        <f t="shared" si="3"/>
        <v>0.18640968508189013</v>
      </c>
      <c r="L34" s="4"/>
    </row>
    <row r="35" spans="1:12" ht="17.25">
      <c r="A35" s="10"/>
      <c r="B35" s="10"/>
      <c r="C35" s="10"/>
      <c r="D35" s="10"/>
      <c r="E35" s="10"/>
      <c r="F35" s="10"/>
      <c r="H35" s="10"/>
      <c r="I35" s="113" t="s">
        <v>45</v>
      </c>
      <c r="J35" s="116">
        <f>MAX(J33:J34)</f>
        <v>0.81359031491810985</v>
      </c>
      <c r="K35" s="116">
        <f>MAX(K33:K34)</f>
        <v>0.34793051184627999</v>
      </c>
    </row>
    <row r="36" spans="1:12" ht="17.25">
      <c r="A36" s="10"/>
      <c r="B36" s="10"/>
      <c r="C36" s="10"/>
      <c r="D36" s="10"/>
      <c r="E36" s="10" t="s">
        <v>0</v>
      </c>
      <c r="F36" s="10"/>
      <c r="H36" s="10" t="s">
        <v>0</v>
      </c>
      <c r="I36" s="284" t="s">
        <v>46</v>
      </c>
      <c r="J36" s="304">
        <f>MIN(J33:J34)</f>
        <v>0.65206948815372012</v>
      </c>
      <c r="K36" s="304">
        <f>MIN(K33:K34)</f>
        <v>0.18640968508189013</v>
      </c>
    </row>
    <row r="37" spans="1:12" ht="17.25">
      <c r="A37" s="10"/>
      <c r="B37" s="10"/>
      <c r="C37" s="10"/>
      <c r="D37" s="10"/>
      <c r="E37" s="114"/>
      <c r="F37" s="285" t="s">
        <v>0</v>
      </c>
      <c r="H37" s="10" t="s">
        <v>0</v>
      </c>
      <c r="I37" s="12" t="s">
        <v>18</v>
      </c>
      <c r="J37" s="115">
        <f>MEDIAN(J33:J34)</f>
        <v>0.73282990153591498</v>
      </c>
      <c r="K37" s="116">
        <f>MEDIAN(K33:K34)</f>
        <v>0.26717009846408507</v>
      </c>
    </row>
    <row r="38" spans="1:12" ht="17.25">
      <c r="A38" s="10"/>
      <c r="B38" s="10"/>
      <c r="C38" s="10"/>
      <c r="D38" s="10" t="s">
        <v>0</v>
      </c>
      <c r="E38" s="265" t="s">
        <v>0</v>
      </c>
      <c r="F38" s="285" t="s">
        <v>0</v>
      </c>
      <c r="H38" s="10" t="s">
        <v>0</v>
      </c>
      <c r="I38" s="12" t="s">
        <v>374</v>
      </c>
      <c r="J38" s="115">
        <f>AVERAGE(J33:J34)</f>
        <v>0.73282990153591498</v>
      </c>
      <c r="K38" s="116">
        <f>AVERAGE(K33:K34)</f>
        <v>0.26717009846408507</v>
      </c>
    </row>
    <row r="39" spans="1:12" ht="18" thickBot="1">
      <c r="A39" s="10"/>
      <c r="B39" s="10"/>
      <c r="C39" s="10"/>
      <c r="D39" s="10"/>
      <c r="E39" s="114"/>
      <c r="F39" s="10"/>
      <c r="H39" s="10"/>
      <c r="I39" s="10"/>
      <c r="J39" s="59"/>
      <c r="K39" s="59"/>
    </row>
    <row r="40" spans="1:12" ht="27" thickBot="1">
      <c r="A40" s="10"/>
      <c r="B40" s="10"/>
      <c r="C40" s="10"/>
      <c r="D40" s="10"/>
      <c r="E40" s="114"/>
      <c r="F40" s="10"/>
      <c r="H40" s="10"/>
      <c r="I40" s="178" t="s">
        <v>200</v>
      </c>
      <c r="J40" s="266">
        <v>0.73</v>
      </c>
      <c r="K40" s="267">
        <v>0.27</v>
      </c>
    </row>
    <row r="41" spans="1:12" ht="17.25">
      <c r="A41" s="10"/>
      <c r="B41" s="10"/>
      <c r="C41" s="10"/>
      <c r="D41" s="10"/>
      <c r="E41" s="114"/>
      <c r="F41" s="10"/>
      <c r="G41" s="10"/>
      <c r="H41" s="10"/>
      <c r="I41" s="59"/>
      <c r="J41" s="59" t="s">
        <v>0</v>
      </c>
      <c r="K41" s="10"/>
    </row>
    <row r="42" spans="1:12" ht="16.5">
      <c r="E42" s="114"/>
      <c r="F42" s="10"/>
      <c r="G42" s="10"/>
      <c r="H42" s="10"/>
      <c r="I42" s="10"/>
      <c r="J42" s="10"/>
      <c r="K42" s="10"/>
    </row>
    <row r="43" spans="1:12" ht="16.5">
      <c r="E43" s="114"/>
      <c r="F43" s="10"/>
      <c r="G43" s="10"/>
      <c r="H43" s="10"/>
      <c r="I43" s="10"/>
      <c r="J43" s="10"/>
      <c r="K43" s="10"/>
    </row>
    <row r="44" spans="1:12" ht="26.25">
      <c r="A44" s="20" t="s">
        <v>71</v>
      </c>
      <c r="B44" s="10"/>
      <c r="C44" s="70"/>
      <c r="D44" s="118"/>
      <c r="E44" s="286"/>
      <c r="H44" s="10"/>
      <c r="I44" s="10"/>
      <c r="J44" s="10"/>
      <c r="K44" s="10"/>
    </row>
    <row r="45" spans="1:12" ht="16.5">
      <c r="A45" s="81" t="s">
        <v>54</v>
      </c>
      <c r="B45" s="10"/>
      <c r="C45" s="70"/>
      <c r="D45" s="118"/>
      <c r="E45" s="286"/>
      <c r="H45" s="10"/>
      <c r="I45" s="10"/>
      <c r="J45" s="10"/>
      <c r="K45" s="10"/>
    </row>
    <row r="46" spans="1:12" ht="16.5">
      <c r="A46" s="10" t="s">
        <v>145</v>
      </c>
      <c r="B46" s="10"/>
      <c r="C46" s="10"/>
      <c r="D46" s="10"/>
    </row>
    <row r="47" spans="1:12" ht="16.5">
      <c r="A47" s="10" t="s">
        <v>143</v>
      </c>
      <c r="B47" s="10"/>
      <c r="C47" s="10"/>
      <c r="D47" s="10"/>
    </row>
    <row r="48" spans="1:12" ht="16.5">
      <c r="A48" s="10" t="s">
        <v>144</v>
      </c>
      <c r="B48" s="10"/>
      <c r="C48" s="10"/>
      <c r="D48" s="10"/>
    </row>
    <row r="49" spans="1:8" ht="16.5">
      <c r="A49" s="10" t="s">
        <v>402</v>
      </c>
      <c r="B49" s="10"/>
      <c r="C49" s="10"/>
      <c r="D49" s="10"/>
    </row>
    <row r="50" spans="1:8" ht="16.5">
      <c r="A50" s="10" t="s">
        <v>403</v>
      </c>
      <c r="B50" s="10"/>
      <c r="C50" s="10"/>
      <c r="D50" s="10"/>
    </row>
    <row r="51" spans="1:8" ht="16.5">
      <c r="A51" s="10" t="s">
        <v>359</v>
      </c>
      <c r="B51" s="10"/>
      <c r="C51" s="10"/>
      <c r="D51" s="10"/>
    </row>
    <row r="52" spans="1:8" ht="16.5">
      <c r="A52" s="10" t="s">
        <v>360</v>
      </c>
      <c r="B52" s="10"/>
      <c r="C52" s="10"/>
      <c r="D52" s="10"/>
      <c r="G52" t="s">
        <v>0</v>
      </c>
    </row>
    <row r="53" spans="1:8" ht="26.25">
      <c r="A53" s="236" t="s">
        <v>286</v>
      </c>
      <c r="B53" s="10"/>
      <c r="C53" s="10"/>
      <c r="D53" s="10"/>
    </row>
    <row r="54" spans="1:8" ht="19.5" customHeight="1">
      <c r="A54" s="392" t="s">
        <v>354</v>
      </c>
      <c r="B54" s="10"/>
      <c r="C54" s="10"/>
      <c r="D54" s="10"/>
    </row>
    <row r="55" spans="1:8" ht="19.5" customHeight="1">
      <c r="A55" s="392" t="s">
        <v>482</v>
      </c>
      <c r="B55" s="10"/>
      <c r="C55" s="10"/>
      <c r="D55" s="10"/>
    </row>
    <row r="56" spans="1:8" ht="26.25">
      <c r="A56" s="236" t="s">
        <v>351</v>
      </c>
      <c r="B56" s="10"/>
      <c r="C56" s="10"/>
      <c r="E56" s="375" t="s">
        <v>2</v>
      </c>
      <c r="F56" s="372" t="s">
        <v>362</v>
      </c>
      <c r="G56" s="372" t="s">
        <v>363</v>
      </c>
      <c r="H56" s="371" t="s">
        <v>361</v>
      </c>
    </row>
    <row r="57" spans="1:8" ht="17.25">
      <c r="A57" s="121"/>
      <c r="B57" s="10"/>
      <c r="C57" s="10"/>
      <c r="E57" s="376"/>
      <c r="F57" s="377"/>
      <c r="G57" s="378"/>
      <c r="H57" s="381"/>
    </row>
    <row r="58" spans="1:8" ht="17.25">
      <c r="A58" s="121" t="s">
        <v>0</v>
      </c>
      <c r="B58" s="10"/>
      <c r="C58" s="10"/>
      <c r="E58" s="376" t="s">
        <v>355</v>
      </c>
      <c r="F58" s="224">
        <f>16821000000+(17115000000-17243000000)</f>
        <v>16693000000</v>
      </c>
      <c r="G58" s="379">
        <v>17249000000</v>
      </c>
      <c r="H58" s="224">
        <f>2329000000+(4571000000-2289000000)</f>
        <v>4611000000</v>
      </c>
    </row>
    <row r="59" spans="1:8" ht="17.25">
      <c r="A59" s="121" t="s">
        <v>0</v>
      </c>
      <c r="B59" s="10"/>
      <c r="C59" s="10"/>
      <c r="E59" s="380" t="s">
        <v>357</v>
      </c>
      <c r="F59" s="373">
        <v>4149000000</v>
      </c>
      <c r="G59" s="373">
        <v>4368000000</v>
      </c>
      <c r="H59" s="374">
        <v>912000000</v>
      </c>
    </row>
    <row r="60" spans="1:8" ht="20.25" customHeight="1">
      <c r="A60" s="121" t="s">
        <v>0</v>
      </c>
      <c r="B60" s="10"/>
      <c r="C60" s="10"/>
      <c r="D60" s="10"/>
    </row>
    <row r="61" spans="1:8" ht="16.5">
      <c r="A61" s="288"/>
      <c r="B61" s="10"/>
      <c r="C61" s="10"/>
      <c r="D61" s="10"/>
    </row>
    <row r="62" spans="1:8" ht="16.5">
      <c r="B62" s="10"/>
      <c r="C62" s="10"/>
      <c r="D62" s="10"/>
    </row>
    <row r="63" spans="1:8" ht="23.25">
      <c r="A63" s="287"/>
    </row>
  </sheetData>
  <pageMargins left="0.25" right="0.25" top="0.75" bottom="0.75" header="0.3" footer="0.3"/>
  <pageSetup scale="38" orientation="landscape" r:id="rId1"/>
  <rowBreaks count="1" manualBreakCount="1">
    <brk id="40" max="11" man="1"/>
  </rowBreaks>
  <colBreaks count="1" manualBreakCount="1">
    <brk id="11" max="63" man="1"/>
  </col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1FF50-7DB7-41D1-AD2F-655311479817}">
  <sheetPr codeName="Sheet5">
    <tabColor rgb="FF92D050"/>
    <pageSetUpPr fitToPage="1"/>
  </sheetPr>
  <dimension ref="A1:I52"/>
  <sheetViews>
    <sheetView view="pageBreakPreview" topLeftCell="A10" zoomScale="70" zoomScaleNormal="80" zoomScaleSheetLayoutView="70" zoomScalePageLayoutView="70" workbookViewId="0">
      <pane xSplit="1" topLeftCell="B1" activePane="topRight" state="frozen"/>
      <selection pane="topRight" activeCell="D51" sqref="D51"/>
    </sheetView>
  </sheetViews>
  <sheetFormatPr defaultRowHeight="15"/>
  <cols>
    <col min="1" max="1" width="62.42578125" customWidth="1"/>
    <col min="2" max="2" width="11.5703125" bestFit="1" customWidth="1"/>
    <col min="3" max="3" width="20.42578125" bestFit="1" customWidth="1"/>
    <col min="4" max="4" width="30.140625" customWidth="1"/>
    <col min="5" max="5" width="28" customWidth="1"/>
    <col min="6" max="6" width="29.140625" customWidth="1"/>
    <col min="7" max="7" width="23.42578125" customWidth="1"/>
    <col min="8" max="8" width="12.85546875" customWidth="1"/>
    <col min="9" max="9" width="25.85546875" bestFit="1" customWidth="1"/>
    <col min="10" max="10" width="30.140625" bestFit="1" customWidth="1"/>
    <col min="11" max="11" width="9.140625" customWidth="1"/>
  </cols>
  <sheetData>
    <row r="1" spans="1:9" ht="26.25">
      <c r="A1" s="21" t="s">
        <v>1</v>
      </c>
      <c r="B1" s="10"/>
      <c r="C1" s="10"/>
      <c r="D1" s="10"/>
      <c r="E1" s="10"/>
      <c r="F1" s="10"/>
      <c r="G1" s="10"/>
      <c r="H1" s="10"/>
    </row>
    <row r="2" spans="1:9" ht="17.25">
      <c r="A2" s="22" t="s">
        <v>9</v>
      </c>
      <c r="B2" s="10"/>
      <c r="C2" s="10"/>
      <c r="D2" s="10"/>
      <c r="E2" s="10"/>
      <c r="F2" s="10"/>
      <c r="G2" s="10"/>
      <c r="H2" s="10"/>
    </row>
    <row r="3" spans="1:9" ht="16.5">
      <c r="A3" s="23" t="s">
        <v>409</v>
      </c>
      <c r="B3" s="10"/>
      <c r="C3" s="10"/>
      <c r="D3" s="10"/>
      <c r="E3" s="10"/>
      <c r="F3" s="10"/>
      <c r="G3" s="10"/>
      <c r="H3" s="10"/>
    </row>
    <row r="4" spans="1:9" ht="16.5">
      <c r="A4" s="23"/>
      <c r="B4" s="10"/>
      <c r="C4" s="10"/>
      <c r="D4" s="10"/>
      <c r="E4" s="10"/>
      <c r="F4" s="177" t="s">
        <v>0</v>
      </c>
      <c r="G4" s="10"/>
      <c r="H4" s="10"/>
    </row>
    <row r="5" spans="1:9" ht="16.5">
      <c r="B5" s="10"/>
      <c r="C5" s="10"/>
      <c r="D5" s="10"/>
      <c r="E5" s="24"/>
      <c r="F5" s="177" t="s">
        <v>0</v>
      </c>
      <c r="G5" s="10"/>
      <c r="H5" s="10" t="s">
        <v>0</v>
      </c>
    </row>
    <row r="6" spans="1:9" ht="16.5">
      <c r="A6" s="81"/>
      <c r="B6" s="32"/>
      <c r="C6" s="32"/>
      <c r="D6" s="32"/>
      <c r="E6" s="32"/>
      <c r="F6" s="32"/>
      <c r="G6" s="12"/>
      <c r="H6" s="80"/>
      <c r="I6" s="3"/>
    </row>
    <row r="7" spans="1:9" ht="16.5">
      <c r="A7" s="41"/>
      <c r="B7" s="41"/>
      <c r="C7" s="41"/>
      <c r="D7" s="41"/>
      <c r="E7" s="41"/>
      <c r="F7" s="41"/>
      <c r="G7" s="41"/>
      <c r="H7" s="41"/>
      <c r="I7" s="2"/>
    </row>
    <row r="8" spans="1:9" ht="17.25" thickBot="1">
      <c r="A8" s="41"/>
      <c r="B8" s="41"/>
      <c r="C8" s="41"/>
      <c r="D8" s="82"/>
      <c r="E8" s="26"/>
      <c r="F8" s="82"/>
      <c r="H8" s="41"/>
      <c r="I8" s="2"/>
    </row>
    <row r="9" spans="1:9" ht="27" thickBot="1">
      <c r="A9" s="25" t="str">
        <f>+'S&amp;D'!A12</f>
        <v>Air Freight Carriers</v>
      </c>
      <c r="B9" s="41"/>
      <c r="C9" s="41"/>
      <c r="D9" s="41"/>
      <c r="E9" s="29" t="s">
        <v>279</v>
      </c>
      <c r="F9" s="41"/>
      <c r="H9" s="10"/>
    </row>
    <row r="10" spans="1:9" ht="21" thickBot="1">
      <c r="A10" s="28"/>
      <c r="B10" s="41"/>
      <c r="C10" s="41"/>
      <c r="D10" s="82"/>
      <c r="E10" s="34" t="s">
        <v>410</v>
      </c>
      <c r="F10" s="82"/>
      <c r="H10" s="10"/>
    </row>
    <row r="11" spans="1:9" ht="20.25">
      <c r="A11" s="28"/>
      <c r="B11" s="41"/>
      <c r="C11" s="41"/>
      <c r="D11" s="41"/>
      <c r="E11" s="32"/>
      <c r="F11" s="41"/>
      <c r="H11" s="10"/>
    </row>
    <row r="12" spans="1:9" ht="20.25">
      <c r="A12" s="28"/>
      <c r="B12" s="41"/>
      <c r="C12" s="41"/>
      <c r="D12" s="41"/>
      <c r="E12" s="32"/>
      <c r="F12" s="41"/>
      <c r="H12" s="10"/>
    </row>
    <row r="13" spans="1:9" ht="16.5">
      <c r="B13" s="41"/>
      <c r="C13" s="41"/>
      <c r="D13" s="41"/>
      <c r="E13" s="32"/>
      <c r="F13" s="41"/>
      <c r="H13" s="10"/>
    </row>
    <row r="14" spans="1:9" ht="20.25">
      <c r="A14" s="28"/>
      <c r="B14" s="41"/>
      <c r="C14" s="41"/>
      <c r="D14" s="41"/>
      <c r="E14" s="11" t="s">
        <v>0</v>
      </c>
      <c r="F14" s="41"/>
      <c r="H14" s="10"/>
    </row>
    <row r="15" spans="1:9" ht="17.25" thickBot="1">
      <c r="A15" s="39" t="s">
        <v>0</v>
      </c>
      <c r="B15" s="39" t="s">
        <v>0</v>
      </c>
      <c r="C15" s="39" t="s">
        <v>0</v>
      </c>
      <c r="D15" s="39"/>
      <c r="E15" s="39"/>
      <c r="F15" s="39"/>
      <c r="H15" s="10"/>
    </row>
    <row r="16" spans="1:9" ht="17.25">
      <c r="A16" s="220"/>
      <c r="B16" s="221"/>
      <c r="C16" s="222"/>
      <c r="D16" s="205" t="s">
        <v>0</v>
      </c>
      <c r="E16" s="206" t="s">
        <v>0</v>
      </c>
      <c r="F16" s="205" t="s">
        <v>0</v>
      </c>
      <c r="H16" s="10"/>
    </row>
    <row r="17" spans="1:8" ht="17.25">
      <c r="A17" s="83" t="s">
        <v>0</v>
      </c>
      <c r="B17" s="84" t="s">
        <v>3</v>
      </c>
      <c r="C17" s="85" t="s">
        <v>5</v>
      </c>
      <c r="D17" s="86" t="s">
        <v>0</v>
      </c>
      <c r="E17" s="207" t="s">
        <v>0</v>
      </c>
      <c r="F17" s="86" t="s">
        <v>271</v>
      </c>
      <c r="H17" s="10"/>
    </row>
    <row r="18" spans="1:8" ht="17.25">
      <c r="A18" s="83"/>
      <c r="B18" s="84" t="s">
        <v>4</v>
      </c>
      <c r="C18" s="85" t="s">
        <v>6</v>
      </c>
      <c r="D18" s="86" t="s">
        <v>280</v>
      </c>
      <c r="E18" s="207" t="s">
        <v>280</v>
      </c>
      <c r="F18" s="86" t="s">
        <v>123</v>
      </c>
      <c r="H18" s="10"/>
    </row>
    <row r="19" spans="1:8" ht="18" thickBot="1">
      <c r="A19" s="90" t="s">
        <v>2</v>
      </c>
      <c r="B19" s="91" t="s">
        <v>0</v>
      </c>
      <c r="C19" s="92" t="s">
        <v>0</v>
      </c>
      <c r="D19" s="254" t="s">
        <v>269</v>
      </c>
      <c r="E19" s="253" t="s">
        <v>60</v>
      </c>
      <c r="F19" s="91" t="s">
        <v>0</v>
      </c>
      <c r="H19" s="10"/>
    </row>
    <row r="20" spans="1:8" ht="16.5">
      <c r="A20" s="255" t="s">
        <v>7</v>
      </c>
      <c r="B20" s="238" t="s">
        <v>7</v>
      </c>
      <c r="C20" s="256" t="s">
        <v>7</v>
      </c>
      <c r="D20" s="238" t="s">
        <v>7</v>
      </c>
      <c r="E20" s="264" t="s">
        <v>270</v>
      </c>
      <c r="F20" s="95"/>
      <c r="H20" s="10"/>
    </row>
    <row r="21" spans="1:8" ht="17.25">
      <c r="A21" s="83"/>
      <c r="B21" s="84"/>
      <c r="C21" s="85"/>
      <c r="D21" s="84"/>
      <c r="E21" s="208"/>
      <c r="F21" s="84"/>
      <c r="H21" s="10"/>
    </row>
    <row r="22" spans="1:8" ht="17.25">
      <c r="A22" s="97" t="str">
        <f>+'S&amp;D'!A22</f>
        <v xml:space="preserve">FedEx Corp </v>
      </c>
      <c r="B22" s="75" t="str">
        <f>+'S&amp;D'!B22</f>
        <v>FDX</v>
      </c>
      <c r="C22" s="85" t="str">
        <f>+'S&amp;D'!C22</f>
        <v>Air Trans</v>
      </c>
      <c r="D22" s="223">
        <f>+'S&amp;D'!D33</f>
        <v>67758500141.989998</v>
      </c>
      <c r="E22" s="224">
        <f>26460000000+(27582000000-26766000000)</f>
        <v>27276000000</v>
      </c>
      <c r="F22" s="99">
        <f t="shared" ref="F22:F23" si="0">+D22/E22</f>
        <v>2.4841802369112038</v>
      </c>
      <c r="H22" s="10"/>
    </row>
    <row r="23" spans="1:8" ht="17.25">
      <c r="A23" s="97" t="str">
        <f>+'S&amp;D'!A23</f>
        <v xml:space="preserve">United Parcel Service </v>
      </c>
      <c r="B23" s="75" t="str">
        <f>+'S&amp;D'!B23</f>
        <v>UPS</v>
      </c>
      <c r="C23" s="85" t="str">
        <f>+'S&amp;D'!C23</f>
        <v>Air Trans</v>
      </c>
      <c r="D23" s="223">
        <f>+'S&amp;D'!D34</f>
        <v>107664180000</v>
      </c>
      <c r="E23" s="223">
        <f>16743000000-25000000</f>
        <v>16718000000</v>
      </c>
      <c r="F23" s="99">
        <f t="shared" si="0"/>
        <v>6.440015552099533</v>
      </c>
      <c r="H23" s="10"/>
    </row>
    <row r="24" spans="1:8" ht="18" thickBot="1">
      <c r="A24" s="260" t="s">
        <v>0</v>
      </c>
      <c r="B24" s="76" t="s">
        <v>0</v>
      </c>
      <c r="C24" s="92" t="s">
        <v>0</v>
      </c>
      <c r="D24" s="261" t="s">
        <v>0</v>
      </c>
      <c r="E24" s="290" t="s">
        <v>0</v>
      </c>
      <c r="F24" s="99" t="s">
        <v>0</v>
      </c>
      <c r="G24" t="s">
        <v>0</v>
      </c>
      <c r="H24" s="10"/>
    </row>
    <row r="25" spans="1:8" ht="27" customHeight="1" thickBot="1">
      <c r="A25" s="111"/>
      <c r="B25" s="103"/>
      <c r="C25" s="103"/>
      <c r="D25" s="112"/>
      <c r="E25" s="289" t="s">
        <v>278</v>
      </c>
      <c r="F25" s="179">
        <f>AVERAGE(F22:F24)</f>
        <v>4.4620978945053684</v>
      </c>
      <c r="H25" s="10"/>
    </row>
    <row r="26" spans="1:8" ht="17.25">
      <c r="A26" s="101"/>
      <c r="B26" s="101"/>
      <c r="C26" s="101"/>
      <c r="D26" s="101"/>
      <c r="E26" s="217"/>
      <c r="F26" s="219"/>
      <c r="H26" s="10"/>
    </row>
    <row r="27" spans="1:8" ht="17.25">
      <c r="A27" s="101"/>
      <c r="B27" s="101"/>
      <c r="C27" s="101"/>
      <c r="D27" s="101"/>
      <c r="E27" s="217"/>
      <c r="F27" s="219"/>
      <c r="H27" s="10"/>
    </row>
    <row r="28" spans="1:8" ht="17.25">
      <c r="A28" s="101"/>
      <c r="B28" s="101"/>
      <c r="C28" s="101"/>
      <c r="D28" s="101"/>
      <c r="E28" s="217"/>
      <c r="F28" s="219"/>
      <c r="H28" s="10"/>
    </row>
    <row r="29" spans="1:8" ht="18" thickBot="1">
      <c r="A29" s="101"/>
      <c r="B29" s="101"/>
      <c r="C29" s="101"/>
      <c r="D29" s="101"/>
      <c r="E29" s="101"/>
      <c r="F29" s="101"/>
      <c r="H29" s="10"/>
    </row>
    <row r="30" spans="1:8" ht="17.25">
      <c r="A30" s="220"/>
      <c r="B30" s="221"/>
      <c r="C30" s="222"/>
      <c r="D30" s="205" t="s">
        <v>0</v>
      </c>
      <c r="E30" s="206" t="s">
        <v>0</v>
      </c>
      <c r="F30" s="205" t="s">
        <v>0</v>
      </c>
      <c r="H30" s="10"/>
    </row>
    <row r="31" spans="1:8" ht="17.25">
      <c r="A31" s="83" t="s">
        <v>0</v>
      </c>
      <c r="B31" s="84" t="s">
        <v>3</v>
      </c>
      <c r="C31" s="85" t="s">
        <v>5</v>
      </c>
      <c r="D31" s="86" t="s">
        <v>0</v>
      </c>
      <c r="E31" s="207" t="s">
        <v>0</v>
      </c>
      <c r="F31" s="86" t="s">
        <v>271</v>
      </c>
      <c r="H31" s="10"/>
    </row>
    <row r="32" spans="1:8" ht="17.25">
      <c r="A32" s="83"/>
      <c r="B32" s="84" t="s">
        <v>4</v>
      </c>
      <c r="C32" s="85" t="s">
        <v>6</v>
      </c>
      <c r="D32" s="86" t="s">
        <v>272</v>
      </c>
      <c r="E32" s="207" t="s">
        <v>272</v>
      </c>
      <c r="F32" s="86" t="s">
        <v>123</v>
      </c>
    </row>
    <row r="33" spans="1:7" ht="18" thickBot="1">
      <c r="A33" s="90" t="s">
        <v>2</v>
      </c>
      <c r="B33" s="91" t="s">
        <v>0</v>
      </c>
      <c r="C33" s="92" t="s">
        <v>0</v>
      </c>
      <c r="D33" s="254" t="s">
        <v>269</v>
      </c>
      <c r="E33" s="253" t="s">
        <v>60</v>
      </c>
      <c r="F33" s="91" t="s">
        <v>0</v>
      </c>
    </row>
    <row r="34" spans="1:7">
      <c r="A34" s="255" t="s">
        <v>7</v>
      </c>
      <c r="B34" s="238" t="s">
        <v>7</v>
      </c>
      <c r="C34" s="256" t="s">
        <v>7</v>
      </c>
      <c r="D34" s="238" t="s">
        <v>270</v>
      </c>
      <c r="E34" s="109" t="s">
        <v>270</v>
      </c>
      <c r="F34" s="95"/>
    </row>
    <row r="35" spans="1:7" ht="17.25">
      <c r="A35" s="83"/>
      <c r="B35" s="84"/>
      <c r="C35" s="85"/>
      <c r="D35" s="84"/>
      <c r="E35" s="208"/>
      <c r="F35" s="84"/>
    </row>
    <row r="36" spans="1:7" ht="17.25">
      <c r="A36" s="97" t="str">
        <f t="shared" ref="A36:C37" si="1">+A22</f>
        <v xml:space="preserve">FedEx Corp </v>
      </c>
      <c r="B36" s="75" t="str">
        <f t="shared" si="1"/>
        <v>FDX</v>
      </c>
      <c r="C36" s="85" t="str">
        <f t="shared" si="1"/>
        <v>Air Trans</v>
      </c>
      <c r="D36" s="223">
        <f>+'S&amp;D'!H33</f>
        <v>18905505102.040813</v>
      </c>
      <c r="E36" s="224">
        <f>+'S&amp;D'!J22</f>
        <v>20701000000</v>
      </c>
      <c r="F36" s="99">
        <f t="shared" ref="F36:F37" si="2">+D36/E36</f>
        <v>0.91326530612244883</v>
      </c>
    </row>
    <row r="37" spans="1:7" ht="17.25">
      <c r="A37" s="97" t="str">
        <f t="shared" si="1"/>
        <v xml:space="preserve">United Parcel Service </v>
      </c>
      <c r="B37" s="75" t="str">
        <f t="shared" si="1"/>
        <v>UPS</v>
      </c>
      <c r="C37" s="85" t="str">
        <f t="shared" si="1"/>
        <v>Air Trans</v>
      </c>
      <c r="D37" s="223">
        <f>+'S&amp;D'!H34</f>
        <v>20300000000</v>
      </c>
      <c r="E37" s="224">
        <f>+'S&amp;D'!J23</f>
        <v>21284000000</v>
      </c>
      <c r="F37" s="99">
        <f t="shared" si="2"/>
        <v>0.95376808870513063</v>
      </c>
    </row>
    <row r="38" spans="1:7" ht="18" thickBot="1">
      <c r="A38" s="260" t="str">
        <f>+A24</f>
        <v xml:space="preserve"> </v>
      </c>
      <c r="B38" s="76" t="s">
        <v>0</v>
      </c>
      <c r="C38" s="92" t="s">
        <v>0</v>
      </c>
      <c r="D38" s="261" t="s">
        <v>0</v>
      </c>
      <c r="E38" s="224" t="s">
        <v>0</v>
      </c>
      <c r="F38" s="99" t="s">
        <v>0</v>
      </c>
      <c r="G38" t="s">
        <v>0</v>
      </c>
    </row>
    <row r="39" spans="1:7" ht="27.75" customHeight="1" thickBot="1">
      <c r="A39" s="257"/>
      <c r="B39" s="139"/>
      <c r="C39" s="139"/>
      <c r="D39" s="258"/>
      <c r="E39" s="259" t="s">
        <v>278</v>
      </c>
      <c r="F39" s="179">
        <f>AVERAGE(F36:F38)</f>
        <v>0.93351669741378973</v>
      </c>
    </row>
    <row r="44" spans="1:7">
      <c r="C44" s="209" t="s">
        <v>273</v>
      </c>
      <c r="D44" s="209" t="s">
        <v>274</v>
      </c>
      <c r="E44" s="209"/>
    </row>
    <row r="45" spans="1:7">
      <c r="A45" s="211"/>
      <c r="B45" s="211"/>
      <c r="C45" s="210" t="s">
        <v>35</v>
      </c>
      <c r="D45" s="210" t="s">
        <v>275</v>
      </c>
      <c r="E45" s="210" t="s">
        <v>276</v>
      </c>
    </row>
    <row r="46" spans="1:7" ht="17.25">
      <c r="A46" s="85" t="s">
        <v>39</v>
      </c>
      <c r="B46" s="127" t="s">
        <v>0</v>
      </c>
      <c r="C46" s="127">
        <f>+'Yield CapRate'!C23</f>
        <v>0.73</v>
      </c>
      <c r="D46" s="215">
        <f>+F25</f>
        <v>4.4620978945053684</v>
      </c>
      <c r="E46" s="216">
        <f>+C46*D46</f>
        <v>3.257331462988919</v>
      </c>
      <c r="F46" s="128" t="s">
        <v>0</v>
      </c>
    </row>
    <row r="47" spans="1:7" ht="17.25">
      <c r="A47" s="212" t="s">
        <v>41</v>
      </c>
      <c r="B47" s="213" t="str">
        <f>'S&amp;D'!J30</f>
        <v xml:space="preserve"> </v>
      </c>
      <c r="C47" s="213">
        <f>+'Yield CapRate'!C25</f>
        <v>0.27</v>
      </c>
      <c r="D47" s="214">
        <f>+F39</f>
        <v>0.93351669741378973</v>
      </c>
      <c r="E47" s="214">
        <f>+C47*D47</f>
        <v>0.25204950830172324</v>
      </c>
      <c r="F47" s="128" t="s">
        <v>0</v>
      </c>
    </row>
    <row r="48" spans="1:7">
      <c r="D48" s="217" t="s">
        <v>277</v>
      </c>
      <c r="E48" s="218">
        <f>+E46+E47</f>
        <v>3.5093809712906423</v>
      </c>
    </row>
    <row r="51" spans="1:1" ht="20.25">
      <c r="A51" s="28" t="s">
        <v>375</v>
      </c>
    </row>
    <row r="52" spans="1:1" ht="19.5" customHeight="1">
      <c r="A52" s="28" t="s">
        <v>349</v>
      </c>
    </row>
  </sheetData>
  <pageMargins left="0.25" right="0.25" top="0.75" bottom="0.75" header="0.3" footer="0.3"/>
  <pageSetup scale="55" orientation="landscape" r:id="rId1"/>
  <rowBreaks count="1" manualBreakCount="1">
    <brk id="29" max="6" man="1"/>
  </rowBreaks>
  <colBreaks count="1" manualBreakCount="1">
    <brk id="8" max="71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45E-BF36-4A2C-868C-9B0DC0104C72}">
  <sheetPr codeName="Sheet6">
    <tabColor rgb="FF92D050"/>
  </sheetPr>
  <dimension ref="A1:L71"/>
  <sheetViews>
    <sheetView view="pageBreakPreview" zoomScale="70" zoomScaleNormal="80" zoomScaleSheetLayoutView="70" workbookViewId="0">
      <selection activeCell="L30" sqref="L30"/>
    </sheetView>
  </sheetViews>
  <sheetFormatPr defaultRowHeight="15"/>
  <cols>
    <col min="1" max="1" width="41" customWidth="1"/>
    <col min="2" max="2" width="10.85546875" bestFit="1" customWidth="1"/>
    <col min="3" max="3" width="10.85546875" customWidth="1"/>
    <col min="4" max="4" width="28.5703125" customWidth="1"/>
    <col min="5" max="5" width="22.140625" customWidth="1"/>
    <col min="6" max="6" width="26.5703125" customWidth="1"/>
    <col min="7" max="7" width="26.42578125" customWidth="1"/>
    <col min="8" max="8" width="23.85546875" customWidth="1"/>
    <col min="9" max="9" width="15" customWidth="1"/>
    <col min="10" max="10" width="14.140625" bestFit="1" customWidth="1"/>
    <col min="11" max="11" width="16.85546875" customWidth="1"/>
    <col min="12" max="12" width="23.140625" customWidth="1"/>
  </cols>
  <sheetData>
    <row r="1" spans="1:12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16.5">
      <c r="A4" s="2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16.5">
      <c r="A5" s="2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16.5">
      <c r="A6" s="2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7.25" thickBot="1">
      <c r="A7" s="10"/>
      <c r="B7" s="10"/>
      <c r="C7" s="10"/>
      <c r="D7" s="10"/>
      <c r="E7" s="10"/>
      <c r="F7" s="26"/>
      <c r="G7" s="26"/>
      <c r="H7" s="27" t="s">
        <v>0</v>
      </c>
      <c r="I7" s="10"/>
      <c r="J7" s="10"/>
      <c r="K7" s="10"/>
      <c r="L7" s="10"/>
    </row>
    <row r="8" spans="1:12" ht="27" thickBot="1">
      <c r="A8" s="229" t="str">
        <f>+'S&amp;D'!A12</f>
        <v>Air Freight Carriers</v>
      </c>
      <c r="B8" s="230"/>
      <c r="C8" s="170"/>
      <c r="D8" s="10"/>
      <c r="E8" s="10"/>
      <c r="F8" s="10"/>
      <c r="G8" s="29" t="s">
        <v>75</v>
      </c>
      <c r="H8" s="10"/>
      <c r="I8" s="10"/>
      <c r="J8" s="10"/>
      <c r="K8" s="10"/>
      <c r="L8" s="10"/>
    </row>
    <row r="9" spans="1:12" ht="20.25">
      <c r="A9" s="28"/>
      <c r="B9" s="10"/>
      <c r="C9" s="10"/>
      <c r="D9" s="10"/>
      <c r="E9" s="10"/>
      <c r="F9" s="10"/>
      <c r="G9" s="85" t="s">
        <v>76</v>
      </c>
      <c r="H9" s="10"/>
      <c r="I9" s="10"/>
      <c r="J9" s="10"/>
      <c r="K9" s="10"/>
      <c r="L9" s="10"/>
    </row>
    <row r="10" spans="1:12" ht="18" customHeight="1" thickBot="1">
      <c r="A10" s="38" t="s">
        <v>0</v>
      </c>
      <c r="B10" s="38" t="s">
        <v>0</v>
      </c>
      <c r="C10" s="38" t="s">
        <v>0</v>
      </c>
      <c r="D10" s="10"/>
      <c r="E10" s="10"/>
      <c r="F10" s="31" t="s">
        <v>0</v>
      </c>
      <c r="G10" s="34" t="s">
        <v>410</v>
      </c>
      <c r="H10" s="31" t="s">
        <v>0</v>
      </c>
      <c r="I10" s="38" t="s">
        <v>0</v>
      </c>
      <c r="J10" s="10"/>
      <c r="K10" s="10"/>
      <c r="L10" s="10"/>
    </row>
    <row r="11" spans="1:12" ht="18" customHeight="1">
      <c r="A11" s="38"/>
      <c r="B11" s="38"/>
      <c r="C11" s="38"/>
      <c r="D11" s="10"/>
      <c r="E11" s="10"/>
      <c r="J11" s="10"/>
      <c r="K11" s="10"/>
      <c r="L11" s="10"/>
    </row>
    <row r="12" spans="1:12" ht="18" customHeight="1">
      <c r="A12" s="38"/>
      <c r="B12" s="38"/>
      <c r="C12" s="38"/>
      <c r="D12" s="10" t="s">
        <v>0</v>
      </c>
      <c r="E12" s="10" t="s">
        <v>0</v>
      </c>
      <c r="J12" s="10"/>
      <c r="K12" s="10"/>
      <c r="L12" s="10" t="s">
        <v>0</v>
      </c>
    </row>
    <row r="13" spans="1:12" ht="17.25" thickBot="1">
      <c r="A13" s="31"/>
      <c r="B13" s="31"/>
      <c r="C13" s="31"/>
      <c r="D13" s="31"/>
      <c r="E13" s="34"/>
      <c r="F13" s="31"/>
      <c r="G13" s="31"/>
      <c r="H13" s="31"/>
      <c r="I13" s="31"/>
      <c r="J13" s="26"/>
      <c r="K13" s="26"/>
      <c r="L13" s="26"/>
    </row>
    <row r="14" spans="1:12" ht="15" customHeight="1" thickBot="1">
      <c r="A14" s="31" t="s">
        <v>24</v>
      </c>
      <c r="B14" s="31" t="s">
        <v>88</v>
      </c>
      <c r="C14" s="31" t="s">
        <v>89</v>
      </c>
      <c r="D14" s="39" t="s">
        <v>90</v>
      </c>
      <c r="E14" s="31" t="s">
        <v>91</v>
      </c>
      <c r="F14" s="31" t="s">
        <v>92</v>
      </c>
      <c r="G14" s="31" t="s">
        <v>93</v>
      </c>
      <c r="H14" s="31" t="s">
        <v>94</v>
      </c>
      <c r="I14" s="31" t="s">
        <v>95</v>
      </c>
      <c r="J14" s="31" t="s">
        <v>96</v>
      </c>
      <c r="K14" s="31" t="s">
        <v>97</v>
      </c>
      <c r="L14" s="31" t="s">
        <v>105</v>
      </c>
    </row>
    <row r="15" spans="1:12" ht="16.5">
      <c r="A15" s="32" t="s">
        <v>0</v>
      </c>
      <c r="B15" s="32" t="s">
        <v>3</v>
      </c>
      <c r="C15" s="32" t="s">
        <v>77</v>
      </c>
      <c r="D15" s="32" t="s">
        <v>80</v>
      </c>
      <c r="E15" s="32" t="s">
        <v>80</v>
      </c>
      <c r="F15" s="32" t="s">
        <v>81</v>
      </c>
      <c r="G15" s="32" t="s">
        <v>84</v>
      </c>
      <c r="H15" s="32" t="s">
        <v>86</v>
      </c>
      <c r="I15" s="32" t="s">
        <v>108</v>
      </c>
      <c r="J15" s="32" t="s">
        <v>108</v>
      </c>
      <c r="K15" s="32" t="s">
        <v>101</v>
      </c>
      <c r="L15" s="32" t="s">
        <v>103</v>
      </c>
    </row>
    <row r="16" spans="1:12" ht="17.25" thickBot="1">
      <c r="A16" s="34" t="s">
        <v>2</v>
      </c>
      <c r="B16" s="34" t="s">
        <v>4</v>
      </c>
      <c r="C16" s="34" t="s">
        <v>78</v>
      </c>
      <c r="D16" s="34" t="s">
        <v>83</v>
      </c>
      <c r="E16" s="34" t="s">
        <v>82</v>
      </c>
      <c r="F16" s="34" t="s">
        <v>19</v>
      </c>
      <c r="G16" s="34" t="s">
        <v>85</v>
      </c>
      <c r="H16" s="34" t="s">
        <v>87</v>
      </c>
      <c r="I16" s="34" t="s">
        <v>0</v>
      </c>
      <c r="J16" s="34" t="s">
        <v>0</v>
      </c>
      <c r="K16" s="34" t="s">
        <v>102</v>
      </c>
      <c r="L16" s="34" t="s">
        <v>84</v>
      </c>
    </row>
    <row r="17" spans="1:12">
      <c r="A17" s="40" t="s">
        <v>7</v>
      </c>
      <c r="B17" s="40" t="s">
        <v>7</v>
      </c>
      <c r="C17" s="40" t="s">
        <v>79</v>
      </c>
      <c r="D17" s="40" t="s">
        <v>234</v>
      </c>
      <c r="E17" s="40" t="s">
        <v>234</v>
      </c>
      <c r="F17" s="40" t="s">
        <v>106</v>
      </c>
      <c r="G17" s="40" t="s">
        <v>233</v>
      </c>
      <c r="H17" s="40" t="s">
        <v>98</v>
      </c>
      <c r="I17" s="40" t="s">
        <v>99</v>
      </c>
      <c r="J17" s="40" t="s">
        <v>100</v>
      </c>
      <c r="K17" s="40" t="s">
        <v>107</v>
      </c>
      <c r="L17" s="40" t="s">
        <v>104</v>
      </c>
    </row>
    <row r="18" spans="1:12" ht="16.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16.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22.5" customHeight="1">
      <c r="A20" s="59" t="str">
        <f>+'S&amp;D'!A22</f>
        <v xml:space="preserve">FedEx Corp </v>
      </c>
      <c r="B20" s="85" t="str">
        <f>+'S&amp;D'!B22</f>
        <v>FDX</v>
      </c>
      <c r="C20" s="62">
        <f>+'Growth &amp; Inflation Rates'!$D$57</f>
        <v>2.3E-2</v>
      </c>
      <c r="D20" s="262">
        <f>85658000000+(84391000000-83281000000)</f>
        <v>86768000000</v>
      </c>
      <c r="E20" s="300">
        <v>83281000000</v>
      </c>
      <c r="F20" s="300">
        <f t="shared" ref="F20:F21" si="0">(D20+E20)/2</f>
        <v>85024500000</v>
      </c>
      <c r="G20" s="395">
        <f>2141000000+(4287000000-2111000000)</f>
        <v>4317000000</v>
      </c>
      <c r="H20" s="16">
        <f t="shared" ref="H20:H21" si="1">+F20/G20</f>
        <v>19.695274496177902</v>
      </c>
      <c r="I20" s="42">
        <f t="shared" ref="I20:I21" si="2">+C20*H20</f>
        <v>0.45299131341209176</v>
      </c>
      <c r="J20" s="43">
        <f t="shared" ref="J20:J21" si="3">1/(1+C20)^H20</f>
        <v>0.63899385721916702</v>
      </c>
      <c r="K20" s="124">
        <f t="shared" ref="K20:K21" si="4">(G20*I20)/(1-J20)</f>
        <v>5416981231.7770548</v>
      </c>
      <c r="L20" s="125">
        <f t="shared" ref="L20:L21" si="5">+K20/G20</f>
        <v>1.2548022311274161</v>
      </c>
    </row>
    <row r="21" spans="1:12" ht="22.5" customHeight="1">
      <c r="A21" s="59" t="str">
        <f>+'S&amp;D'!A23</f>
        <v xml:space="preserve">United Parcel Service </v>
      </c>
      <c r="B21" s="85" t="str">
        <f>+'S&amp;D'!B23</f>
        <v>UPS</v>
      </c>
      <c r="C21" s="62">
        <f>+'Growth &amp; Inflation Rates'!$D$57</f>
        <v>2.3E-2</v>
      </c>
      <c r="D21" s="262">
        <v>73296000000</v>
      </c>
      <c r="E21" s="123">
        <v>71515000000</v>
      </c>
      <c r="F21" s="123">
        <f t="shared" si="0"/>
        <v>72405500000</v>
      </c>
      <c r="G21" s="123">
        <v>3609000000</v>
      </c>
      <c r="H21" s="16">
        <f t="shared" si="1"/>
        <v>20.062482682183429</v>
      </c>
      <c r="I21" s="42">
        <f t="shared" si="2"/>
        <v>0.46143710169021884</v>
      </c>
      <c r="J21" s="43">
        <f t="shared" si="3"/>
        <v>0.63368039307119051</v>
      </c>
      <c r="K21" s="124">
        <f t="shared" si="4"/>
        <v>4546102552.2547016</v>
      </c>
      <c r="L21" s="125">
        <f t="shared" si="5"/>
        <v>1.2596571217109176</v>
      </c>
    </row>
    <row r="22" spans="1:12" ht="22.5" customHeight="1">
      <c r="A22" s="59" t="s">
        <v>0</v>
      </c>
      <c r="B22" s="85" t="s">
        <v>0</v>
      </c>
      <c r="C22" s="62" t="s">
        <v>0</v>
      </c>
      <c r="D22" s="262" t="s">
        <v>0</v>
      </c>
      <c r="E22" s="123" t="s">
        <v>0</v>
      </c>
      <c r="F22" s="123" t="s">
        <v>0</v>
      </c>
      <c r="G22" s="123" t="s">
        <v>0</v>
      </c>
      <c r="H22" s="16" t="s">
        <v>0</v>
      </c>
      <c r="I22" s="42" t="s">
        <v>0</v>
      </c>
      <c r="J22" s="43" t="s">
        <v>0</v>
      </c>
      <c r="K22" s="124" t="s">
        <v>0</v>
      </c>
      <c r="L22" s="125" t="s">
        <v>0</v>
      </c>
    </row>
    <row r="23" spans="1:12" ht="22.5" customHeight="1" thickBot="1">
      <c r="A23" s="66"/>
      <c r="B23" s="66"/>
      <c r="C23" s="44"/>
      <c r="D23" s="44"/>
      <c r="E23" s="44"/>
      <c r="F23" s="44"/>
      <c r="G23" s="44" t="s">
        <v>0</v>
      </c>
      <c r="H23" s="44"/>
      <c r="I23" s="44" t="s">
        <v>44</v>
      </c>
      <c r="J23" s="44"/>
      <c r="K23" s="44"/>
      <c r="L23" s="44"/>
    </row>
    <row r="24" spans="1:12" ht="22.5" customHeight="1" thickTop="1">
      <c r="A24" s="10"/>
      <c r="B24" s="10"/>
      <c r="C24" s="45" t="s">
        <v>0</v>
      </c>
      <c r="D24" s="45" t="s">
        <v>0</v>
      </c>
      <c r="E24" s="32" t="s">
        <v>0</v>
      </c>
      <c r="F24" s="32"/>
      <c r="G24" s="45" t="s">
        <v>0</v>
      </c>
      <c r="H24" s="32"/>
      <c r="I24" s="45" t="s">
        <v>0</v>
      </c>
      <c r="J24" s="45" t="s">
        <v>0</v>
      </c>
      <c r="K24" s="12" t="s">
        <v>45</v>
      </c>
      <c r="L24" s="49">
        <f>+MAX(L20:L21)</f>
        <v>1.2596571217109176</v>
      </c>
    </row>
    <row r="25" spans="1:12" ht="22.5" customHeight="1">
      <c r="B25" s="10"/>
      <c r="C25" s="45"/>
      <c r="D25" s="301" t="s">
        <v>0</v>
      </c>
      <c r="E25" s="302" t="s">
        <v>0</v>
      </c>
      <c r="F25" s="302"/>
      <c r="G25" s="301" t="s">
        <v>0</v>
      </c>
      <c r="H25" s="32"/>
      <c r="I25" s="45"/>
      <c r="J25" s="45"/>
      <c r="K25" s="282" t="s">
        <v>46</v>
      </c>
      <c r="L25" s="283">
        <f>MIN(L20:L21)</f>
        <v>1.2548022311274161</v>
      </c>
    </row>
    <row r="26" spans="1:12" ht="22.5" customHeight="1">
      <c r="B26" s="10"/>
      <c r="C26" s="10"/>
      <c r="D26" s="10"/>
      <c r="E26" s="10"/>
      <c r="F26" s="10"/>
      <c r="G26" s="10" t="s">
        <v>0</v>
      </c>
      <c r="H26" s="10"/>
      <c r="I26" s="10"/>
      <c r="J26" s="10"/>
      <c r="K26" s="12" t="s">
        <v>18</v>
      </c>
      <c r="L26" s="51">
        <f>MEDIAN(L20:L22)</f>
        <v>1.2572296764191668</v>
      </c>
    </row>
    <row r="27" spans="1:12" ht="22.5" customHeight="1">
      <c r="A27" s="10" t="s">
        <v>0</v>
      </c>
      <c r="B27" s="10"/>
      <c r="C27" s="10"/>
      <c r="D27" s="10"/>
      <c r="E27" s="10"/>
      <c r="F27" s="10"/>
      <c r="G27" s="10"/>
      <c r="H27" s="10"/>
      <c r="I27" s="10"/>
      <c r="J27" s="10"/>
      <c r="K27" s="12" t="s">
        <v>374</v>
      </c>
      <c r="L27" s="51">
        <f>AVERAGE(L20:L22)</f>
        <v>1.2572296764191668</v>
      </c>
    </row>
    <row r="28" spans="1:12" ht="22.5" customHeight="1" thickBot="1">
      <c r="A28" s="10"/>
      <c r="B28" s="10"/>
      <c r="C28" s="10"/>
      <c r="D28" s="10"/>
      <c r="E28" s="10"/>
      <c r="F28" s="10"/>
      <c r="G28" s="10" t="s">
        <v>0</v>
      </c>
      <c r="H28" s="10"/>
      <c r="I28" s="10"/>
      <c r="J28" s="10"/>
      <c r="K28" s="10"/>
      <c r="L28" s="10"/>
    </row>
    <row r="29" spans="1:12" ht="22.5" customHeight="1" thickBot="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76" t="s">
        <v>200</v>
      </c>
      <c r="L29" s="349">
        <v>1.2572000000000001</v>
      </c>
    </row>
    <row r="30" spans="1:12" ht="16.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6.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6.5">
      <c r="A32" s="10" t="s">
        <v>71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6.5">
      <c r="A33" s="10" t="s">
        <v>245</v>
      </c>
    </row>
    <row r="34" spans="1:12" ht="16.5">
      <c r="A34" s="10"/>
    </row>
    <row r="35" spans="1:12" ht="16.5">
      <c r="A35" s="10" t="s">
        <v>348</v>
      </c>
    </row>
    <row r="36" spans="1:12" ht="20.25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</row>
    <row r="37" spans="1:12" ht="26.25">
      <c r="A37" s="21" t="s">
        <v>1</v>
      </c>
      <c r="B37" s="10"/>
      <c r="C37" s="10"/>
      <c r="D37" s="10"/>
      <c r="E37" s="10"/>
      <c r="F37" s="10"/>
      <c r="G37" s="10"/>
      <c r="H37" s="10"/>
      <c r="I37" s="10"/>
      <c r="J37" s="10"/>
      <c r="K37" s="202"/>
      <c r="L37" s="202"/>
    </row>
    <row r="38" spans="1:12" ht="20.25">
      <c r="A38" s="22" t="s">
        <v>9</v>
      </c>
      <c r="B38" s="10"/>
      <c r="C38" s="10"/>
      <c r="D38" s="10"/>
      <c r="E38" s="10"/>
      <c r="F38" s="10"/>
      <c r="G38" s="10"/>
      <c r="H38" s="10"/>
      <c r="I38" s="10"/>
      <c r="J38" s="10"/>
      <c r="K38" s="202"/>
      <c r="L38" s="202"/>
    </row>
    <row r="39" spans="1:12" ht="20.25">
      <c r="A39" s="23" t="s">
        <v>409</v>
      </c>
      <c r="B39" s="10"/>
      <c r="C39" s="10"/>
      <c r="D39" s="10"/>
      <c r="E39" s="10"/>
      <c r="F39" s="10"/>
      <c r="G39" s="10"/>
      <c r="H39" s="10"/>
      <c r="I39" s="10"/>
      <c r="J39" s="10"/>
      <c r="K39" s="202"/>
      <c r="L39" s="202"/>
    </row>
    <row r="40" spans="1:12" ht="20.25">
      <c r="A40" s="23"/>
      <c r="B40" s="10"/>
      <c r="C40" s="10"/>
      <c r="D40" s="10"/>
      <c r="E40" s="10"/>
      <c r="F40" s="10"/>
      <c r="G40" s="10"/>
      <c r="H40" s="10"/>
      <c r="I40" s="10"/>
      <c r="J40" s="10"/>
      <c r="K40" s="202"/>
      <c r="L40" s="202"/>
    </row>
    <row r="41" spans="1:12" ht="20.25">
      <c r="A41" s="23"/>
      <c r="B41" s="10"/>
      <c r="C41" s="10"/>
      <c r="D41" s="10"/>
      <c r="E41" s="10"/>
      <c r="F41" s="10"/>
      <c r="G41" s="10"/>
      <c r="H41" s="10"/>
      <c r="I41" s="10"/>
      <c r="J41" s="10"/>
      <c r="K41" s="202"/>
      <c r="L41" s="202"/>
    </row>
    <row r="42" spans="1:12" ht="20.25">
      <c r="A42" s="23"/>
      <c r="B42" s="10"/>
      <c r="C42" s="10"/>
      <c r="D42" s="10"/>
      <c r="E42" s="10"/>
      <c r="F42" s="10"/>
      <c r="G42" s="10"/>
      <c r="H42" s="10"/>
      <c r="I42" s="10"/>
      <c r="J42" s="10"/>
      <c r="K42" s="202"/>
      <c r="L42" s="202"/>
    </row>
    <row r="43" spans="1:12" ht="21" thickBot="1">
      <c r="B43" s="10"/>
      <c r="C43" s="10"/>
      <c r="D43" s="10"/>
      <c r="E43" s="10"/>
      <c r="F43" s="26"/>
      <c r="G43" s="26"/>
      <c r="H43" s="27" t="s">
        <v>0</v>
      </c>
      <c r="I43" s="10"/>
      <c r="J43" s="10"/>
      <c r="K43" s="202"/>
      <c r="L43" s="202"/>
    </row>
    <row r="44" spans="1:12" ht="26.25">
      <c r="B44" s="10"/>
      <c r="C44" s="10"/>
      <c r="D44" s="10"/>
      <c r="E44" s="10"/>
      <c r="F44" s="10"/>
      <c r="G44" s="29" t="s">
        <v>267</v>
      </c>
      <c r="H44" s="10"/>
      <c r="I44" s="10"/>
      <c r="J44" s="10"/>
      <c r="K44" s="202"/>
      <c r="L44" s="202"/>
    </row>
    <row r="45" spans="1:12" ht="21" thickBot="1">
      <c r="B45" s="38" t="s">
        <v>0</v>
      </c>
      <c r="C45" s="38" t="s">
        <v>0</v>
      </c>
      <c r="D45" s="10"/>
      <c r="E45" s="10"/>
      <c r="F45" s="31" t="s">
        <v>0</v>
      </c>
      <c r="G45" s="34" t="s">
        <v>410</v>
      </c>
      <c r="H45" s="31" t="s">
        <v>0</v>
      </c>
      <c r="I45" s="38" t="s">
        <v>0</v>
      </c>
      <c r="J45" s="10"/>
      <c r="K45" s="202"/>
      <c r="L45" s="202"/>
    </row>
    <row r="46" spans="1:12" ht="20.25">
      <c r="A46" s="202"/>
      <c r="B46" s="202"/>
      <c r="C46" s="202"/>
      <c r="D46" s="202"/>
      <c r="E46" s="202"/>
      <c r="F46" s="202"/>
      <c r="G46" s="202"/>
      <c r="H46" s="202"/>
      <c r="I46" s="202"/>
      <c r="J46" s="202"/>
      <c r="K46" s="202"/>
      <c r="L46" s="202"/>
    </row>
    <row r="47" spans="1:12" ht="20.25">
      <c r="A47" s="202"/>
      <c r="B47" s="202"/>
      <c r="C47" s="202"/>
      <c r="D47" s="202"/>
      <c r="E47" s="202"/>
      <c r="F47" s="202"/>
      <c r="G47" s="202"/>
      <c r="H47" s="202"/>
      <c r="I47" s="202"/>
      <c r="J47" s="202"/>
      <c r="K47" s="202"/>
      <c r="L47" s="202"/>
    </row>
    <row r="48" spans="1:12" ht="20.25">
      <c r="A48" s="202"/>
      <c r="B48" s="202"/>
      <c r="C48" s="202"/>
      <c r="D48" s="202"/>
      <c r="E48" s="202"/>
      <c r="F48" s="202"/>
      <c r="G48" s="202"/>
      <c r="H48" s="202"/>
      <c r="I48" s="202"/>
      <c r="J48" s="202"/>
      <c r="K48" s="202"/>
      <c r="L48" s="202"/>
    </row>
    <row r="49" spans="1:12" ht="16.5">
      <c r="A49" s="38"/>
      <c r="B49" s="38"/>
      <c r="C49" s="38"/>
      <c r="D49" s="10"/>
      <c r="E49" s="10"/>
      <c r="J49" s="10"/>
      <c r="K49" s="10"/>
      <c r="L49" s="10"/>
    </row>
    <row r="50" spans="1:12" ht="31.5">
      <c r="A50" s="196" t="s">
        <v>256</v>
      </c>
      <c r="B50" s="38"/>
      <c r="C50" s="198" t="s">
        <v>261</v>
      </c>
      <c r="D50" s="10"/>
      <c r="E50" s="10"/>
      <c r="J50" s="10"/>
      <c r="K50" s="10"/>
      <c r="L50" s="10"/>
    </row>
    <row r="51" spans="1:12" ht="31.5">
      <c r="A51" s="196" t="s">
        <v>260</v>
      </c>
      <c r="B51" s="38"/>
      <c r="C51" s="198" t="s">
        <v>266</v>
      </c>
      <c r="D51" s="10"/>
      <c r="E51" s="10"/>
      <c r="J51" s="10"/>
      <c r="K51" s="10"/>
      <c r="L51" s="10"/>
    </row>
    <row r="52" spans="1:12" ht="17.25">
      <c r="A52" s="197" t="s">
        <v>257</v>
      </c>
      <c r="B52" s="38"/>
      <c r="C52" s="38"/>
      <c r="D52" s="10"/>
      <c r="E52" s="10"/>
      <c r="J52" s="10"/>
      <c r="K52" s="10"/>
      <c r="L52" s="10"/>
    </row>
    <row r="53" spans="1:12" ht="17.25">
      <c r="A53" s="197" t="s">
        <v>258</v>
      </c>
      <c r="B53" s="38"/>
      <c r="C53" s="38"/>
      <c r="D53" s="10"/>
      <c r="E53" s="10"/>
      <c r="J53" s="10"/>
      <c r="K53" s="10"/>
      <c r="L53" s="10"/>
    </row>
    <row r="54" spans="1:12" ht="17.25">
      <c r="A54" s="197" t="s">
        <v>259</v>
      </c>
      <c r="B54" s="38"/>
      <c r="C54" s="38"/>
      <c r="D54" s="10"/>
      <c r="E54" s="10"/>
      <c r="J54" s="10"/>
      <c r="K54" s="10"/>
      <c r="L54" s="10"/>
    </row>
    <row r="60" spans="1:12" ht="31.5">
      <c r="A60" s="199" t="s">
        <v>265</v>
      </c>
      <c r="B60" s="101"/>
      <c r="C60" s="101"/>
      <c r="D60" s="101"/>
      <c r="E60" s="101"/>
      <c r="F60" s="101"/>
      <c r="G60" s="10"/>
      <c r="H60" s="10"/>
      <c r="I60" s="10"/>
    </row>
    <row r="61" spans="1:12" ht="17.25">
      <c r="A61" s="101"/>
      <c r="B61" s="101"/>
      <c r="C61" s="101"/>
      <c r="D61" s="101"/>
      <c r="E61" s="101"/>
      <c r="F61" s="101"/>
      <c r="G61" s="10"/>
      <c r="H61" s="10"/>
      <c r="I61" s="10"/>
    </row>
    <row r="62" spans="1:12" ht="18" thickBot="1">
      <c r="A62" s="200" t="s">
        <v>262</v>
      </c>
      <c r="B62" s="103"/>
      <c r="C62" s="103"/>
      <c r="D62" s="201" t="s">
        <v>264</v>
      </c>
      <c r="E62" s="103"/>
      <c r="F62" s="101"/>
      <c r="G62" s="10"/>
      <c r="H62" s="10"/>
      <c r="I62" s="10"/>
    </row>
    <row r="63" spans="1:12" ht="17.25">
      <c r="A63" s="101"/>
      <c r="B63" s="101"/>
      <c r="C63" s="101"/>
      <c r="D63" s="101" t="s">
        <v>263</v>
      </c>
      <c r="E63" s="101"/>
      <c r="F63" s="101"/>
      <c r="G63" s="10"/>
      <c r="H63" s="10"/>
      <c r="I63" s="10"/>
    </row>
    <row r="64" spans="1:12" ht="17.25">
      <c r="A64" s="101"/>
      <c r="B64" s="101"/>
      <c r="C64" s="101"/>
      <c r="D64" s="101"/>
      <c r="E64" s="101"/>
      <c r="F64" s="101"/>
      <c r="G64" s="10"/>
      <c r="H64" s="10"/>
      <c r="I64" s="10"/>
    </row>
    <row r="65" spans="1:9" ht="16.5">
      <c r="A65" s="10"/>
      <c r="B65" s="10"/>
      <c r="C65" s="10"/>
      <c r="D65" s="10"/>
      <c r="E65" s="10"/>
      <c r="F65" s="10"/>
      <c r="G65" s="10"/>
      <c r="H65" s="10"/>
      <c r="I65" s="10"/>
    </row>
    <row r="66" spans="1:9" ht="16.5">
      <c r="A66" s="10"/>
      <c r="B66" s="10"/>
      <c r="C66" s="10"/>
      <c r="D66" s="10"/>
      <c r="E66" s="10"/>
      <c r="F66" s="10"/>
      <c r="G66" s="10"/>
      <c r="H66" s="10"/>
      <c r="I66" s="10"/>
    </row>
    <row r="67" spans="1:9" ht="16.5">
      <c r="A67" s="10"/>
      <c r="B67" s="10"/>
      <c r="C67" s="10"/>
      <c r="D67" s="10"/>
      <c r="E67" s="10"/>
      <c r="F67" s="10"/>
      <c r="G67" s="10"/>
      <c r="H67" s="10"/>
      <c r="I67" s="10"/>
    </row>
    <row r="68" spans="1:9" ht="16.5">
      <c r="A68" s="10"/>
      <c r="B68" s="10"/>
      <c r="C68" s="10"/>
      <c r="D68" s="10"/>
      <c r="E68" s="10"/>
      <c r="F68" s="10"/>
      <c r="G68" s="10"/>
      <c r="H68" s="10"/>
      <c r="I68" s="10"/>
    </row>
    <row r="69" spans="1:9" ht="16.5">
      <c r="A69" s="10"/>
      <c r="B69" s="10"/>
      <c r="C69" s="10"/>
      <c r="D69" s="10"/>
      <c r="E69" s="10"/>
      <c r="F69" s="10"/>
      <c r="G69" s="10"/>
      <c r="H69" s="10"/>
      <c r="I69" s="10"/>
    </row>
    <row r="70" spans="1:9" ht="16.5">
      <c r="A70" s="10" t="s">
        <v>0</v>
      </c>
      <c r="B70" s="10"/>
      <c r="C70" s="10"/>
      <c r="D70" s="10"/>
      <c r="E70" s="10"/>
      <c r="F70" s="10"/>
      <c r="G70" s="10"/>
      <c r="H70" s="10"/>
      <c r="I70" s="10"/>
    </row>
    <row r="71" spans="1:9" ht="16.5">
      <c r="A71" s="10"/>
      <c r="B71" s="10"/>
      <c r="C71" s="10"/>
      <c r="D71" s="10"/>
      <c r="E71" s="10"/>
      <c r="F71" s="10"/>
      <c r="G71" s="10"/>
      <c r="H71" s="10"/>
      <c r="I71" s="10"/>
    </row>
  </sheetData>
  <pageMargins left="0.25" right="0.25" top="0.75" bottom="0.75" header="0.3" footer="0.3"/>
  <pageSetup scale="51" orientation="landscape" r:id="rId1"/>
  <rowBreaks count="1" manualBreakCount="1">
    <brk id="35" max="11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DCF-8362-451B-93E3-8D44BC877730}">
  <sheetPr codeName="Sheet7">
    <tabColor rgb="FF92D050"/>
  </sheetPr>
  <dimension ref="A1:H30"/>
  <sheetViews>
    <sheetView view="pageBreakPreview" topLeftCell="A5" zoomScale="60" zoomScaleNormal="80" workbookViewId="0">
      <selection activeCell="H27" sqref="H27"/>
    </sheetView>
  </sheetViews>
  <sheetFormatPr defaultRowHeight="15"/>
  <cols>
    <col min="1" max="1" width="45.140625" customWidth="1"/>
    <col min="2" max="2" width="17" customWidth="1"/>
    <col min="3" max="3" width="25.7109375" customWidth="1"/>
    <col min="4" max="4" width="24.85546875" customWidth="1"/>
    <col min="5" max="5" width="29.28515625" customWidth="1"/>
    <col min="6" max="6" width="24.5703125" customWidth="1"/>
    <col min="7" max="7" width="23" customWidth="1"/>
    <col min="8" max="8" width="29.85546875" customWidth="1"/>
    <col min="9" max="9" width="14.140625" bestFit="1" customWidth="1"/>
    <col min="11" max="11" width="10.5703125" customWidth="1"/>
  </cols>
  <sheetData>
    <row r="1" spans="1:8" ht="26.25">
      <c r="A1" s="21" t="s">
        <v>1</v>
      </c>
      <c r="B1" s="10"/>
      <c r="C1" s="10"/>
      <c r="D1" s="10"/>
      <c r="E1" s="10"/>
      <c r="F1" s="10"/>
      <c r="G1" s="10"/>
      <c r="H1" s="10"/>
    </row>
    <row r="2" spans="1:8" ht="17.25">
      <c r="A2" s="22" t="s">
        <v>9</v>
      </c>
      <c r="B2" s="10"/>
      <c r="C2" s="10"/>
      <c r="D2" s="10"/>
      <c r="E2" s="10"/>
      <c r="F2" s="10"/>
      <c r="G2" s="10"/>
      <c r="H2" s="10"/>
    </row>
    <row r="3" spans="1:8" ht="16.5">
      <c r="A3" s="23" t="s">
        <v>409</v>
      </c>
      <c r="B3" s="10"/>
      <c r="C3" s="10"/>
      <c r="D3" s="10"/>
      <c r="E3" s="10"/>
      <c r="F3" s="10"/>
      <c r="G3" s="10"/>
      <c r="H3" s="10"/>
    </row>
    <row r="4" spans="1:8" ht="16.5">
      <c r="A4" s="23"/>
      <c r="B4" s="10"/>
      <c r="C4" s="10"/>
      <c r="D4" s="10"/>
      <c r="E4" s="10"/>
      <c r="F4" s="10"/>
      <c r="G4" s="10"/>
      <c r="H4" s="10"/>
    </row>
    <row r="5" spans="1:8" ht="16.5">
      <c r="A5" s="23"/>
      <c r="B5" s="10"/>
      <c r="C5" s="10"/>
      <c r="D5" s="10"/>
      <c r="E5" s="10"/>
      <c r="F5" s="10"/>
      <c r="G5" s="10"/>
      <c r="H5" s="10"/>
    </row>
    <row r="6" spans="1:8" ht="16.5">
      <c r="A6" s="23"/>
      <c r="B6" s="10"/>
      <c r="C6" s="10"/>
      <c r="D6" s="10"/>
      <c r="E6" s="10"/>
      <c r="F6" s="10"/>
      <c r="G6" s="10"/>
      <c r="H6" s="10"/>
    </row>
    <row r="7" spans="1:8" ht="17.25" thickBot="1">
      <c r="A7" s="10"/>
      <c r="B7" s="10"/>
      <c r="C7" s="10"/>
      <c r="H7" s="10"/>
    </row>
    <row r="8" spans="1:8" ht="21" thickBot="1">
      <c r="A8" s="229" t="str">
        <f>+'S&amp;D'!A12</f>
        <v>Air Freight Carriers</v>
      </c>
      <c r="B8" s="170"/>
      <c r="C8" s="10"/>
      <c r="D8" s="26"/>
      <c r="E8" s="26"/>
      <c r="F8" s="26"/>
      <c r="H8" s="10"/>
    </row>
    <row r="9" spans="1:8" ht="26.25">
      <c r="A9" s="28"/>
      <c r="B9" s="10"/>
      <c r="C9" s="10"/>
      <c r="D9" s="10"/>
      <c r="E9" s="29" t="s">
        <v>117</v>
      </c>
      <c r="F9" s="29"/>
      <c r="H9" s="10"/>
    </row>
    <row r="10" spans="1:8" ht="21" thickBot="1">
      <c r="A10" s="28"/>
      <c r="B10" s="10"/>
      <c r="C10" s="10"/>
      <c r="D10" s="26"/>
      <c r="E10" s="34" t="s">
        <v>410</v>
      </c>
      <c r="F10" s="34"/>
      <c r="H10" s="10"/>
    </row>
    <row r="11" spans="1:8" ht="20.25">
      <c r="A11" s="28"/>
      <c r="B11" s="10"/>
      <c r="H11" s="10"/>
    </row>
    <row r="12" spans="1:8" ht="17.25" thickBot="1">
      <c r="A12" s="31" t="s">
        <v>0</v>
      </c>
      <c r="B12" s="31" t="s">
        <v>0</v>
      </c>
      <c r="C12" s="31" t="s">
        <v>0</v>
      </c>
      <c r="D12" s="31" t="s">
        <v>0</v>
      </c>
      <c r="E12" s="31" t="s">
        <v>0</v>
      </c>
      <c r="F12" s="31"/>
      <c r="G12" s="31"/>
      <c r="H12" s="26"/>
    </row>
    <row r="13" spans="1:8" ht="17.25">
      <c r="A13" s="85" t="s">
        <v>0</v>
      </c>
      <c r="B13" s="85" t="s">
        <v>3</v>
      </c>
      <c r="C13" s="85" t="s">
        <v>5</v>
      </c>
      <c r="D13" s="85" t="s">
        <v>21</v>
      </c>
      <c r="E13" s="161" t="s">
        <v>219</v>
      </c>
      <c r="F13" s="161" t="s">
        <v>309</v>
      </c>
      <c r="G13" s="85" t="s">
        <v>20</v>
      </c>
      <c r="H13" s="85" t="s">
        <v>138</v>
      </c>
    </row>
    <row r="14" spans="1:8" ht="18" thickBot="1">
      <c r="A14" s="92" t="s">
        <v>2</v>
      </c>
      <c r="B14" s="92" t="s">
        <v>4</v>
      </c>
      <c r="C14" s="92" t="s">
        <v>6</v>
      </c>
      <c r="D14" s="92" t="s">
        <v>23</v>
      </c>
      <c r="E14" s="92" t="s">
        <v>310</v>
      </c>
      <c r="F14" s="92" t="s">
        <v>181</v>
      </c>
      <c r="G14" s="92" t="s">
        <v>22</v>
      </c>
      <c r="H14" s="92" t="s">
        <v>115</v>
      </c>
    </row>
    <row r="15" spans="1:8">
      <c r="A15" s="36" t="s">
        <v>7</v>
      </c>
      <c r="B15" s="36" t="s">
        <v>7</v>
      </c>
      <c r="C15" s="36" t="s">
        <v>7</v>
      </c>
      <c r="D15" s="36" t="s">
        <v>7</v>
      </c>
      <c r="E15" s="193" t="s">
        <v>412</v>
      </c>
      <c r="F15" s="193" t="s">
        <v>412</v>
      </c>
      <c r="G15" s="36" t="s">
        <v>7</v>
      </c>
      <c r="H15" s="193" t="s">
        <v>412</v>
      </c>
    </row>
    <row r="16" spans="1:8" ht="17.25" thickBot="1">
      <c r="A16" s="32"/>
      <c r="B16" s="32"/>
      <c r="C16" s="32"/>
      <c r="D16" s="32"/>
      <c r="G16" s="32"/>
      <c r="H16" s="32"/>
    </row>
    <row r="17" spans="1:8" ht="16.5">
      <c r="A17" s="141"/>
      <c r="B17" s="107"/>
      <c r="C17" s="107"/>
      <c r="D17" s="107"/>
      <c r="E17" s="268"/>
      <c r="F17" s="268"/>
      <c r="G17" s="107"/>
      <c r="H17" s="142"/>
    </row>
    <row r="18" spans="1:8" ht="20.25" customHeight="1">
      <c r="A18" s="97" t="str">
        <f>+'S&amp;D'!A22</f>
        <v xml:space="preserve">FedEx Corp </v>
      </c>
      <c r="B18" s="85" t="str">
        <f>+'S&amp;D'!B22</f>
        <v>FDX</v>
      </c>
      <c r="C18" s="85" t="str">
        <f>+'S&amp;D'!C22</f>
        <v>Air Trans</v>
      </c>
      <c r="D18" s="128">
        <v>0.245</v>
      </c>
      <c r="E18" s="127">
        <v>0.16</v>
      </c>
      <c r="F18" s="127">
        <v>0.11</v>
      </c>
      <c r="G18" s="85" t="s">
        <v>472</v>
      </c>
      <c r="H18" s="329">
        <v>1.1499999999999999</v>
      </c>
    </row>
    <row r="19" spans="1:8" ht="20.25" customHeight="1">
      <c r="A19" s="97" t="str">
        <f>+'S&amp;D'!A23</f>
        <v xml:space="preserve">United Parcel Service </v>
      </c>
      <c r="B19" s="85" t="str">
        <f>+'S&amp;D'!B23</f>
        <v>UPS</v>
      </c>
      <c r="C19" s="85" t="str">
        <f>+'S&amp;D'!C23</f>
        <v>Air Trans</v>
      </c>
      <c r="D19" s="128">
        <v>0.23499999999999999</v>
      </c>
      <c r="E19" s="127">
        <v>0.38500000000000001</v>
      </c>
      <c r="F19" s="127">
        <v>6.5000000000000002E-2</v>
      </c>
      <c r="G19" s="85" t="s">
        <v>24</v>
      </c>
      <c r="H19" s="329">
        <v>1</v>
      </c>
    </row>
    <row r="20" spans="1:8" ht="20.25" customHeight="1" thickBot="1">
      <c r="A20" s="97" t="s">
        <v>0</v>
      </c>
      <c r="B20" s="85" t="s">
        <v>0</v>
      </c>
      <c r="C20" s="85" t="s">
        <v>0</v>
      </c>
      <c r="D20" s="269" t="s">
        <v>0</v>
      </c>
      <c r="E20" s="226" t="s">
        <v>0</v>
      </c>
      <c r="F20" s="226" t="s">
        <v>0</v>
      </c>
      <c r="G20" s="298" t="s">
        <v>0</v>
      </c>
      <c r="H20" s="299" t="s">
        <v>0</v>
      </c>
    </row>
    <row r="21" spans="1:8" ht="20.25" customHeight="1" thickTop="1">
      <c r="A21" s="101"/>
      <c r="B21" s="101"/>
      <c r="C21" s="4"/>
      <c r="D21" s="156" t="s">
        <v>0</v>
      </c>
      <c r="E21" s="4"/>
      <c r="F21" s="4"/>
      <c r="G21" s="113" t="s">
        <v>45</v>
      </c>
      <c r="H21" s="157">
        <f>MAX(H18:H19)</f>
        <v>1.1499999999999999</v>
      </c>
    </row>
    <row r="22" spans="1:8" ht="20.25" customHeight="1">
      <c r="A22" s="101"/>
      <c r="B22" s="101"/>
      <c r="C22" s="4"/>
      <c r="D22" s="156" t="s">
        <v>0</v>
      </c>
      <c r="E22" s="4"/>
      <c r="F22" s="4"/>
      <c r="G22" s="113" t="s">
        <v>46</v>
      </c>
      <c r="H22" s="281">
        <f>MIN(H18:H19)</f>
        <v>1</v>
      </c>
    </row>
    <row r="23" spans="1:8" ht="20.25" customHeight="1">
      <c r="A23" s="101"/>
      <c r="B23" s="101"/>
      <c r="C23" s="4"/>
      <c r="D23" s="158" t="s">
        <v>0</v>
      </c>
      <c r="E23" s="4"/>
      <c r="F23" s="4"/>
      <c r="G23" s="113" t="s">
        <v>18</v>
      </c>
      <c r="H23" s="159">
        <f>MEDIAN(H18:H20)</f>
        <v>1.075</v>
      </c>
    </row>
    <row r="24" spans="1:8" ht="20.25" customHeight="1">
      <c r="A24" s="101"/>
      <c r="B24" s="101"/>
      <c r="C24" s="4"/>
      <c r="D24" s="116" t="s">
        <v>0</v>
      </c>
      <c r="E24" s="4"/>
      <c r="F24" s="4"/>
      <c r="G24" s="113" t="s">
        <v>374</v>
      </c>
      <c r="H24" s="160">
        <f>AVERAGE(H18:H20)</f>
        <v>1.075</v>
      </c>
    </row>
    <row r="25" spans="1:8" ht="20.25" customHeight="1" thickBot="1">
      <c r="A25" s="10"/>
      <c r="B25" s="10"/>
      <c r="C25" s="10"/>
      <c r="D25" s="10" t="s">
        <v>0</v>
      </c>
      <c r="G25" s="10"/>
      <c r="H25" s="10"/>
    </row>
    <row r="26" spans="1:8" ht="20.25" customHeight="1" thickBot="1">
      <c r="A26" s="10"/>
      <c r="B26" s="10"/>
      <c r="C26" s="10"/>
      <c r="D26" s="10"/>
      <c r="G26" s="176" t="s">
        <v>73</v>
      </c>
      <c r="H26" s="352">
        <v>1.08</v>
      </c>
    </row>
    <row r="27" spans="1:8" ht="20.25" customHeight="1">
      <c r="A27" s="10"/>
      <c r="B27" s="10"/>
      <c r="C27" s="10"/>
      <c r="D27" s="10"/>
      <c r="G27" s="10"/>
      <c r="H27" s="245"/>
    </row>
    <row r="28" spans="1:8" ht="20.25" customHeight="1">
      <c r="A28" s="10"/>
      <c r="B28" s="10"/>
      <c r="C28" s="10"/>
      <c r="D28" s="10"/>
      <c r="G28" s="10"/>
      <c r="H28" s="245"/>
    </row>
    <row r="29" spans="1:8" ht="17.25">
      <c r="A29" s="101" t="s">
        <v>312</v>
      </c>
    </row>
    <row r="30" spans="1:8" ht="17.25">
      <c r="A30" s="101" t="s">
        <v>311</v>
      </c>
    </row>
  </sheetData>
  <pageMargins left="0.25" right="0.25" top="0.75" bottom="0.75" header="0.3" footer="0.3"/>
  <pageSetup scale="6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F0854-9225-4685-BC0B-402957CF1047}">
  <sheetPr codeName="Sheet8">
    <tabColor rgb="FF92D050"/>
  </sheetPr>
  <dimension ref="A1:K25"/>
  <sheetViews>
    <sheetView view="pageBreakPreview" zoomScale="60" zoomScaleNormal="80" workbookViewId="0">
      <selection activeCell="P20" sqref="P20"/>
    </sheetView>
  </sheetViews>
  <sheetFormatPr defaultRowHeight="15"/>
  <cols>
    <col min="1" max="1" width="50.42578125" customWidth="1"/>
    <col min="2" max="2" width="10.85546875" bestFit="1" customWidth="1"/>
    <col min="3" max="3" width="19.140625" bestFit="1" customWidth="1"/>
    <col min="4" max="4" width="15.140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85546875" customWidth="1"/>
    <col min="12" max="12" width="23.85546875" customWidth="1"/>
  </cols>
  <sheetData>
    <row r="1" spans="1:11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ht="16.5">
      <c r="A4" s="23"/>
      <c r="B4" s="10"/>
      <c r="C4" s="10"/>
      <c r="D4" s="10"/>
      <c r="E4" s="10"/>
      <c r="F4" s="10"/>
      <c r="G4" s="10"/>
      <c r="H4" s="10"/>
      <c r="I4" s="10"/>
      <c r="J4" s="10"/>
    </row>
    <row r="5" spans="1:11" ht="17.25" thickBot="1">
      <c r="A5" s="10"/>
      <c r="B5" s="10"/>
      <c r="C5" s="10"/>
      <c r="D5" s="10"/>
      <c r="E5" s="10"/>
      <c r="F5" s="10"/>
      <c r="G5" s="24"/>
      <c r="H5" s="10"/>
      <c r="I5" s="10"/>
      <c r="J5" s="10"/>
    </row>
    <row r="6" spans="1:11" ht="21" thickBot="1">
      <c r="A6" s="229" t="str">
        <f>+'S&amp;D'!A12</f>
        <v>Air Freight Carriers</v>
      </c>
      <c r="B6" s="170"/>
      <c r="C6" s="10"/>
      <c r="D6" s="26"/>
      <c r="E6" s="26"/>
      <c r="F6" s="27" t="s">
        <v>0</v>
      </c>
      <c r="G6" s="10"/>
      <c r="H6" s="10"/>
      <c r="I6" s="10"/>
      <c r="J6" s="10"/>
    </row>
    <row r="7" spans="1:11" ht="26.25">
      <c r="A7" s="28"/>
      <c r="B7" s="10"/>
      <c r="C7" s="10"/>
      <c r="D7" s="10"/>
      <c r="E7" s="29" t="s">
        <v>161</v>
      </c>
      <c r="F7" s="10"/>
      <c r="G7" s="10"/>
      <c r="H7" s="10"/>
      <c r="I7" s="10"/>
      <c r="J7" s="10"/>
    </row>
    <row r="8" spans="1:11" ht="21" thickBot="1">
      <c r="A8" s="28"/>
      <c r="B8" s="10"/>
      <c r="C8" s="10"/>
      <c r="D8" s="26"/>
      <c r="E8" s="30" t="s">
        <v>410</v>
      </c>
      <c r="F8" s="26"/>
      <c r="G8" s="10"/>
      <c r="H8" s="10"/>
      <c r="I8" s="10"/>
      <c r="J8" s="10"/>
    </row>
    <row r="9" spans="1:11" ht="17.25" thickBot="1">
      <c r="A9" s="31" t="s">
        <v>0</v>
      </c>
      <c r="B9" s="31" t="s">
        <v>0</v>
      </c>
      <c r="C9" s="31" t="s">
        <v>0</v>
      </c>
      <c r="D9" s="31" t="s">
        <v>0</v>
      </c>
      <c r="E9" s="31" t="s">
        <v>0</v>
      </c>
      <c r="F9" s="31"/>
      <c r="G9" s="26"/>
      <c r="H9" s="26"/>
      <c r="I9" s="26"/>
      <c r="J9" s="26"/>
      <c r="K9" s="139"/>
    </row>
    <row r="10" spans="1:11" ht="16.5">
      <c r="A10" s="32" t="s">
        <v>0</v>
      </c>
      <c r="B10" s="32" t="s">
        <v>3</v>
      </c>
      <c r="C10" s="32" t="s">
        <v>5</v>
      </c>
      <c r="D10" s="32" t="s">
        <v>156</v>
      </c>
      <c r="E10" s="32" t="s">
        <v>157</v>
      </c>
      <c r="F10" s="32" t="s">
        <v>159</v>
      </c>
      <c r="G10" s="32" t="s">
        <v>157</v>
      </c>
      <c r="H10" s="32" t="s">
        <v>159</v>
      </c>
      <c r="I10" s="32" t="s">
        <v>157</v>
      </c>
      <c r="J10" s="32" t="s">
        <v>159</v>
      </c>
      <c r="K10" s="32" t="s">
        <v>249</v>
      </c>
    </row>
    <row r="11" spans="1:11" ht="16.5">
      <c r="A11" s="32"/>
      <c r="B11" s="32" t="s">
        <v>4</v>
      </c>
      <c r="C11" s="32" t="s">
        <v>6</v>
      </c>
      <c r="D11" s="32" t="s">
        <v>27</v>
      </c>
      <c r="E11" s="32" t="s">
        <v>158</v>
      </c>
      <c r="F11" s="32" t="s">
        <v>116</v>
      </c>
      <c r="G11" s="32" t="s">
        <v>158</v>
      </c>
      <c r="H11" s="32" t="s">
        <v>116</v>
      </c>
      <c r="I11" s="32" t="s">
        <v>158</v>
      </c>
      <c r="J11" s="32" t="s">
        <v>116</v>
      </c>
      <c r="K11" s="32" t="s">
        <v>173</v>
      </c>
    </row>
    <row r="12" spans="1:11" ht="17.25" thickBot="1">
      <c r="A12" s="34" t="s">
        <v>2</v>
      </c>
      <c r="B12" s="34" t="s">
        <v>0</v>
      </c>
      <c r="C12" s="34" t="s">
        <v>0</v>
      </c>
      <c r="D12" s="34" t="s">
        <v>0</v>
      </c>
      <c r="E12" s="34" t="s">
        <v>160</v>
      </c>
      <c r="F12" s="34" t="s">
        <v>160</v>
      </c>
      <c r="G12" s="34" t="s">
        <v>247</v>
      </c>
      <c r="H12" s="34" t="s">
        <v>247</v>
      </c>
      <c r="I12" s="34" t="s">
        <v>248</v>
      </c>
      <c r="J12" s="34" t="s">
        <v>248</v>
      </c>
      <c r="K12" s="194" t="s">
        <v>250</v>
      </c>
    </row>
    <row r="13" spans="1:11">
      <c r="A13" s="36" t="s">
        <v>7</v>
      </c>
      <c r="B13" s="36" t="s">
        <v>7</v>
      </c>
      <c r="C13" s="36" t="s">
        <v>7</v>
      </c>
      <c r="D13" s="37" t="s">
        <v>112</v>
      </c>
      <c r="E13" s="36" t="s">
        <v>7</v>
      </c>
      <c r="F13" s="36" t="s">
        <v>15</v>
      </c>
      <c r="G13" s="36" t="s">
        <v>7</v>
      </c>
      <c r="H13" s="36" t="s">
        <v>15</v>
      </c>
      <c r="I13" s="36" t="s">
        <v>7</v>
      </c>
      <c r="J13" s="36" t="s">
        <v>15</v>
      </c>
      <c r="K13" s="36" t="s">
        <v>15</v>
      </c>
    </row>
    <row r="14" spans="1:11" ht="16.5">
      <c r="A14" s="32"/>
      <c r="B14" s="32"/>
      <c r="C14" s="32"/>
      <c r="D14" s="32"/>
      <c r="E14" s="32"/>
      <c r="F14" s="32"/>
      <c r="G14" s="10"/>
      <c r="H14" s="10"/>
      <c r="I14" s="10"/>
      <c r="J14" s="10"/>
      <c r="K14" s="10"/>
    </row>
    <row r="15" spans="1:11" ht="16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7.25">
      <c r="A16" s="59" t="str">
        <f>+'S&amp;D'!A22</f>
        <v xml:space="preserve">FedEx Corp </v>
      </c>
      <c r="B16" s="85" t="str">
        <f>+'S&amp;D'!B22</f>
        <v>FDX</v>
      </c>
      <c r="C16" s="85" t="str">
        <f>+'S&amp;D'!C22</f>
        <v>Air Trans</v>
      </c>
      <c r="D16" s="56">
        <f>+'S&amp;D'!G22</f>
        <v>281.33</v>
      </c>
      <c r="E16" s="319">
        <v>5.52</v>
      </c>
      <c r="F16" s="50">
        <f t="shared" ref="F16:F17" si="0">+E16/D16</f>
        <v>1.9621085557885755E-2</v>
      </c>
      <c r="G16" s="319">
        <v>6</v>
      </c>
      <c r="H16" s="50">
        <f t="shared" ref="H16:H17" si="1">+G16/D16</f>
        <v>2.132726691074539E-2</v>
      </c>
      <c r="I16" s="319">
        <v>7.5</v>
      </c>
      <c r="J16" s="50">
        <f t="shared" ref="J16:J17" si="2">+I16/D16</f>
        <v>2.6659083638431738E-2</v>
      </c>
      <c r="K16" s="330">
        <f t="shared" ref="K16" si="3">RATE(3,,-G16,I16)</f>
        <v>7.7217345015989494E-2</v>
      </c>
    </row>
    <row r="17" spans="1:11" ht="17.25">
      <c r="A17" s="59" t="str">
        <f>+'S&amp;D'!A23</f>
        <v xml:space="preserve">United Parcel Service </v>
      </c>
      <c r="B17" s="85" t="str">
        <f>+'S&amp;D'!B23</f>
        <v>UPS</v>
      </c>
      <c r="C17" s="85" t="str">
        <f>+'S&amp;D'!C23</f>
        <v>Air Trans</v>
      </c>
      <c r="D17" s="56">
        <f>+'S&amp;D'!G23</f>
        <v>126.1</v>
      </c>
      <c r="E17" s="319">
        <v>6.56</v>
      </c>
      <c r="F17" s="50">
        <f t="shared" si="0"/>
        <v>5.202220459952419E-2</v>
      </c>
      <c r="G17" s="319">
        <v>6.6</v>
      </c>
      <c r="H17" s="50">
        <f t="shared" si="1"/>
        <v>5.2339413164155434E-2</v>
      </c>
      <c r="I17" s="319">
        <v>6.8</v>
      </c>
      <c r="J17" s="50">
        <f t="shared" si="2"/>
        <v>5.392545598731166E-2</v>
      </c>
      <c r="K17" s="330">
        <f>RATE(3,,-G17,I17)</f>
        <v>1.0000663432255519E-2</v>
      </c>
    </row>
    <row r="18" spans="1:11" ht="17.25" thickBot="1">
      <c r="A18" s="10"/>
      <c r="B18" s="10"/>
      <c r="C18" s="41"/>
      <c r="D18" s="44"/>
      <c r="E18" s="44"/>
      <c r="F18" s="44"/>
      <c r="G18" s="44"/>
      <c r="H18" s="44"/>
      <c r="I18" s="44"/>
      <c r="J18" s="44"/>
      <c r="K18" s="44"/>
    </row>
    <row r="19" spans="1:11" ht="17.25" thickTop="1">
      <c r="A19" s="10"/>
      <c r="B19" s="10"/>
      <c r="D19" s="12" t="s">
        <v>45</v>
      </c>
      <c r="E19" s="14">
        <f t="shared" ref="E19:K19" si="4">MAX(E16:E17)</f>
        <v>6.56</v>
      </c>
      <c r="F19" s="307">
        <f t="shared" si="4"/>
        <v>5.202220459952419E-2</v>
      </c>
      <c r="G19" s="14">
        <f t="shared" si="4"/>
        <v>6.6</v>
      </c>
      <c r="H19" s="307">
        <f t="shared" si="4"/>
        <v>5.2339413164155434E-2</v>
      </c>
      <c r="I19" s="14">
        <f t="shared" si="4"/>
        <v>7.5</v>
      </c>
      <c r="J19" s="307">
        <f t="shared" si="4"/>
        <v>5.392545598731166E-2</v>
      </c>
      <c r="K19" s="307">
        <f t="shared" si="4"/>
        <v>7.7217345015989494E-2</v>
      </c>
    </row>
    <row r="20" spans="1:11" ht="16.5">
      <c r="A20" s="10"/>
      <c r="B20" s="10"/>
      <c r="D20" s="12" t="s">
        <v>46</v>
      </c>
      <c r="E20" s="280">
        <f t="shared" ref="E20:K20" si="5">MIN(E16:E17)</f>
        <v>5.52</v>
      </c>
      <c r="F20" s="308">
        <f t="shared" si="5"/>
        <v>1.9621085557885755E-2</v>
      </c>
      <c r="G20" s="280">
        <f t="shared" si="5"/>
        <v>6</v>
      </c>
      <c r="H20" s="308">
        <f t="shared" si="5"/>
        <v>2.132726691074539E-2</v>
      </c>
      <c r="I20" s="280">
        <f t="shared" si="5"/>
        <v>6.8</v>
      </c>
      <c r="J20" s="308">
        <f t="shared" si="5"/>
        <v>2.6659083638431738E-2</v>
      </c>
      <c r="K20" s="308">
        <f t="shared" si="5"/>
        <v>1.0000663432255519E-2</v>
      </c>
    </row>
    <row r="21" spans="1:11" ht="16.5">
      <c r="A21" s="10"/>
      <c r="B21" s="10"/>
      <c r="D21" s="12" t="s">
        <v>18</v>
      </c>
      <c r="E21" s="15">
        <f t="shared" ref="E21:K21" si="6">MEDIAN(E16:E17)</f>
        <v>6.0399999999999991</v>
      </c>
      <c r="F21" s="51">
        <f t="shared" si="6"/>
        <v>3.5821645078704972E-2</v>
      </c>
      <c r="G21" s="15">
        <f t="shared" si="6"/>
        <v>6.3</v>
      </c>
      <c r="H21" s="51">
        <f t="shared" si="6"/>
        <v>3.683334003745041E-2</v>
      </c>
      <c r="I21" s="15">
        <f t="shared" si="6"/>
        <v>7.15</v>
      </c>
      <c r="J21" s="51">
        <f t="shared" si="6"/>
        <v>4.0292269812871699E-2</v>
      </c>
      <c r="K21" s="51">
        <f t="shared" si="6"/>
        <v>4.3609004224122505E-2</v>
      </c>
    </row>
    <row r="22" spans="1:11" ht="16.5">
      <c r="A22" s="10"/>
      <c r="B22" s="10"/>
      <c r="D22" s="12" t="s">
        <v>374</v>
      </c>
      <c r="E22" s="19">
        <f t="shared" ref="E22:K22" si="7">AVERAGE(E16:E17)</f>
        <v>6.0399999999999991</v>
      </c>
      <c r="F22" s="53">
        <f t="shared" si="7"/>
        <v>3.5821645078704972E-2</v>
      </c>
      <c r="G22" s="19">
        <f t="shared" si="7"/>
        <v>6.3</v>
      </c>
      <c r="H22" s="53">
        <f t="shared" si="7"/>
        <v>3.683334003745041E-2</v>
      </c>
      <c r="I22" s="19">
        <f t="shared" si="7"/>
        <v>7.15</v>
      </c>
      <c r="J22" s="53">
        <f t="shared" si="7"/>
        <v>4.0292269812871699E-2</v>
      </c>
      <c r="K22" s="53">
        <f t="shared" si="7"/>
        <v>4.3609004224122505E-2</v>
      </c>
    </row>
    <row r="23" spans="1:11" ht="16.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ht="26.25">
      <c r="A24" s="10"/>
      <c r="B24" s="10"/>
      <c r="C24" s="10"/>
      <c r="D24" s="10"/>
      <c r="E24" s="10"/>
      <c r="F24" s="46" t="s">
        <v>0</v>
      </c>
      <c r="G24" s="60" t="s">
        <v>0</v>
      </c>
      <c r="H24" s="10"/>
      <c r="I24" s="10"/>
      <c r="J24" s="10"/>
      <c r="K24" s="10"/>
    </row>
    <row r="25" spans="1:11" ht="18.75">
      <c r="A25" s="195" t="s">
        <v>251</v>
      </c>
    </row>
  </sheetData>
  <pageMargins left="0.25" right="0.25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596C7-3CA4-4A86-9548-2C135C060B79}">
  <sheetPr codeName="Sheet9">
    <tabColor rgb="FF92D050"/>
  </sheetPr>
  <dimension ref="A1:K24"/>
  <sheetViews>
    <sheetView view="pageBreakPreview" zoomScale="60" zoomScaleNormal="80" workbookViewId="0">
      <selection activeCell="K16" sqref="K16"/>
    </sheetView>
  </sheetViews>
  <sheetFormatPr defaultRowHeight="15"/>
  <cols>
    <col min="1" max="1" width="51.5703125" customWidth="1"/>
    <col min="2" max="2" width="10.85546875" bestFit="1" customWidth="1"/>
    <col min="3" max="3" width="19.140625" bestFit="1" customWidth="1"/>
    <col min="4" max="4" width="15.140625" customWidth="1"/>
    <col min="5" max="5" width="16" customWidth="1"/>
    <col min="6" max="6" width="20" customWidth="1"/>
    <col min="7" max="7" width="16.5703125" customWidth="1"/>
    <col min="8" max="8" width="19.140625" customWidth="1"/>
    <col min="9" max="10" width="20.140625" customWidth="1"/>
    <col min="11" max="11" width="17.85546875" customWidth="1"/>
    <col min="12" max="12" width="23.85546875" customWidth="1"/>
  </cols>
  <sheetData>
    <row r="1" spans="1:11" ht="26.25">
      <c r="A1" s="21" t="s">
        <v>1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17.25">
      <c r="A2" s="22" t="s">
        <v>9</v>
      </c>
      <c r="B2" s="10"/>
      <c r="C2" s="10"/>
      <c r="D2" s="10"/>
      <c r="E2" s="10"/>
      <c r="F2" s="10"/>
      <c r="G2" s="10"/>
      <c r="H2" s="10"/>
      <c r="I2" s="10"/>
      <c r="J2" s="10"/>
    </row>
    <row r="3" spans="1:11" ht="16.5">
      <c r="A3" s="23" t="s">
        <v>409</v>
      </c>
      <c r="B3" s="10"/>
      <c r="C3" s="10"/>
      <c r="D3" s="10"/>
      <c r="E3" s="10"/>
      <c r="F3" s="10"/>
      <c r="G3" s="10"/>
      <c r="H3" s="10"/>
      <c r="I3" s="10"/>
      <c r="J3" s="10"/>
    </row>
    <row r="4" spans="1:11" ht="16.5">
      <c r="A4" s="23"/>
      <c r="B4" s="10"/>
      <c r="C4" s="10"/>
      <c r="D4" s="10"/>
      <c r="E4" s="10"/>
      <c r="F4" s="10"/>
      <c r="G4" s="10"/>
      <c r="H4" s="10"/>
      <c r="I4" s="10"/>
      <c r="J4" s="10"/>
    </row>
    <row r="5" spans="1:11" ht="17.25" thickBot="1">
      <c r="A5" s="10"/>
      <c r="B5" s="10"/>
      <c r="C5" s="10"/>
      <c r="D5" s="10"/>
      <c r="E5" s="10"/>
      <c r="F5" s="10"/>
      <c r="G5" s="24"/>
      <c r="H5" s="10"/>
      <c r="I5" s="10"/>
      <c r="J5" s="10"/>
    </row>
    <row r="6" spans="1:11" ht="21" thickBot="1">
      <c r="A6" s="229" t="str">
        <f>+'S&amp;D'!A12</f>
        <v>Air Freight Carriers</v>
      </c>
      <c r="B6" s="170"/>
      <c r="C6" s="10"/>
      <c r="D6" s="26"/>
      <c r="E6" s="26"/>
      <c r="F6" s="27" t="s">
        <v>0</v>
      </c>
      <c r="G6" s="10"/>
      <c r="H6" s="10"/>
      <c r="I6" s="10"/>
      <c r="J6" s="10"/>
    </row>
    <row r="7" spans="1:11" ht="26.25">
      <c r="A7" s="28"/>
      <c r="B7" s="10"/>
      <c r="C7" s="10"/>
      <c r="D7" s="10"/>
      <c r="E7" s="29" t="s">
        <v>252</v>
      </c>
      <c r="F7" s="10"/>
      <c r="G7" s="10"/>
      <c r="H7" s="10"/>
      <c r="I7" s="10"/>
      <c r="J7" s="10"/>
    </row>
    <row r="8" spans="1:11" ht="21" thickBot="1">
      <c r="A8" s="28"/>
      <c r="B8" s="10"/>
      <c r="C8" s="10"/>
      <c r="D8" s="26"/>
      <c r="E8" s="30" t="s">
        <v>410</v>
      </c>
      <c r="F8" s="26"/>
      <c r="G8" s="10"/>
      <c r="H8" s="10"/>
      <c r="I8" s="10"/>
      <c r="J8" s="10"/>
    </row>
    <row r="9" spans="1:11" ht="17.25" thickBot="1">
      <c r="A9" s="31" t="s">
        <v>0</v>
      </c>
      <c r="B9" s="31" t="s">
        <v>0</v>
      </c>
      <c r="C9" s="31" t="s">
        <v>0</v>
      </c>
      <c r="D9" s="31" t="s">
        <v>0</v>
      </c>
      <c r="E9" s="31" t="s">
        <v>0</v>
      </c>
      <c r="F9" s="31"/>
      <c r="G9" s="26"/>
      <c r="H9" s="26"/>
      <c r="I9" s="26"/>
      <c r="J9" s="26"/>
      <c r="K9" s="139"/>
    </row>
    <row r="10" spans="1:11" ht="16.5">
      <c r="A10" s="32" t="s">
        <v>0</v>
      </c>
      <c r="B10" s="32" t="s">
        <v>3</v>
      </c>
      <c r="C10" s="32" t="s">
        <v>5</v>
      </c>
      <c r="D10" s="32" t="s">
        <v>156</v>
      </c>
      <c r="E10" s="32" t="s">
        <v>162</v>
      </c>
      <c r="F10" s="32" t="s">
        <v>162</v>
      </c>
      <c r="G10" s="32" t="s">
        <v>162</v>
      </c>
      <c r="H10" s="32" t="s">
        <v>162</v>
      </c>
      <c r="I10" s="32" t="s">
        <v>162</v>
      </c>
      <c r="J10" s="32" t="s">
        <v>162</v>
      </c>
      <c r="K10" s="32" t="s">
        <v>249</v>
      </c>
    </row>
    <row r="11" spans="1:11" ht="16.5">
      <c r="A11" s="32"/>
      <c r="B11" s="32" t="s">
        <v>4</v>
      </c>
      <c r="C11" s="32" t="s">
        <v>6</v>
      </c>
      <c r="D11" s="32" t="s">
        <v>27</v>
      </c>
      <c r="E11" s="32" t="s">
        <v>158</v>
      </c>
      <c r="F11" s="32" t="s">
        <v>116</v>
      </c>
      <c r="G11" s="32" t="s">
        <v>158</v>
      </c>
      <c r="H11" s="32" t="s">
        <v>116</v>
      </c>
      <c r="I11" s="32" t="s">
        <v>158</v>
      </c>
      <c r="J11" s="32" t="s">
        <v>116</v>
      </c>
      <c r="K11" s="32" t="s">
        <v>173</v>
      </c>
    </row>
    <row r="12" spans="1:11" ht="17.25" thickBot="1">
      <c r="A12" s="34" t="s">
        <v>2</v>
      </c>
      <c r="B12" s="34" t="s">
        <v>0</v>
      </c>
      <c r="C12" s="34" t="s">
        <v>0</v>
      </c>
      <c r="D12" s="34" t="s">
        <v>0</v>
      </c>
      <c r="E12" s="34" t="s">
        <v>160</v>
      </c>
      <c r="F12" s="34" t="s">
        <v>160</v>
      </c>
      <c r="G12" s="34" t="s">
        <v>247</v>
      </c>
      <c r="H12" s="34" t="s">
        <v>247</v>
      </c>
      <c r="I12" s="34" t="s">
        <v>248</v>
      </c>
      <c r="J12" s="34" t="s">
        <v>248</v>
      </c>
      <c r="K12" s="194" t="s">
        <v>250</v>
      </c>
    </row>
    <row r="13" spans="1:11">
      <c r="A13" s="36" t="s">
        <v>7</v>
      </c>
      <c r="B13" s="36" t="s">
        <v>7</v>
      </c>
      <c r="C13" s="36" t="s">
        <v>7</v>
      </c>
      <c r="D13" s="37" t="s">
        <v>112</v>
      </c>
      <c r="E13" s="36" t="s">
        <v>7</v>
      </c>
      <c r="F13" s="36" t="s">
        <v>15</v>
      </c>
      <c r="G13" s="36" t="s">
        <v>7</v>
      </c>
      <c r="H13" s="36" t="s">
        <v>15</v>
      </c>
      <c r="I13" s="36" t="s">
        <v>7</v>
      </c>
      <c r="J13" s="36" t="s">
        <v>15</v>
      </c>
      <c r="K13" s="36" t="s">
        <v>15</v>
      </c>
    </row>
    <row r="14" spans="1:11" ht="16.5">
      <c r="A14" s="32"/>
      <c r="B14" s="32"/>
      <c r="C14" s="32"/>
      <c r="D14" s="32"/>
      <c r="E14" s="32"/>
      <c r="F14" s="32"/>
      <c r="G14" s="10"/>
      <c r="H14" s="10"/>
      <c r="I14" s="10"/>
      <c r="J14" s="10"/>
      <c r="K14" s="10"/>
    </row>
    <row r="15" spans="1:11" ht="16.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ht="17.25">
      <c r="A16" s="41" t="str">
        <f>+'S&amp;D'!A22</f>
        <v xml:space="preserve">FedEx Corp </v>
      </c>
      <c r="B16" s="32" t="str">
        <f>+'S&amp;D'!B22</f>
        <v>FDX</v>
      </c>
      <c r="C16" s="32" t="str">
        <f>+'S&amp;D'!C22</f>
        <v>Air Trans</v>
      </c>
      <c r="D16" s="56">
        <f>+'S&amp;D'!G22</f>
        <v>281.33</v>
      </c>
      <c r="E16" s="319">
        <v>18.2</v>
      </c>
      <c r="F16" s="50">
        <f t="shared" ref="F16:F17" si="0">+E16/D16</f>
        <v>6.4692709629261005E-2</v>
      </c>
      <c r="G16" s="319">
        <v>19.7</v>
      </c>
      <c r="H16" s="50">
        <f t="shared" ref="H16:H17" si="1">+G16/D16</f>
        <v>7.0024526356947364E-2</v>
      </c>
      <c r="I16" s="319">
        <v>26</v>
      </c>
      <c r="J16" s="50">
        <f t="shared" ref="J16:J17" si="2">+I16/D16</f>
        <v>9.2418156613230024E-2</v>
      </c>
      <c r="K16" s="330">
        <f t="shared" ref="K16:K17" si="3">RATE(3,,-G16,I16)</f>
        <v>9.690506182978853E-2</v>
      </c>
    </row>
    <row r="17" spans="1:11" ht="18" thickBot="1">
      <c r="A17" s="41" t="str">
        <f>+'S&amp;D'!A23</f>
        <v xml:space="preserve">United Parcel Service </v>
      </c>
      <c r="B17" s="32" t="str">
        <f>+'S&amp;D'!B23</f>
        <v>UPS</v>
      </c>
      <c r="C17" s="32" t="str">
        <f>+'S&amp;D'!C23</f>
        <v>Air Trans</v>
      </c>
      <c r="D17" s="56">
        <f>+'S&amp;D'!G23</f>
        <v>126.1</v>
      </c>
      <c r="E17" s="331">
        <v>7</v>
      </c>
      <c r="F17" s="291">
        <f t="shared" si="0"/>
        <v>5.5511498810467887E-2</v>
      </c>
      <c r="G17" s="331">
        <v>8</v>
      </c>
      <c r="H17" s="291">
        <f t="shared" si="1"/>
        <v>6.3441712926249005E-2</v>
      </c>
      <c r="I17" s="331">
        <v>10</v>
      </c>
      <c r="J17" s="291">
        <f t="shared" si="2"/>
        <v>7.9302141157811271E-2</v>
      </c>
      <c r="K17" s="332">
        <f t="shared" si="3"/>
        <v>7.7217345015989564E-2</v>
      </c>
    </row>
    <row r="18" spans="1:11" ht="17.25" thickTop="1">
      <c r="A18" s="10"/>
      <c r="B18" s="10"/>
      <c r="D18" s="12" t="s">
        <v>45</v>
      </c>
      <c r="E18" s="14">
        <f t="shared" ref="E18:K18" si="4">MAX(E16:E17)</f>
        <v>18.2</v>
      </c>
      <c r="F18" s="307">
        <f t="shared" si="4"/>
        <v>6.4692709629261005E-2</v>
      </c>
      <c r="G18" s="14">
        <f t="shared" si="4"/>
        <v>19.7</v>
      </c>
      <c r="H18" s="307">
        <f t="shared" si="4"/>
        <v>7.0024526356947364E-2</v>
      </c>
      <c r="I18" s="14">
        <f t="shared" si="4"/>
        <v>26</v>
      </c>
      <c r="J18" s="307">
        <f t="shared" si="4"/>
        <v>9.2418156613230024E-2</v>
      </c>
      <c r="K18" s="307">
        <f t="shared" si="4"/>
        <v>9.690506182978853E-2</v>
      </c>
    </row>
    <row r="19" spans="1:11" ht="16.5">
      <c r="A19" s="10"/>
      <c r="B19" s="10"/>
      <c r="D19" s="282" t="s">
        <v>46</v>
      </c>
      <c r="E19" s="280">
        <f t="shared" ref="E19:K19" si="5">MIN(E16:E17)</f>
        <v>7</v>
      </c>
      <c r="F19" s="308">
        <f t="shared" si="5"/>
        <v>5.5511498810467887E-2</v>
      </c>
      <c r="G19" s="280">
        <f t="shared" si="5"/>
        <v>8</v>
      </c>
      <c r="H19" s="308">
        <f t="shared" si="5"/>
        <v>6.3441712926249005E-2</v>
      </c>
      <c r="I19" s="280">
        <f t="shared" si="5"/>
        <v>10</v>
      </c>
      <c r="J19" s="308">
        <f t="shared" si="5"/>
        <v>7.9302141157811271E-2</v>
      </c>
      <c r="K19" s="308">
        <f t="shared" si="5"/>
        <v>7.7217345015989564E-2</v>
      </c>
    </row>
    <row r="20" spans="1:11" ht="16.5">
      <c r="A20" s="10"/>
      <c r="B20" s="10"/>
      <c r="D20" s="12" t="s">
        <v>18</v>
      </c>
      <c r="E20" s="15">
        <f t="shared" ref="E20:K20" si="6">MEDIAN(E16:E17)</f>
        <v>12.6</v>
      </c>
      <c r="F20" s="51">
        <f t="shared" si="6"/>
        <v>6.010210421986445E-2</v>
      </c>
      <c r="G20" s="15">
        <f t="shared" si="6"/>
        <v>13.85</v>
      </c>
      <c r="H20" s="51">
        <f t="shared" si="6"/>
        <v>6.6733119641598185E-2</v>
      </c>
      <c r="I20" s="15">
        <f t="shared" si="6"/>
        <v>18</v>
      </c>
      <c r="J20" s="51">
        <f t="shared" si="6"/>
        <v>8.5860148885520654E-2</v>
      </c>
      <c r="K20" s="51">
        <f t="shared" si="6"/>
        <v>8.7061203422889047E-2</v>
      </c>
    </row>
    <row r="21" spans="1:11" ht="16.5">
      <c r="A21" s="10"/>
      <c r="B21" s="10"/>
      <c r="D21" s="12" t="s">
        <v>374</v>
      </c>
      <c r="E21" s="19">
        <f t="shared" ref="E21:K21" si="7">AVERAGE(E16:E17)</f>
        <v>12.6</v>
      </c>
      <c r="F21" s="53">
        <f t="shared" si="7"/>
        <v>6.010210421986445E-2</v>
      </c>
      <c r="G21" s="19">
        <f t="shared" si="7"/>
        <v>13.85</v>
      </c>
      <c r="H21" s="53">
        <f t="shared" si="7"/>
        <v>6.6733119641598185E-2</v>
      </c>
      <c r="I21" s="19">
        <f t="shared" si="7"/>
        <v>18</v>
      </c>
      <c r="J21" s="53">
        <f t="shared" si="7"/>
        <v>8.5860148885520654E-2</v>
      </c>
      <c r="K21" s="53">
        <f t="shared" si="7"/>
        <v>8.7061203422889047E-2</v>
      </c>
    </row>
    <row r="22" spans="1:11" ht="16.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6.25">
      <c r="A23" s="10"/>
      <c r="B23" s="10"/>
      <c r="C23" s="10"/>
      <c r="D23" s="10"/>
      <c r="E23" s="10"/>
      <c r="F23" s="46" t="s">
        <v>0</v>
      </c>
      <c r="G23" s="60" t="s">
        <v>0</v>
      </c>
      <c r="H23" s="10"/>
      <c r="I23" s="10"/>
      <c r="J23" s="10"/>
      <c r="K23" s="10"/>
    </row>
    <row r="24" spans="1:11" ht="18.75">
      <c r="A24" s="195" t="s">
        <v>251</v>
      </c>
    </row>
  </sheetData>
  <pageMargins left="0.25" right="0.25" top="0.75" bottom="0.75" header="0.3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CFB36B36E7EE46B860E7832FBC9DDB" ma:contentTypeVersion="2" ma:contentTypeDescription="Create a new document." ma:contentTypeScope="" ma:versionID="2e3b4bac0c97e1a68d6ab173eaee7b3d">
  <xsd:schema xmlns:xsd="http://www.w3.org/2001/XMLSchema" xmlns:xs="http://www.w3.org/2001/XMLSchema" xmlns:p="http://schemas.microsoft.com/office/2006/metadata/properties" xmlns:ns2="f94b9277-b0a3-4d91-bade-04ea91219630" targetNamespace="http://schemas.microsoft.com/office/2006/metadata/properties" ma:root="true" ma:fieldsID="93ea9a64a9ab47897a537ad3dd05bc89" ns2:_="">
    <xsd:import namespace="f94b9277-b0a3-4d91-bade-04ea9121963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b9277-b0a3-4d91-bade-04ea912196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55A455-AE8A-4D24-B93A-4319143C87AE}"/>
</file>

<file path=customXml/itemProps2.xml><?xml version="1.0" encoding="utf-8"?>
<ds:datastoreItem xmlns:ds="http://schemas.openxmlformats.org/officeDocument/2006/customXml" ds:itemID="{7A7DBD46-CF0B-46B3-8322-641BC0F4247C}"/>
</file>

<file path=customXml/itemProps3.xml><?xml version="1.0" encoding="utf-8"?>
<ds:datastoreItem xmlns:ds="http://schemas.openxmlformats.org/officeDocument/2006/customXml" ds:itemID="{FBF9774E-CC2F-4561-B6E4-0D114450FC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18</vt:i4>
      </vt:variant>
    </vt:vector>
  </HeadingPairs>
  <TitlesOfParts>
    <vt:vector size="37" baseType="lpstr">
      <vt:lpstr>Cover Sheet</vt:lpstr>
      <vt:lpstr>Yield CapRate</vt:lpstr>
      <vt:lpstr>Direct CapRates</vt:lpstr>
      <vt:lpstr>S&amp;D</vt:lpstr>
      <vt:lpstr>Market to Book Ratios</vt:lpstr>
      <vt:lpstr>Maintenance CapEx</vt:lpstr>
      <vt:lpstr>Beta for CAPM</vt:lpstr>
      <vt:lpstr>Dividends </vt:lpstr>
      <vt:lpstr>Earnings</vt:lpstr>
      <vt:lpstr>Debt</vt:lpstr>
      <vt:lpstr>Direct GCF</vt:lpstr>
      <vt:lpstr>Direct NOPAT</vt:lpstr>
      <vt:lpstr>Growth &amp; Inflation Rates</vt:lpstr>
      <vt:lpstr>CAPM</vt:lpstr>
      <vt:lpstr>Indicated Yield Equity Rate </vt:lpstr>
      <vt:lpstr>Single Stage Div Growth Model</vt:lpstr>
      <vt:lpstr>Two-Stage Div Growth Model</vt:lpstr>
      <vt:lpstr>Multiples</vt:lpstr>
      <vt:lpstr>Info</vt:lpstr>
      <vt:lpstr>'Beta for CAPM'!Print_Area</vt:lpstr>
      <vt:lpstr>CAPM!Print_Area</vt:lpstr>
      <vt:lpstr>'Cover Sheet'!Print_Area</vt:lpstr>
      <vt:lpstr>Debt!Print_Area</vt:lpstr>
      <vt:lpstr>'Direct CapRates'!Print_Area</vt:lpstr>
      <vt:lpstr>'Direct GCF'!Print_Area</vt:lpstr>
      <vt:lpstr>'Direct NOPAT'!Print_Area</vt:lpstr>
      <vt:lpstr>'Dividends '!Print_Area</vt:lpstr>
      <vt:lpstr>Earnings!Print_Area</vt:lpstr>
      <vt:lpstr>'Growth &amp; Inflation Rates'!Print_Area</vt:lpstr>
      <vt:lpstr>'Indicated Yield Equity Rate '!Print_Area</vt:lpstr>
      <vt:lpstr>'Maintenance CapEx'!Print_Area</vt:lpstr>
      <vt:lpstr>'Market to Book Ratios'!Print_Area</vt:lpstr>
      <vt:lpstr>Multiples!Print_Area</vt:lpstr>
      <vt:lpstr>'S&amp;D'!Print_Area</vt:lpstr>
      <vt:lpstr>'Single Stage Div Growth Model'!Print_Area</vt:lpstr>
      <vt:lpstr>'Two-Stage Div Growth Model'!Print_Area</vt:lpstr>
      <vt:lpstr>'Yield CapRate'!Print_Area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Cap Rate Study - Air Freight Carriers</dc:title>
  <dc:creator>%USERNAME%</dc:creator>
  <cp:lastModifiedBy>Sheeks, Ashley (DOR)</cp:lastModifiedBy>
  <cp:lastPrinted>2023-05-30T14:34:39Z</cp:lastPrinted>
  <dcterms:created xsi:type="dcterms:W3CDTF">2016-02-12T19:29:24Z</dcterms:created>
  <dcterms:modified xsi:type="dcterms:W3CDTF">2025-10-01T15:50:30Z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0x01010019CFB36B36E7EE46B860E7832FBC9DDB</vt:lpwstr>
  </property>
</Properties>
</file>